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Albret-Garonne\RUFFIAC (47) - Mme Marie COURTES\Dossier déposé le 10 06 2024\"/>
    </mc:Choice>
  </mc:AlternateContent>
  <xr:revisionPtr revIDLastSave="0" documentId="13_ncr:1_{D56B32A8-7669-437E-83BE-1B00FC5F634D}" xr6:coauthVersionLast="36" xr6:coauthVersionMax="36" xr10:uidLastSave="{00000000-0000-0000-0000-000000000000}"/>
  <bookViews>
    <workbookView xWindow="0" yWindow="0" windowWidth="28800" windowHeight="12615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151" i="2" a="1"/>
  <c r="AH151" i="2" s="1"/>
  <c r="AH163" i="2" a="1"/>
  <c r="AH163" i="2" s="1"/>
  <c r="AH62" i="2" a="1"/>
  <c r="AH62" i="2" s="1"/>
  <c r="AH199" i="2" a="1"/>
  <c r="AH199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<sst xmlns="http://schemas.openxmlformats.org/spreadsheetml/2006/main" count="1166" uniqueCount="324">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</sst>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2.1002479979461248</c:v>
                </c:pt>
                <c:pt idx="2">
                  <c:v>2.9665648411979912</c:v>
                </c:pt>
                <c:pt idx="3">
                  <c:v>4.191788106183961</c:v>
                </c:pt>
                <c:pt idx="4">
                  <c:v>5.925219115846077</c:v>
                </c:pt>
                <c:pt idx="5">
                  <c:v>8.3785036382115567</c:v>
                </c:pt>
                <c:pt idx="6">
                  <c:v>11.85175678559049</c:v>
                </c:pt>
                <c:pt idx="7">
                  <c:v>16.770670523714575</c:v>
                </c:pt>
                <c:pt idx="8">
                  <c:v>23.739234255736083</c:v>
                </c:pt>
                <c:pt idx="9">
                  <c:v>33.614656394876882</c:v>
                </c:pt>
                <c:pt idx="10">
                  <c:v>47.613861733912039</c:v>
                </c:pt>
                <c:pt idx="11">
                  <c:v>67.464907975449606</c:v>
                </c:pt>
                <c:pt idx="12">
                  <c:v>95.622317068801863</c:v>
                </c:pt>
                <c:pt idx="13">
                  <c:v>135.57336878063398</c:v>
                </c:pt>
                <c:pt idx="14">
                  <c:v>192.27387580521375</c:v>
                </c:pt>
                <c:pt idx="15">
                  <c:v>272.76830713641885</c:v>
                </c:pt>
                <c:pt idx="16">
                  <c:v>387.07242521413923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1.9143975374625271</c:v>
                </c:pt>
                <c:pt idx="2">
                  <c:v>2.3631301223601535</c:v>
                </c:pt>
                <c:pt idx="3">
                  <c:v>2.9174548238720219</c:v>
                </c:pt>
                <c:pt idx="4">
                  <c:v>3.6023098465007668</c:v>
                </c:pt>
                <c:pt idx="5">
                  <c:v>4.4485433596983173</c:v>
                </c:pt>
                <c:pt idx="6">
                  <c:v>5.4943185233666361</c:v>
                </c:pt>
                <c:pt idx="7">
                  <c:v>6.7868535221036126</c:v>
                </c:pt>
                <c:pt idx="8">
                  <c:v>8.3845767013125236</c:v>
                </c:pt>
                <c:pt idx="9">
                  <c:v>10.359796093769079</c:v>
                </c:pt>
                <c:pt idx="10">
                  <c:v>12.802006431437341</c:v>
                </c:pt>
                <c:pt idx="11">
                  <c:v>15.821986263961561</c:v>
                </c:pt>
                <c:pt idx="12">
                  <c:v>19.556874429624859</c:v>
                </c:pt>
                <c:pt idx="13">
                  <c:v>24.176460556140523</c:v>
                </c:pt>
                <c:pt idx="14">
                  <c:v>29.890980629355308</c:v>
                </c:pt>
                <c:pt idx="15">
                  <c:v>36.960778591833304</c:v>
                </c:pt>
                <c:pt idx="16">
                  <c:v>45.70828169028141</c:v>
                </c:pt>
                <c:pt idx="17">
                  <c:v>56.532844940434195</c:v>
                </c:pt>
                <c:pt idx="18">
                  <c:v>69.929153660494023</c:v>
                </c:pt>
                <c:pt idx="19">
                  <c:v>86.510038797475374</c:v>
                </c:pt>
                <c:pt idx="20">
                  <c:v>107.03476550524589</c:v>
                </c:pt>
                <c:pt idx="21">
                  <c:v>132.44411077759398</c:v>
                </c:pt>
                <c:pt idx="22">
                  <c:v>163.90386287643108</c:v>
                </c:pt>
                <c:pt idx="23">
                  <c:v>159.14039927075092</c:v>
                </c:pt>
                <c:pt idx="24">
                  <c:v>175.15013994164235</c:v>
                </c:pt>
                <c:pt idx="25">
                  <c:v>191.12551298630106</c:v>
                </c:pt>
                <c:pt idx="26">
                  <c:v>186.46577828407854</c:v>
                </c:pt>
                <c:pt idx="27">
                  <c:v>203.79715143595334</c:v>
                </c:pt>
                <c:pt idx="28">
                  <c:v>221.09442404914515</c:v>
                </c:pt>
                <c:pt idx="29">
                  <c:v>238.36063977122203</c:v>
                </c:pt>
                <c:pt idx="30">
                  <c:v>255.59836496686489</c:v>
                </c:pt>
                <c:pt idx="31">
                  <c:v>230.63316428689714</c:v>
                </c:pt>
                <c:pt idx="32">
                  <c:v>249.42678742365072</c:v>
                </c:pt>
                <c:pt idx="33">
                  <c:v>268.1882976169623</c:v>
                </c:pt>
                <c:pt idx="34">
                  <c:v>286.92025704588701</c:v>
                </c:pt>
                <c:pt idx="35">
                  <c:v>305.62486594574438</c:v>
                </c:pt>
                <c:pt idx="36">
                  <c:v>271.5262211522043</c:v>
                </c:pt>
                <c:pt idx="37">
                  <c:v>289.99681160231415</c:v>
                </c:pt>
                <c:pt idx="38">
                  <c:v>308.44111949657542</c:v>
                </c:pt>
                <c:pt idx="39">
                  <c:v>326.86093719547273</c:v>
                </c:pt>
                <c:pt idx="40">
                  <c:v>345.25783856692902</c:v>
                </c:pt>
                <c:pt idx="41">
                  <c:v>314.07191886152788</c:v>
                </c:pt>
                <c:pt idx="42">
                  <c:v>335.29560709579107</c:v>
                </c:pt>
                <c:pt idx="43">
                  <c:v>356.48971133078379</c:v>
                </c:pt>
                <c:pt idx="44">
                  <c:v>377.65623675733735</c:v>
                </c:pt>
                <c:pt idx="45">
                  <c:v>398.79694553728103</c:v>
                </c:pt>
                <c:pt idx="46">
                  <c:v>353.42725333031763</c:v>
                </c:pt>
                <c:pt idx="47">
                  <c:v>375.61724038320648</c:v>
                </c:pt>
                <c:pt idx="48">
                  <c:v>397.77868431648454</c:v>
                </c:pt>
                <c:pt idx="49">
                  <c:v>419.91339784568589</c:v>
                </c:pt>
                <c:pt idx="50">
                  <c:v>442.02298709837555</c:v>
                </c:pt>
                <c:pt idx="51">
                  <c:v>397.04677419414202</c:v>
                </c:pt>
                <c:pt idx="52">
                  <c:v>419.46841203373424</c:v>
                </c:pt>
                <c:pt idx="53">
                  <c:v>441.86423995233059</c:v>
                </c:pt>
                <c:pt idx="54">
                  <c:v>464.2357490458092</c:v>
                </c:pt>
                <c:pt idx="55">
                  <c:v>486.58427507999835</c:v>
                </c:pt>
                <c:pt idx="56">
                  <c:v>508.9110212072971</c:v>
                </c:pt>
                <c:pt idx="57">
                  <c:v>531.21707649038069</c:v>
                </c:pt>
                <c:pt idx="58">
                  <c:v>553.50343115388478</c:v>
                </c:pt>
                <c:pt idx="59">
                  <c:v>475.80905293653558</c:v>
                </c:pt>
                <c:pt idx="60">
                  <c:v>496.87938425766248</c:v>
                </c:pt>
                <c:pt idx="61">
                  <c:v>517.93079633437981</c:v>
                </c:pt>
                <c:pt idx="62">
                  <c:v>538.96416569474195</c:v>
                </c:pt>
                <c:pt idx="63">
                  <c:v>559.98029493096897</c:v>
                </c:pt>
                <c:pt idx="64">
                  <c:v>580.97992153281746</c:v>
                </c:pt>
                <c:pt idx="65">
                  <c:v>601.96372537813886</c:v>
                </c:pt>
                <c:pt idx="66">
                  <c:v>622.932335125348</c:v>
                </c:pt>
                <c:pt idx="67">
                  <c:v>557.13698805350487</c:v>
                </c:pt>
                <c:pt idx="68">
                  <c:v>573.40296810840198</c:v>
                </c:pt>
                <c:pt idx="69">
                  <c:v>589.65931608140193</c:v>
                </c:pt>
                <c:pt idx="70">
                  <c:v>605.90633475563175</c:v>
                </c:pt>
                <c:pt idx="71">
                  <c:v>622.14430936278279</c:v>
                </c:pt>
                <c:pt idx="72">
                  <c:v>638.37350904146251</c:v>
                </c:pt>
                <c:pt idx="73">
                  <c:v>654.59418813963009</c:v>
                </c:pt>
                <c:pt idx="74">
                  <c:v>670.80658738130876</c:v>
                </c:pt>
                <c:pt idx="75">
                  <c:v>635.38042145276233</c:v>
                </c:pt>
                <c:pt idx="76">
                  <c:v>646.56363932443753</c:v>
                </c:pt>
                <c:pt idx="77">
                  <c:v>657.74286732996552</c:v>
                </c:pt>
                <c:pt idx="78">
                  <c:v>668.91818281738085</c:v>
                </c:pt>
                <c:pt idx="79">
                  <c:v>680.08966034049365</c:v>
                </c:pt>
                <c:pt idx="80">
                  <c:v>691.25737180503893</c:v>
                </c:pt>
                <c:pt idx="81">
                  <c:v>702.42138660489547</c:v>
                </c:pt>
                <c:pt idx="82">
                  <c:v>713.58177174919865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7" zoomScale="90" zoomScaleNormal="90" workbookViewId="0">
      <selection activeCell="C24" sqref="C24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6.24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129</v>
      </c>
      <c r="C9" s="35">
        <v>0.30659999999999998</v>
      </c>
      <c r="D9" s="36">
        <f t="shared" ref="D9:D18" si="0">C9*$C$5</f>
        <v>1.913184</v>
      </c>
      <c r="E9" s="37">
        <v>16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36</v>
      </c>
      <c r="C10" s="35">
        <v>0.43</v>
      </c>
      <c r="D10" s="36">
        <f t="shared" si="0"/>
        <v>2.6832000000000003</v>
      </c>
      <c r="E10" s="37">
        <v>30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35</v>
      </c>
      <c r="C11" s="35">
        <v>0.26329999999999998</v>
      </c>
      <c r="D11" s="36">
        <f t="shared" si="0"/>
        <v>1.642992</v>
      </c>
      <c r="E11" s="37">
        <v>82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0.9998999999999999</v>
      </c>
      <c r="D19" s="41">
        <f>SUM(D9:D18)</f>
        <v>6.239376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Peuplier Robusta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16</v>
      </c>
      <c r="B36" s="63">
        <v>310</v>
      </c>
      <c r="C36" s="63">
        <v>1</v>
      </c>
      <c r="D36" s="63">
        <v>310</v>
      </c>
      <c r="E36" s="54">
        <v>0.9</v>
      </c>
      <c r="F36" s="54"/>
      <c r="G36" s="54">
        <v>0.1</v>
      </c>
      <c r="H36" s="54"/>
      <c r="I36" s="52">
        <f>IFERROR(B36/A36,"")</f>
        <v>19.375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/>
      <c r="B37" s="63"/>
      <c r="C37" s="63"/>
      <c r="D37" s="63"/>
      <c r="E37" s="54"/>
      <c r="F37" s="54"/>
      <c r="G37" s="54"/>
      <c r="H37" s="54"/>
      <c r="I37" s="56" t="str">
        <f t="shared" ref="I37:I55" si="1">IF(A37&lt;&gt;0,(B37-(B36-D36))/(A37-A36),"")</f>
        <v/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/>
      <c r="B38" s="63"/>
      <c r="C38" s="63"/>
      <c r="D38" s="63"/>
      <c r="E38" s="54"/>
      <c r="F38" s="54"/>
      <c r="G38" s="54"/>
      <c r="H38" s="54"/>
      <c r="I38" s="56" t="str">
        <f t="shared" si="1"/>
        <v/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/>
      <c r="B39" s="63"/>
      <c r="C39" s="63"/>
      <c r="D39" s="63"/>
      <c r="E39" s="54"/>
      <c r="F39" s="54"/>
      <c r="G39" s="54"/>
      <c r="H39" s="54"/>
      <c r="I39" s="52" t="str">
        <f t="shared" si="1"/>
        <v/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Pin maritime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12</v>
      </c>
      <c r="B62" s="63">
        <v>106</v>
      </c>
      <c r="C62" s="63">
        <v>1</v>
      </c>
      <c r="D62" s="63">
        <v>34</v>
      </c>
      <c r="E62" s="54"/>
      <c r="F62" s="54"/>
      <c r="G62" s="54">
        <v>1</v>
      </c>
      <c r="H62" s="54"/>
      <c r="I62" s="56">
        <f>IFERROR(B62/A62,"")</f>
        <v>8.8333333333333339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17</v>
      </c>
      <c r="B63" s="63">
        <v>176</v>
      </c>
      <c r="C63" s="63">
        <v>2</v>
      </c>
      <c r="D63" s="63">
        <v>43</v>
      </c>
      <c r="E63" s="54">
        <v>0.2</v>
      </c>
      <c r="F63" s="54"/>
      <c r="G63" s="54">
        <v>0.8</v>
      </c>
      <c r="H63" s="54"/>
      <c r="I63" s="52">
        <f>IF(A63&lt;&gt;0,(B63-(B62-D62))/(A63-A62),"")</f>
        <v>20.8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22</v>
      </c>
      <c r="B64" s="63">
        <v>232</v>
      </c>
      <c r="C64" s="63">
        <v>3</v>
      </c>
      <c r="D64" s="63">
        <v>56</v>
      </c>
      <c r="E64" s="54">
        <v>0.4</v>
      </c>
      <c r="F64" s="54"/>
      <c r="G64" s="54">
        <v>0.6</v>
      </c>
      <c r="H64" s="54"/>
      <c r="I64" s="52">
        <f>IF(A64&lt;&gt;0,(B64-(B63-D63))/(A64-A63),"")</f>
        <v>19.8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30</v>
      </c>
      <c r="B65" s="63">
        <v>309</v>
      </c>
      <c r="C65" s="63">
        <v>4</v>
      </c>
      <c r="D65" s="63">
        <v>309</v>
      </c>
      <c r="E65" s="54">
        <v>0.4</v>
      </c>
      <c r="F65" s="54">
        <v>0.4</v>
      </c>
      <c r="G65" s="54">
        <v>0.2</v>
      </c>
      <c r="H65" s="54"/>
      <c r="I65" s="52">
        <f>IF(A65&lt;&gt;0,(B65-(B64-D64))/(A65-A64),"")</f>
        <v>16.625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Pin laricio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22</v>
      </c>
      <c r="B88" s="63">
        <v>123</v>
      </c>
      <c r="C88" s="63">
        <v>1</v>
      </c>
      <c r="D88" s="63">
        <v>16</v>
      </c>
      <c r="E88" s="54"/>
      <c r="F88" s="54"/>
      <c r="G88" s="54">
        <v>1</v>
      </c>
      <c r="H88" s="93"/>
      <c r="I88" s="56">
        <f>IFERROR(B88/A88,"")</f>
        <v>5.5909090909090908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25</v>
      </c>
      <c r="B89" s="63">
        <v>144</v>
      </c>
      <c r="C89" s="63">
        <v>2</v>
      </c>
      <c r="D89" s="63">
        <v>17</v>
      </c>
      <c r="E89" s="54">
        <v>0.2</v>
      </c>
      <c r="F89" s="54"/>
      <c r="G89" s="54">
        <v>0.8</v>
      </c>
      <c r="H89" s="93"/>
      <c r="I89" s="56">
        <f t="shared" ref="I89:I107" si="3">IF(A89&lt;&gt;0,(B89-(B88-D88))/(A89-A88),"")</f>
        <v>12.333333333333334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30</v>
      </c>
      <c r="B90" s="63">
        <v>194</v>
      </c>
      <c r="C90" s="63">
        <v>3</v>
      </c>
      <c r="D90" s="63">
        <v>34</v>
      </c>
      <c r="E90" s="93">
        <v>0.4</v>
      </c>
      <c r="F90" s="93"/>
      <c r="G90" s="93">
        <v>0.6</v>
      </c>
      <c r="H90" s="93"/>
      <c r="I90" s="56">
        <f t="shared" si="3"/>
        <v>13.4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35</v>
      </c>
      <c r="B91" s="63">
        <v>233</v>
      </c>
      <c r="C91" s="63">
        <v>4</v>
      </c>
      <c r="D91" s="63">
        <v>41</v>
      </c>
      <c r="E91" s="93">
        <v>0.45</v>
      </c>
      <c r="F91" s="93"/>
      <c r="G91" s="93">
        <v>0.55000000000000004</v>
      </c>
      <c r="H91" s="93"/>
      <c r="I91" s="56">
        <f t="shared" si="3"/>
        <v>14.6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40</v>
      </c>
      <c r="B92" s="63">
        <v>264</v>
      </c>
      <c r="C92" s="63">
        <v>5</v>
      </c>
      <c r="D92" s="63">
        <v>41</v>
      </c>
      <c r="E92" s="93"/>
      <c r="F92" s="93"/>
      <c r="G92" s="93"/>
      <c r="H92" s="93"/>
      <c r="I92" s="56">
        <f t="shared" si="3"/>
        <v>14.4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45</v>
      </c>
      <c r="B93" s="63">
        <v>306</v>
      </c>
      <c r="C93" s="63">
        <v>6</v>
      </c>
      <c r="D93" s="63">
        <v>53</v>
      </c>
      <c r="E93" s="93"/>
      <c r="F93" s="93"/>
      <c r="G93" s="93"/>
      <c r="H93" s="93"/>
      <c r="I93" s="56">
        <f t="shared" si="3"/>
        <v>16.600000000000001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50</v>
      </c>
      <c r="B94" s="63">
        <v>340</v>
      </c>
      <c r="C94" s="63">
        <v>7</v>
      </c>
      <c r="D94" s="63">
        <v>53</v>
      </c>
      <c r="E94" s="93"/>
      <c r="F94" s="93"/>
      <c r="G94" s="93"/>
      <c r="H94" s="93"/>
      <c r="I94" s="56">
        <f t="shared" si="3"/>
        <v>17.399999999999999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58</v>
      </c>
      <c r="B95" s="63">
        <v>428</v>
      </c>
      <c r="C95" s="63">
        <v>8</v>
      </c>
      <c r="D95" s="63">
        <v>78</v>
      </c>
      <c r="E95" s="93"/>
      <c r="F95" s="93"/>
      <c r="G95" s="93"/>
      <c r="H95" s="93"/>
      <c r="I95" s="56">
        <f t="shared" si="3"/>
        <v>17.625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66</v>
      </c>
      <c r="B96" s="63">
        <v>483</v>
      </c>
      <c r="C96" s="63">
        <v>9</v>
      </c>
      <c r="D96" s="63">
        <v>65</v>
      </c>
      <c r="E96" s="93"/>
      <c r="F96" s="93"/>
      <c r="G96" s="93"/>
      <c r="H96" s="93"/>
      <c r="I96" s="56">
        <f t="shared" si="3"/>
        <v>16.625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>
        <v>74</v>
      </c>
      <c r="B97" s="63">
        <v>521</v>
      </c>
      <c r="C97" s="63">
        <v>10</v>
      </c>
      <c r="D97" s="63">
        <v>37</v>
      </c>
      <c r="E97" s="93"/>
      <c r="F97" s="93"/>
      <c r="G97" s="93"/>
      <c r="H97" s="93"/>
      <c r="I97" s="56">
        <f t="shared" si="3"/>
        <v>12.875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>
        <v>82</v>
      </c>
      <c r="B98" s="63">
        <v>555</v>
      </c>
      <c r="C98" s="63">
        <v>11</v>
      </c>
      <c r="D98" s="63">
        <v>555</v>
      </c>
      <c r="E98" s="93"/>
      <c r="F98" s="93"/>
      <c r="G98" s="93"/>
      <c r="H98" s="93"/>
      <c r="I98" s="56">
        <f t="shared" si="3"/>
        <v>8.875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0" sqref="G20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Peuplier Robusta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Pin maritime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Pin laricio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80.063676766746568</v>
      </c>
      <c r="T3" s="62">
        <f>IF('Données projet'!E9&gt;30,$R$33-$H$33,LOOKUP('Données projet'!$E$9,$A$3:$A$203,R3:R203)-LOOKUP('Données projet'!$E$9,$A$3:$A$203,$H$3:$H$203))</f>
        <v>410.68113780291992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165</v>
      </c>
      <c r="AN3" s="62">
        <f ca="1">AVERAGE(OFFSET($AM$3,0,0,'Données projet'!$E$10+1,1))-AVERAGE(OFFSET($H$3,0,0,'Données projet'!$E$10+1,1))</f>
        <v>189.09998601768521</v>
      </c>
      <c r="AO3" s="62">
        <f>IF('Données projet'!E10&gt;30,$AM$33-$H$33,LOOKUP('Données projet'!$E$10,$A$3:$A$203,AM3:AM203)-LOOKUP('Données projet'!$E$10,$A$3:$A$203,$H$3:$H$203))</f>
        <v>458.38901659119472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165</v>
      </c>
      <c r="BI3" s="62">
        <f ca="1">AVERAGE(OFFSET($BH$3,0,0,'Données projet'!$E$11+1,1))-AVERAGE(OFFSET($H$3,0,0,'Données projet'!$E$11+1,1))</f>
        <v>387.37910791664007</v>
      </c>
      <c r="BJ3" s="62">
        <f>IF('Données projet'!E11&gt;30,$BH$33-$H$33,LOOKUP('Données projet'!$E$11,$A$3:$A$203,BH3:BH203)-LOOKUP('Données projet'!$E$11,$A$3:$A$203,$H$3:$H$203))</f>
        <v>311.37245656657353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19.375</v>
      </c>
      <c r="N4" s="14">
        <f>IF('Données projet'!$A$36&gt;35,N3+M4-V3,IF(A4&lt;'Données projet'!$A$36,$K$205^A4,IF(A4='Données projet'!$A$36,'Données projet'!$B$36,N3+M4-V3)))</f>
        <v>1.4312322243747371</v>
      </c>
      <c r="O4" s="14">
        <f>N4*VLOOKUP('Données projet'!$B$9,Paramètres!$A$1:$I$89,3,0)*VLOOKUP('Données projet'!$B$9,Paramètres!$A$1:$I$89,5,0)</f>
        <v>0.81940907309902455</v>
      </c>
      <c r="P4" s="14">
        <f>EXP(-1.0587+0.8836*LN(O4)+0.284)</f>
        <v>0.38647494486047301</v>
      </c>
      <c r="Q4" s="22">
        <f t="shared" ref="Q4:Q34" si="2">(O4+P4)*0.475*44/12</f>
        <v>2.1002479979461248</v>
      </c>
      <c r="R4" s="62">
        <f t="shared" si="0"/>
        <v>169.91268195086997</v>
      </c>
      <c r="S4" s="62">
        <f ca="1">AVERAGE(OFFSET($R$3,0,0,'Données projet'!$E$9+1,1))-AVERAGE(OFFSET($H$3,0,0,'Données projet'!$E$9+1,1))</f>
        <v>80.063676766746568</v>
      </c>
      <c r="T4" s="62">
        <f>$T$3</f>
        <v>410.68113780291992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8.8333333333333339</v>
      </c>
      <c r="AI4" s="14">
        <f>IF('Données projet'!$A$62&gt;35,AI3+AH4-AQ3,IF(A4&lt;'Données projet'!$A$62,$AF$205^A4,IF(A4='Données projet'!$A$62,'Données projet'!$B$62,AI3+AH4-AQ3)))</f>
        <v>1.4749438547769935</v>
      </c>
      <c r="AJ4" s="14">
        <f>AI4*VLOOKUP('Données projet'!$B$10,Paramètres!$A$1:$I$89,3,0)*VLOOKUP('Données projet'!$B$10,Paramètres!$A$1:$I$89,5,0)</f>
        <v>0.88201642515664225</v>
      </c>
      <c r="AK4" s="14">
        <f>EXP(-1.0587+0.8836*LN(AJ4)+0.284)</f>
        <v>0.4124537465701128</v>
      </c>
      <c r="AL4" s="22">
        <f t="shared" ref="AL4:AL67" si="4">(AJ4+AK4)*0.475*44/12</f>
        <v>2.254535549090765</v>
      </c>
      <c r="AM4" s="62">
        <f t="shared" ref="AM4:AM67" si="5">AL4+(AD4+AE4)*44/12</f>
        <v>170.06696950201462</v>
      </c>
      <c r="AN4" s="62">
        <f ca="1">AVERAGE(OFFSET($AM$3,0,0,'Données projet'!$E$10+1,1))-AVERAGE(OFFSET($H$3,0,0,'Données projet'!$E$10+1,1))</f>
        <v>189.09998601768521</v>
      </c>
      <c r="AO4" s="62">
        <f>$AO$3</f>
        <v>458.38901659119472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5.5909090909090908</v>
      </c>
      <c r="BD4" s="13">
        <f>IF('Données projet'!$A$88&gt;35,BD3+BC4-BL3,IF(A4&lt;'Données projet'!$A$88,$BA$205^A4,IF(A4='Données projet'!$A$88,'Données projet'!$B$88,BD3+BC4-BL3)))</f>
        <v>1.244502252163008</v>
      </c>
      <c r="BE4" s="14">
        <f>BD4*VLOOKUP('Données projet'!$B$11,Paramètres!$A$1:$I$89,3,0)*VLOOKUP('Données projet'!$B$11,Paramètres!$A$1:$I$89,5,0)</f>
        <v>0.74421234679347892</v>
      </c>
      <c r="BF4" s="14">
        <f>EXP(-1.0587+0.8836*LN(BE4)+0.284)</f>
        <v>0.3549632728022305</v>
      </c>
      <c r="BG4" s="22">
        <f t="shared" ref="BG4:BG67" si="7">(BE4+BF4)*0.475*44/12</f>
        <v>1.9143975374625271</v>
      </c>
      <c r="BH4" s="62">
        <f t="shared" ref="BH4:BH67" si="8">BG4+(AY4+AZ4)*44/12</f>
        <v>169.72683149038636</v>
      </c>
      <c r="BI4" s="62">
        <f ca="1">AVERAGE(OFFSET($BH$3,0,0,'Données projet'!$E$11+1,1))-AVERAGE(OFFSET($H$3,0,0,'Données projet'!$E$11+1,1))</f>
        <v>387.37910791664007</v>
      </c>
      <c r="BJ4" s="62">
        <f>$BJ$3</f>
        <v>311.37245656657353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19.375</v>
      </c>
      <c r="N5" s="14">
        <f>IF('Données projet'!$A$36&gt;35,N4+M5-V4,IF(A5&lt;'Données projet'!$A$36,$K$205^A5,IF(A5='Données projet'!$A$36,'Données projet'!$B$36,N4+M5-V4)))</f>
        <v>2.0484256800886578</v>
      </c>
      <c r="O5" s="14">
        <f>N5*VLOOKUP('Données projet'!$B$9,Paramètres!$A$1:$I$89,3,0)*VLOOKUP('Données projet'!$B$9,Paramètres!$A$1:$I$89,5,0)</f>
        <v>1.1727646703643584</v>
      </c>
      <c r="P5" s="14">
        <f t="shared" ref="P5:P68" si="33">EXP(-1.0587+0.8836*LN(O5)+0.284)</f>
        <v>0.5305261475483638</v>
      </c>
      <c r="Q5" s="22">
        <f t="shared" si="2"/>
        <v>2.9665648411979912</v>
      </c>
      <c r="R5" s="62">
        <f t="shared" si="0"/>
        <v>173.56384612869883</v>
      </c>
      <c r="S5" s="62">
        <f ca="1">AVERAGE(OFFSET($R$3,0,0,'Données projet'!$E$9+1,1))-AVERAGE(OFFSET($H$3,0,0,'Données projet'!$E$9+1,1))</f>
        <v>80.063676766746568</v>
      </c>
      <c r="T5" s="62">
        <f t="shared" ref="T5:T68" si="34">$T$3</f>
        <v>410.68113780291992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8.8333333333333339</v>
      </c>
      <c r="AI5" s="14">
        <f>IF('Données projet'!$A$62&gt;35,AI4+AH5-AQ4,IF(A5&lt;'Données projet'!$A$62,$AF$205^A5,IF(A5='Données projet'!$A$62,'Données projet'!$B$62,AI4+AH5-AQ4)))</f>
        <v>2.1754593747444169</v>
      </c>
      <c r="AJ5" s="14">
        <f>AI5*VLOOKUP('Données projet'!$B$10,Paramètres!$A$1:$I$89,3,0)*VLOOKUP('Données projet'!$B$10,Paramètres!$A$1:$I$89,5,0)</f>
        <v>1.3009247060971614</v>
      </c>
      <c r="AK5" s="14">
        <f t="shared" ref="AK5:AK68" si="35">EXP(-1.0587+0.8836*LN(AJ5)+0.284)</f>
        <v>0.58144049425293109</v>
      </c>
      <c r="AL5" s="22">
        <f t="shared" si="4"/>
        <v>3.2784527239430776</v>
      </c>
      <c r="AM5" s="62">
        <f t="shared" si="5"/>
        <v>173.87573401144391</v>
      </c>
      <c r="AN5" s="62">
        <f ca="1">AVERAGE(OFFSET($AM$3,0,0,'Données projet'!$E$10+1,1))-AVERAGE(OFFSET($H$3,0,0,'Données projet'!$E$10+1,1))</f>
        <v>189.09998601768521</v>
      </c>
      <c r="AO5" s="62">
        <f t="shared" ref="AO5:AO68" si="36">$AO$3</f>
        <v>458.38901659119472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5.5909090909090908</v>
      </c>
      <c r="BD5" s="13">
        <f>IF('Données projet'!$A$88&gt;35,BD4+BC5-BL4,IF(A5&lt;'Données projet'!$A$88,$BA$205^A5,IF(A5='Données projet'!$A$88,'Données projet'!$B$88,BD4+BC5-BL4)))</f>
        <v>1.5487858556387992</v>
      </c>
      <c r="BE5" s="14">
        <f>BD5*VLOOKUP('Données projet'!$B$11,Paramètres!$A$1:$I$89,3,0)*VLOOKUP('Données projet'!$B$11,Paramètres!$A$1:$I$89,5,0)</f>
        <v>0.92617394167200195</v>
      </c>
      <c r="BF5" s="14">
        <f t="shared" ref="BF5:BF68" si="37">EXP(-1.0587+0.8836*LN(BE5)+0.284)</f>
        <v>0.43064718121421069</v>
      </c>
      <c r="BG5" s="22">
        <f t="shared" si="7"/>
        <v>2.3631301223601535</v>
      </c>
      <c r="BH5" s="62">
        <f t="shared" si="8"/>
        <v>172.960411409861</v>
      </c>
      <c r="BI5" s="62">
        <f ca="1">AVERAGE(OFFSET($BH$3,0,0,'Données projet'!$E$11+1,1))-AVERAGE(OFFSET($H$3,0,0,'Données projet'!$E$11+1,1))</f>
        <v>387.37910791664007</v>
      </c>
      <c r="BJ5" s="62">
        <f t="shared" ref="BJ5:BJ68" si="38">$BJ$3</f>
        <v>311.37245656657353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19.375</v>
      </c>
      <c r="N6" s="14">
        <f>IF('Données projet'!$A$36&gt;35,N5+M6-V5,IF(A6&lt;'Données projet'!$A$36,$K$205^A6,IF(A6='Données projet'!$A$36,'Données projet'!$B$36,N5+M6-V5)))</f>
        <v>2.931772842579623</v>
      </c>
      <c r="O6" s="14">
        <f>N6*VLOOKUP('Données projet'!$B$9,Paramètres!$A$1:$I$89,3,0)*VLOOKUP('Données projet'!$B$9,Paramètres!$A$1:$I$89,5,0)</f>
        <v>1.6784985878336856</v>
      </c>
      <c r="P6" s="14">
        <f t="shared" si="33"/>
        <v>0.72826970279825409</v>
      </c>
      <c r="Q6" s="22">
        <f t="shared" si="2"/>
        <v>4.191788106183961</v>
      </c>
      <c r="R6" s="62">
        <f t="shared" si="0"/>
        <v>177.54680867606885</v>
      </c>
      <c r="S6" s="62">
        <f ca="1">AVERAGE(OFFSET($R$3,0,0,'Données projet'!$E$9+1,1))-AVERAGE(OFFSET($H$3,0,0,'Données projet'!$E$9+1,1))</f>
        <v>80.063676766746568</v>
      </c>
      <c r="T6" s="62">
        <f t="shared" si="34"/>
        <v>410.68113780291992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8.8333333333333339</v>
      </c>
      <c r="AI6" s="14">
        <f>IF('Données projet'!$A$62&gt;35,AI5+AH6-AQ5,IF(A6&lt;'Données projet'!$A$62,$AF$205^A6,IF(A6='Données projet'!$A$62,'Données projet'!$B$62,AI5+AH6-AQ5)))</f>
        <v>3.2086804360962784</v>
      </c>
      <c r="AJ6" s="14">
        <f>AI6*VLOOKUP('Données projet'!$B$10,Paramètres!$A$1:$I$89,3,0)*VLOOKUP('Données projet'!$B$10,Paramètres!$A$1:$I$89,5,0)</f>
        <v>1.9187909007855746</v>
      </c>
      <c r="AK6" s="14">
        <f t="shared" si="35"/>
        <v>0.81966293473739615</v>
      </c>
      <c r="AL6" s="22">
        <f t="shared" si="4"/>
        <v>4.7694737635358404</v>
      </c>
      <c r="AM6" s="62">
        <f t="shared" si="5"/>
        <v>178.12449433342073</v>
      </c>
      <c r="AN6" s="62">
        <f ca="1">AVERAGE(OFFSET($AM$3,0,0,'Données projet'!$E$10+1,1))-AVERAGE(OFFSET($H$3,0,0,'Données projet'!$E$10+1,1))</f>
        <v>189.09998601768521</v>
      </c>
      <c r="AO6" s="62">
        <f t="shared" si="36"/>
        <v>458.38901659119472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5.5909090909090908</v>
      </c>
      <c r="BD6" s="13">
        <f>IF('Données projet'!$A$88&gt;35,BD5+BC6-BL5,IF(A6&lt;'Données projet'!$A$88,$BA$205^A6,IF(A6='Données projet'!$A$88,'Données projet'!$B$88,BD5+BC6-BL5)))</f>
        <v>1.927467485460697</v>
      </c>
      <c r="BE6" s="14">
        <f>BD6*VLOOKUP('Données projet'!$B$11,Paramètres!$A$1:$I$89,3,0)*VLOOKUP('Données projet'!$B$11,Paramètres!$A$1:$I$89,5,0)</f>
        <v>1.152625556305497</v>
      </c>
      <c r="BF6" s="14">
        <f t="shared" si="37"/>
        <v>0.52246812247269758</v>
      </c>
      <c r="BG6" s="22">
        <f t="shared" si="7"/>
        <v>2.9174548238720219</v>
      </c>
      <c r="BH6" s="62">
        <f t="shared" si="8"/>
        <v>176.27247539375691</v>
      </c>
      <c r="BI6" s="62">
        <f ca="1">AVERAGE(OFFSET($BH$3,0,0,'Données projet'!$E$11+1,1))-AVERAGE(OFFSET($H$3,0,0,'Données projet'!$E$11+1,1))</f>
        <v>387.37910791664007</v>
      </c>
      <c r="BJ6" s="62">
        <f t="shared" si="38"/>
        <v>311.37245656657353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19.375</v>
      </c>
      <c r="N7" s="14">
        <f>IF('Données projet'!$A$36&gt;35,N6+M7-V6,IF(A7&lt;'Données projet'!$A$36,$K$205^A7,IF(A7='Données projet'!$A$36,'Données projet'!$B$36,N6+M7-V6)))</f>
        <v>4.1960477668466805</v>
      </c>
      <c r="O7" s="14">
        <f>N7*VLOOKUP('Données projet'!$B$9,Paramètres!$A$1:$I$89,3,0)*VLOOKUP('Données projet'!$B$9,Paramètres!$A$1:$I$89,5,0)</f>
        <v>2.4023212674750618</v>
      </c>
      <c r="P7" s="14">
        <f t="shared" si="33"/>
        <v>0.99971841626431301</v>
      </c>
      <c r="Q7" s="22">
        <f t="shared" si="2"/>
        <v>5.925219115846077</v>
      </c>
      <c r="R7" s="62">
        <f t="shared" si="0"/>
        <v>182.01134118002304</v>
      </c>
      <c r="S7" s="62">
        <f ca="1">AVERAGE(OFFSET($R$3,0,0,'Données projet'!$E$9+1,1))-AVERAGE(OFFSET($H$3,0,0,'Données projet'!$E$9+1,1))</f>
        <v>80.063676766746568</v>
      </c>
      <c r="T7" s="62">
        <f t="shared" si="34"/>
        <v>410.68113780291992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8.8333333333333339</v>
      </c>
      <c r="AI7" s="14">
        <f>IF('Données projet'!$A$62&gt;35,AI6+AH7-AQ6,IF(A7&lt;'Données projet'!$A$62,$AF$205^A7,IF(A7='Données projet'!$A$62,'Données projet'!$B$62,AI6+AH7-AQ6)))</f>
        <v>4.7326234911633689</v>
      </c>
      <c r="AJ7" s="14">
        <f>AI7*VLOOKUP('Données projet'!$B$10,Paramètres!$A$1:$I$89,3,0)*VLOOKUP('Données projet'!$B$10,Paramètres!$A$1:$I$89,5,0)</f>
        <v>2.8301088477156946</v>
      </c>
      <c r="AK7" s="14">
        <f t="shared" si="35"/>
        <v>1.1554876779704684</v>
      </c>
      <c r="AL7" s="22">
        <f t="shared" si="4"/>
        <v>6.9415806155700679</v>
      </c>
      <c r="AM7" s="62">
        <f t="shared" si="5"/>
        <v>183.02770267974702</v>
      </c>
      <c r="AN7" s="62">
        <f ca="1">AVERAGE(OFFSET($AM$3,0,0,'Données projet'!$E$10+1,1))-AVERAGE(OFFSET($H$3,0,0,'Données projet'!$E$10+1,1))</f>
        <v>189.09998601768521</v>
      </c>
      <c r="AO7" s="62">
        <f t="shared" si="36"/>
        <v>458.38901659119472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5.5909090909090908</v>
      </c>
      <c r="BD7" s="13">
        <f>IF('Données projet'!$A$88&gt;35,BD6+BC7-BL6,IF(A7&lt;'Données projet'!$A$88,$BA$205^A7,IF(A7='Données projet'!$A$88,'Données projet'!$B$88,BD6+BC7-BL6)))</f>
        <v>2.3987376266268075</v>
      </c>
      <c r="BE7" s="14">
        <f>BD7*VLOOKUP('Données projet'!$B$11,Paramètres!$A$1:$I$89,3,0)*VLOOKUP('Données projet'!$B$11,Paramètres!$A$1:$I$89,5,0)</f>
        <v>1.4344451007228309</v>
      </c>
      <c r="BF7" s="14">
        <f t="shared" si="37"/>
        <v>0.63386677286612625</v>
      </c>
      <c r="BG7" s="22">
        <f t="shared" si="7"/>
        <v>3.6023098465007668</v>
      </c>
      <c r="BH7" s="62">
        <f t="shared" si="8"/>
        <v>179.68843191067771</v>
      </c>
      <c r="BI7" s="62">
        <f ca="1">AVERAGE(OFFSET($BH$3,0,0,'Données projet'!$E$11+1,1))-AVERAGE(OFFSET($H$3,0,0,'Données projet'!$E$11+1,1))</f>
        <v>387.37910791664007</v>
      </c>
      <c r="BJ7" s="62">
        <f t="shared" si="38"/>
        <v>311.37245656657353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19.375</v>
      </c>
      <c r="N8" s="14">
        <f>IF('Données projet'!$A$36&gt;35,N7+M8-V7,IF(A8&lt;'Données projet'!$A$36,$K$205^A8,IF(A8='Données projet'!$A$36,'Données projet'!$B$36,N7+M8-V7)))</f>
        <v>6.0055187789266222</v>
      </c>
      <c r="O8" s="14">
        <f>N8*VLOOKUP('Données projet'!$B$9,Paramètres!$A$1:$I$89,3,0)*VLOOKUP('Données projet'!$B$9,Paramètres!$A$1:$I$89,5,0)</f>
        <v>3.4382796113110698</v>
      </c>
      <c r="P8" s="14">
        <f t="shared" si="33"/>
        <v>1.3723444871836044</v>
      </c>
      <c r="Q8" s="22">
        <f t="shared" si="2"/>
        <v>8.3785036382115567</v>
      </c>
      <c r="R8" s="62">
        <f t="shared" si="0"/>
        <v>187.16955151465891</v>
      </c>
      <c r="S8" s="62">
        <f ca="1">AVERAGE(OFFSET($R$3,0,0,'Données projet'!$E$9+1,1))-AVERAGE(OFFSET($H$3,0,0,'Données projet'!$E$9+1,1))</f>
        <v>80.063676766746568</v>
      </c>
      <c r="T8" s="62">
        <f t="shared" si="34"/>
        <v>410.68113780291992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8.8333333333333339</v>
      </c>
      <c r="AI8" s="14">
        <f>IF('Données projet'!$A$62&gt;35,AI7+AH8-AQ7,IF(A8&lt;'Données projet'!$A$62,$AF$205^A8,IF(A8='Données projet'!$A$62,'Données projet'!$B$62,AI7+AH8-AQ7)))</f>
        <v>6.9803539352646524</v>
      </c>
      <c r="AJ8" s="14">
        <f>AI8*VLOOKUP('Données projet'!$B$10,Paramètres!$A$1:$I$89,3,0)*VLOOKUP('Données projet'!$B$10,Paramètres!$A$1:$I$89,5,0)</f>
        <v>4.1742516532882625</v>
      </c>
      <c r="AK8" s="14">
        <f t="shared" si="35"/>
        <v>1.6289034398869595</v>
      </c>
      <c r="AL8" s="22">
        <f t="shared" si="4"/>
        <v>10.107161787280178</v>
      </c>
      <c r="AM8" s="62">
        <f t="shared" si="5"/>
        <v>188.89820966372753</v>
      </c>
      <c r="AN8" s="62">
        <f ca="1">AVERAGE(OFFSET($AM$3,0,0,'Données projet'!$E$10+1,1))-AVERAGE(OFFSET($H$3,0,0,'Données projet'!$E$10+1,1))</f>
        <v>189.09998601768521</v>
      </c>
      <c r="AO8" s="62">
        <f t="shared" si="36"/>
        <v>458.38901659119472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5.5909090909090908</v>
      </c>
      <c r="BD8" s="13">
        <f>IF('Données projet'!$A$88&gt;35,BD7+BC8-BL7,IF(A8&lt;'Données projet'!$A$88,$BA$205^A8,IF(A8='Données projet'!$A$88,'Données projet'!$B$88,BD7+BC8-BL7)))</f>
        <v>2.9852343786852105</v>
      </c>
      <c r="BE8" s="14">
        <f>BD8*VLOOKUP('Données projet'!$B$11,Paramètres!$A$1:$I$89,3,0)*VLOOKUP('Données projet'!$B$11,Paramètres!$A$1:$I$89,5,0)</f>
        <v>1.785170158453756</v>
      </c>
      <c r="BF8" s="14">
        <f t="shared" si="37"/>
        <v>0.7690174164926461</v>
      </c>
      <c r="BG8" s="22">
        <f t="shared" si="7"/>
        <v>4.4485433596983173</v>
      </c>
      <c r="BH8" s="62">
        <f t="shared" si="8"/>
        <v>183.23959123614566</v>
      </c>
      <c r="BI8" s="62">
        <f ca="1">AVERAGE(OFFSET($BH$3,0,0,'Données projet'!$E$11+1,1))-AVERAGE(OFFSET($H$3,0,0,'Données projet'!$E$11+1,1))</f>
        <v>387.37910791664007</v>
      </c>
      <c r="BJ8" s="62">
        <f t="shared" si="38"/>
        <v>311.37245656657353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19.375</v>
      </c>
      <c r="N9" s="14">
        <f>IF('Données projet'!$A$36&gt;35,N8+M9-V8,IF(A9&lt;'Données projet'!$A$36,$K$205^A9,IF(A9='Données projet'!$A$36,'Données projet'!$B$36,N8+M9-V8)))</f>
        <v>8.5952920004874045</v>
      </c>
      <c r="O9" s="14">
        <f>N9*VLOOKUP('Données projet'!$B$9,Paramètres!$A$1:$I$89,3,0)*VLOOKUP('Données projet'!$B$9,Paramètres!$A$1:$I$89,5,0)</f>
        <v>4.9209765761190489</v>
      </c>
      <c r="P9" s="14">
        <f t="shared" si="33"/>
        <v>1.8838598557989366</v>
      </c>
      <c r="Q9" s="22">
        <f t="shared" si="2"/>
        <v>11.85175678559049</v>
      </c>
      <c r="R9" s="62">
        <f t="shared" si="0"/>
        <v>193.32200888184946</v>
      </c>
      <c r="S9" s="62">
        <f ca="1">AVERAGE(OFFSET($R$3,0,0,'Données projet'!$E$9+1,1))-AVERAGE(OFFSET($H$3,0,0,'Données projet'!$E$9+1,1))</f>
        <v>80.063676766746568</v>
      </c>
      <c r="T9" s="62">
        <f t="shared" si="34"/>
        <v>410.68113780291992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8.8333333333333339</v>
      </c>
      <c r="AI9" s="14">
        <f>IF('Données projet'!$A$62&gt;35,AI8+AH9-AQ8,IF(A9&lt;'Données projet'!$A$62,$AF$205^A9,IF(A9='Données projet'!$A$62,'Données projet'!$B$62,AI8+AH9-AQ8)))</f>
        <v>10.295630140987003</v>
      </c>
      <c r="AJ9" s="14">
        <f>AI9*VLOOKUP('Données projet'!$B$10,Paramètres!$A$1:$I$89,3,0)*VLOOKUP('Données projet'!$B$10,Paramètres!$A$1:$I$89,5,0)</f>
        <v>6.1567868243102275</v>
      </c>
      <c r="AK9" s="14">
        <f t="shared" si="35"/>
        <v>2.2962827445602434</v>
      </c>
      <c r="AL9" s="22">
        <f t="shared" si="4"/>
        <v>14.722429499116073</v>
      </c>
      <c r="AM9" s="62">
        <f t="shared" si="5"/>
        <v>196.19268159537503</v>
      </c>
      <c r="AN9" s="62">
        <f ca="1">AVERAGE(OFFSET($AM$3,0,0,'Données projet'!$E$10+1,1))-AVERAGE(OFFSET($H$3,0,0,'Données projet'!$E$10+1,1))</f>
        <v>189.09998601768521</v>
      </c>
      <c r="AO9" s="62">
        <f t="shared" si="36"/>
        <v>458.38901659119472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5.5909090909090908</v>
      </c>
      <c r="BD9" s="13">
        <f>IF('Données projet'!$A$88&gt;35,BD8+BC9-BL8,IF(A9&lt;'Données projet'!$A$88,$BA$205^A9,IF(A9='Données projet'!$A$88,'Données projet'!$B$88,BD8+BC9-BL8)))</f>
        <v>3.7151309075081826</v>
      </c>
      <c r="BE9" s="14">
        <f>BD9*VLOOKUP('Données projet'!$B$11,Paramètres!$A$1:$I$89,3,0)*VLOOKUP('Données projet'!$B$11,Paramètres!$A$1:$I$89,5,0)</f>
        <v>2.2216482826898933</v>
      </c>
      <c r="BF9" s="14">
        <f t="shared" si="37"/>
        <v>0.93298436230530435</v>
      </c>
      <c r="BG9" s="22">
        <f t="shared" si="7"/>
        <v>5.4943185233666361</v>
      </c>
      <c r="BH9" s="62">
        <f t="shared" si="8"/>
        <v>186.96457061962562</v>
      </c>
      <c r="BI9" s="62">
        <f ca="1">AVERAGE(OFFSET($BH$3,0,0,'Données projet'!$E$11+1,1))-AVERAGE(OFFSET($H$3,0,0,'Données projet'!$E$11+1,1))</f>
        <v>387.37910791664007</v>
      </c>
      <c r="BJ9" s="62">
        <f t="shared" si="38"/>
        <v>311.37245656657353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19.375</v>
      </c>
      <c r="N10" s="14">
        <f>IF('Données projet'!$A$36&gt;35,N9+M10-V9,IF(A10&lt;'Données projet'!$A$36,$K$205^A10,IF(A10='Données projet'!$A$36,'Données projet'!$B$36,N9+M10-V9)))</f>
        <v>12.301858889007972</v>
      </c>
      <c r="O10" s="14">
        <f>N10*VLOOKUP('Données projet'!$B$9,Paramètres!$A$1:$I$89,3,0)*VLOOKUP('Données projet'!$B$9,Paramètres!$A$1:$I$89,5,0)</f>
        <v>7.043060251134845</v>
      </c>
      <c r="P10" s="14">
        <f t="shared" si="33"/>
        <v>2.5860328725290271</v>
      </c>
      <c r="Q10" s="22">
        <f t="shared" si="2"/>
        <v>16.770670523714575</v>
      </c>
      <c r="R10" s="62">
        <f t="shared" si="0"/>
        <v>200.89485145945082</v>
      </c>
      <c r="S10" s="62">
        <f ca="1">AVERAGE(OFFSET($R$3,0,0,'Données projet'!$E$9+1,1))-AVERAGE(OFFSET($H$3,0,0,'Données projet'!$E$9+1,1))</f>
        <v>80.063676766746568</v>
      </c>
      <c r="T10" s="62">
        <f t="shared" si="34"/>
        <v>410.68113780291992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8.8333333333333339</v>
      </c>
      <c r="AI10" s="14">
        <f>IF('Données projet'!$A$62&gt;35,AI9+AH10-AQ9,IF(A10&lt;'Données projet'!$A$62,$AF$205^A10,IF(A10='Données projet'!$A$62,'Données projet'!$B$62,AI9+AH10-AQ9)))</f>
        <v>15.18547640750557</v>
      </c>
      <c r="AJ10" s="14">
        <f>AI10*VLOOKUP('Données projet'!$B$10,Paramètres!$A$1:$I$89,3,0)*VLOOKUP('Données projet'!$B$10,Paramètres!$A$1:$I$89,5,0)</f>
        <v>9.080914891688332</v>
      </c>
      <c r="AK10" s="14">
        <f t="shared" si="35"/>
        <v>3.2370945470721373</v>
      </c>
      <c r="AL10" s="22">
        <f t="shared" si="4"/>
        <v>21.45386643917448</v>
      </c>
      <c r="AM10" s="62">
        <f t="shared" si="5"/>
        <v>205.57804737491071</v>
      </c>
      <c r="AN10" s="62">
        <f ca="1">AVERAGE(OFFSET($AM$3,0,0,'Données projet'!$E$10+1,1))-AVERAGE(OFFSET($H$3,0,0,'Données projet'!$E$10+1,1))</f>
        <v>189.09998601768521</v>
      </c>
      <c r="AO10" s="62">
        <f t="shared" si="36"/>
        <v>458.38901659119472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5.5909090909090908</v>
      </c>
      <c r="BD10" s="13">
        <f>IF('Données projet'!$A$88&gt;35,BD9+BC10-BL9,IF(A10&lt;'Données projet'!$A$88,$BA$205^A10,IF(A10='Données projet'!$A$88,'Données projet'!$B$88,BD9+BC10-BL9)))</f>
        <v>4.6234887814743333</v>
      </c>
      <c r="BE10" s="14">
        <f>BD10*VLOOKUP('Données projet'!$B$11,Paramètres!$A$1:$I$89,3,0)*VLOOKUP('Données projet'!$B$11,Paramètres!$A$1:$I$89,5,0)</f>
        <v>2.7648462913216516</v>
      </c>
      <c r="BF10" s="14">
        <f t="shared" si="37"/>
        <v>1.1319117118000401</v>
      </c>
      <c r="BG10" s="22">
        <f t="shared" si="7"/>
        <v>6.7868535221036126</v>
      </c>
      <c r="BH10" s="62">
        <f t="shared" si="8"/>
        <v>190.91103445783983</v>
      </c>
      <c r="BI10" s="62">
        <f ca="1">AVERAGE(OFFSET($BH$3,0,0,'Données projet'!$E$11+1,1))-AVERAGE(OFFSET($H$3,0,0,'Données projet'!$E$11+1,1))</f>
        <v>387.37910791664007</v>
      </c>
      <c r="BJ10" s="62">
        <f t="shared" si="38"/>
        <v>311.37245656657353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19.375</v>
      </c>
      <c r="N11" s="14">
        <f>IF('Données projet'!$A$36&gt;35,N10+M11-V10,IF(A11&lt;'Données projet'!$A$36,$K$205^A11,IF(A11='Données projet'!$A$36,'Données projet'!$B$36,N10+M11-V10)))</f>
        <v>17.606816861659013</v>
      </c>
      <c r="O11" s="14">
        <f>N11*VLOOKUP('Données projet'!$B$9,Paramètres!$A$1:$I$89,3,0)*VLOOKUP('Données projet'!$B$9,Paramètres!$A$1:$I$89,5,0)</f>
        <v>10.080254789637019</v>
      </c>
      <c r="P11" s="14">
        <f t="shared" si="33"/>
        <v>3.5499275581540344</v>
      </c>
      <c r="Q11" s="22">
        <f t="shared" si="2"/>
        <v>23.739234255736083</v>
      </c>
      <c r="R11" s="62">
        <f t="shared" si="0"/>
        <v>210.49250712195663</v>
      </c>
      <c r="S11" s="62">
        <f ca="1">AVERAGE(OFFSET($R$3,0,0,'Données projet'!$E$9+1,1))-AVERAGE(OFFSET($H$3,0,0,'Données projet'!$E$9+1,1))</f>
        <v>80.063676766746568</v>
      </c>
      <c r="T11" s="62">
        <f t="shared" si="34"/>
        <v>410.68113780291992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8.8333333333333339</v>
      </c>
      <c r="AI11" s="14">
        <f>IF('Données projet'!$A$62&gt;35,AI10+AH11-AQ10,IF(A11&lt;'Données projet'!$A$62,$AF$205^A11,IF(A11='Données projet'!$A$62,'Données projet'!$B$62,AI10+AH11-AQ10)))</f>
        <v>22.397725109111352</v>
      </c>
      <c r="AJ11" s="14">
        <f>AI11*VLOOKUP('Données projet'!$B$10,Paramètres!$A$1:$I$89,3,0)*VLOOKUP('Données projet'!$B$10,Paramètres!$A$1:$I$89,5,0)</f>
        <v>13.39383961524859</v>
      </c>
      <c r="AK11" s="14">
        <f t="shared" si="35"/>
        <v>4.5633670903584358</v>
      </c>
      <c r="AL11" s="22">
        <f t="shared" si="4"/>
        <v>31.275468345598899</v>
      </c>
      <c r="AM11" s="62">
        <f t="shared" si="5"/>
        <v>218.02874121181947</v>
      </c>
      <c r="AN11" s="62">
        <f ca="1">AVERAGE(OFFSET($AM$3,0,0,'Données projet'!$E$10+1,1))-AVERAGE(OFFSET($H$3,0,0,'Données projet'!$E$10+1,1))</f>
        <v>189.09998601768521</v>
      </c>
      <c r="AO11" s="62">
        <f t="shared" si="36"/>
        <v>458.38901659119472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5.5909090909090908</v>
      </c>
      <c r="BD11" s="13">
        <f>IF('Données projet'!$A$88&gt;35,BD10+BC11-BL10,IF(A11&lt;'Données projet'!$A$88,$BA$205^A11,IF(A11='Données projet'!$A$88,'Données projet'!$B$88,BD10+BC11-BL10)))</f>
        <v>5.7539422013952093</v>
      </c>
      <c r="BE11" s="14">
        <f>BD11*VLOOKUP('Données projet'!$B$11,Paramètres!$A$1:$I$89,3,0)*VLOOKUP('Données projet'!$B$11,Paramètres!$A$1:$I$89,5,0)</f>
        <v>3.4408574364343356</v>
      </c>
      <c r="BF11" s="14">
        <f t="shared" si="37"/>
        <v>1.3732535882427113</v>
      </c>
      <c r="BG11" s="22">
        <f t="shared" si="7"/>
        <v>8.3845767013125236</v>
      </c>
      <c r="BH11" s="62">
        <f t="shared" si="8"/>
        <v>195.13784956753307</v>
      </c>
      <c r="BI11" s="62">
        <f ca="1">AVERAGE(OFFSET($BH$3,0,0,'Données projet'!$E$11+1,1))-AVERAGE(OFFSET($H$3,0,0,'Données projet'!$E$11+1,1))</f>
        <v>387.37910791664007</v>
      </c>
      <c r="BJ11" s="62">
        <f t="shared" si="38"/>
        <v>311.37245656657353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19.375</v>
      </c>
      <c r="N12" s="14">
        <f>IF('Données projet'!$A$36&gt;35,N11+M12-V11,IF(A12&lt;'Données projet'!$A$36,$K$205^A12,IF(A12='Données projet'!$A$36,'Données projet'!$B$36,N11+M12-V11)))</f>
        <v>25.199443661070855</v>
      </c>
      <c r="O12" s="14">
        <f>N12*VLOOKUP('Données projet'!$B$9,Paramètres!$A$1:$I$89,3,0)*VLOOKUP('Données projet'!$B$9,Paramètres!$A$1:$I$89,5,0)</f>
        <v>14.427185484836288</v>
      </c>
      <c r="P12" s="14">
        <f t="shared" si="33"/>
        <v>4.8730956988250798</v>
      </c>
      <c r="Q12" s="22">
        <f t="shared" si="2"/>
        <v>33.614656394876882</v>
      </c>
      <c r="R12" s="62">
        <f t="shared" si="0"/>
        <v>222.97261514743295</v>
      </c>
      <c r="S12" s="62">
        <f ca="1">AVERAGE(OFFSET($R$3,0,0,'Données projet'!$E$9+1,1))-AVERAGE(OFFSET($H$3,0,0,'Données projet'!$E$9+1,1))</f>
        <v>80.063676766746568</v>
      </c>
      <c r="T12" s="62">
        <f t="shared" si="34"/>
        <v>410.68113780291992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8.8333333333333339</v>
      </c>
      <c r="AI12" s="14">
        <f>IF('Données projet'!$A$62&gt;35,AI11+AH12-AQ11,IF(A12&lt;'Données projet'!$A$62,$AF$205^A12,IF(A12='Données projet'!$A$62,'Données projet'!$B$62,AI11+AH12-AQ11)))</f>
        <v>33.035387010668153</v>
      </c>
      <c r="AJ12" s="14">
        <f>AI12*VLOOKUP('Données projet'!$B$10,Paramètres!$A$1:$I$89,3,0)*VLOOKUP('Données projet'!$B$10,Paramètres!$A$1:$I$89,5,0)</f>
        <v>19.755161432379555</v>
      </c>
      <c r="AK12" s="14">
        <f t="shared" si="35"/>
        <v>6.433027796547198</v>
      </c>
      <c r="AL12" s="22">
        <f t="shared" si="4"/>
        <v>45.61109624038076</v>
      </c>
      <c r="AM12" s="62">
        <f t="shared" si="5"/>
        <v>234.96905499293683</v>
      </c>
      <c r="AN12" s="62">
        <f ca="1">AVERAGE(OFFSET($AM$3,0,0,'Données projet'!$E$10+1,1))-AVERAGE(OFFSET($H$3,0,0,'Données projet'!$E$10+1,1))</f>
        <v>189.09998601768521</v>
      </c>
      <c r="AO12" s="62">
        <f t="shared" si="36"/>
        <v>458.38901659119472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5.5909090909090908</v>
      </c>
      <c r="BD12" s="13">
        <f>IF('Données projet'!$A$88&gt;35,BD11+BC12-BL11,IF(A12&lt;'Données projet'!$A$88,$BA$205^A12,IF(A12='Données projet'!$A$88,'Données projet'!$B$88,BD11+BC12-BL11)))</f>
        <v>7.1607940284521145</v>
      </c>
      <c r="BE12" s="14">
        <f>BD12*VLOOKUP('Données projet'!$B$11,Paramètres!$A$1:$I$89,3,0)*VLOOKUP('Données projet'!$B$11,Paramètres!$A$1:$I$89,5,0)</f>
        <v>4.2821548290143649</v>
      </c>
      <c r="BF12" s="14">
        <f t="shared" si="37"/>
        <v>1.6660534544894132</v>
      </c>
      <c r="BG12" s="22">
        <f t="shared" si="7"/>
        <v>10.359796093769079</v>
      </c>
      <c r="BH12" s="62">
        <f t="shared" si="8"/>
        <v>199.71775484632516</v>
      </c>
      <c r="BI12" s="62">
        <f ca="1">AVERAGE(OFFSET($BH$3,0,0,'Données projet'!$E$11+1,1))-AVERAGE(OFFSET($H$3,0,0,'Données projet'!$E$11+1,1))</f>
        <v>387.37910791664007</v>
      </c>
      <c r="BJ12" s="62">
        <f t="shared" si="38"/>
        <v>311.37245656657353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19.375</v>
      </c>
      <c r="N13" s="14">
        <f>IF('Données projet'!$A$36&gt;35,N12+M13-V12,IF(A13&lt;'Données projet'!$A$36,$K$205^A13,IF(A13='Données projet'!$A$36,'Données projet'!$B$36,N12+M13-V12)))</f>
        <v>36.06625580404031</v>
      </c>
      <c r="O13" s="14">
        <f>N13*VLOOKUP('Données projet'!$B$9,Paramètres!$A$1:$I$89,3,0)*VLOOKUP('Données projet'!$B$9,Paramètres!$A$1:$I$89,5,0)</f>
        <v>20.648652772929157</v>
      </c>
      <c r="P13" s="14">
        <f t="shared" si="33"/>
        <v>6.6894496580251266</v>
      </c>
      <c r="Q13" s="22">
        <f t="shared" si="2"/>
        <v>47.613861733912039</v>
      </c>
      <c r="R13" s="62">
        <f t="shared" si="0"/>
        <v>239.55252371895693</v>
      </c>
      <c r="S13" s="62">
        <f ca="1">AVERAGE(OFFSET($R$3,0,0,'Données projet'!$E$9+1,1))-AVERAGE(OFFSET($H$3,0,0,'Données projet'!$E$9+1,1))</f>
        <v>80.063676766746568</v>
      </c>
      <c r="T13" s="62">
        <f t="shared" si="34"/>
        <v>410.68113780291992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8.8333333333333339</v>
      </c>
      <c r="AI13" s="14">
        <f>IF('Données projet'!$A$62&gt;35,AI12+AH13-AQ12,IF(A13&lt;'Données projet'!$A$62,$AF$205^A13,IF(A13='Données projet'!$A$62,'Données projet'!$B$62,AI12+AH13-AQ12)))</f>
        <v>48.725341061564706</v>
      </c>
      <c r="AJ13" s="14">
        <f>AI13*VLOOKUP('Données projet'!$B$10,Paramètres!$A$1:$I$89,3,0)*VLOOKUP('Données projet'!$B$10,Paramètres!$A$1:$I$89,5,0)</f>
        <v>29.137753954815693</v>
      </c>
      <c r="AK13" s="14">
        <f t="shared" si="35"/>
        <v>9.0687086556296208</v>
      </c>
      <c r="AL13" s="22">
        <f t="shared" si="4"/>
        <v>66.542922379858922</v>
      </c>
      <c r="AM13" s="62">
        <f t="shared" si="5"/>
        <v>258.48158436490382</v>
      </c>
      <c r="AN13" s="62">
        <f ca="1">AVERAGE(OFFSET($AM$3,0,0,'Données projet'!$E$10+1,1))-AVERAGE(OFFSET($H$3,0,0,'Données projet'!$E$10+1,1))</f>
        <v>189.09998601768521</v>
      </c>
      <c r="AO13" s="62">
        <f t="shared" si="36"/>
        <v>458.38901659119472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5.5909090909090908</v>
      </c>
      <c r="BD13" s="13">
        <f>IF('Données projet'!$A$88&gt;35,BD12+BC13-BL12,IF(A13&lt;'Données projet'!$A$88,$BA$205^A13,IF(A13='Données projet'!$A$88,'Données projet'!$B$88,BD12+BC13-BL12)))</f>
        <v>8.9116242956840761</v>
      </c>
      <c r="BE13" s="14">
        <f>BD13*VLOOKUP('Données projet'!$B$11,Paramètres!$A$1:$I$89,3,0)*VLOOKUP('Données projet'!$B$11,Paramètres!$A$1:$I$89,5,0)</f>
        <v>5.3291513288190782</v>
      </c>
      <c r="BF13" s="14">
        <f t="shared" si="37"/>
        <v>2.0212829858817885</v>
      </c>
      <c r="BG13" s="22">
        <f t="shared" si="7"/>
        <v>12.802006431437341</v>
      </c>
      <c r="BH13" s="62">
        <f t="shared" si="8"/>
        <v>204.74066841648224</v>
      </c>
      <c r="BI13" s="62">
        <f ca="1">AVERAGE(OFFSET($BH$3,0,0,'Données projet'!$E$11+1,1))-AVERAGE(OFFSET($H$3,0,0,'Données projet'!$E$11+1,1))</f>
        <v>387.37910791664007</v>
      </c>
      <c r="BJ13" s="62">
        <f t="shared" si="38"/>
        <v>311.37245656657353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19.375</v>
      </c>
      <c r="N14" s="14">
        <f>IF('Données projet'!$A$36&gt;35,N13+M14-V13,IF(A14&lt;'Données projet'!$A$36,$K$205^A14,IF(A14='Données projet'!$A$36,'Données projet'!$B$36,N13+M14-V13)))</f>
        <v>51.619187519284878</v>
      </c>
      <c r="O14" s="14">
        <f>N14*VLOOKUP('Données projet'!$B$9,Paramètres!$A$1:$I$89,3,0)*VLOOKUP('Données projet'!$B$9,Paramètres!$A$1:$I$89,5,0)</f>
        <v>29.553017238540978</v>
      </c>
      <c r="P14" s="14">
        <f t="shared" si="33"/>
        <v>9.1828150918607161</v>
      </c>
      <c r="Q14" s="22">
        <f t="shared" si="2"/>
        <v>67.464907975449606</v>
      </c>
      <c r="R14" s="62">
        <f t="shared" si="0"/>
        <v>261.96070658456375</v>
      </c>
      <c r="S14" s="62">
        <f ca="1">AVERAGE(OFFSET($R$3,0,0,'Données projet'!$E$9+1,1))-AVERAGE(OFFSET($H$3,0,0,'Données projet'!$E$9+1,1))</f>
        <v>80.063676766746568</v>
      </c>
      <c r="T14" s="62">
        <f t="shared" si="34"/>
        <v>410.68113780291992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8.8333333333333339</v>
      </c>
      <c r="AI14" s="14">
        <f>IF('Données projet'!$A$62&gt;35,AI13+AH14-AQ13,IF(A14&lt;'Données projet'!$A$62,$AF$205^A14,IF(A14='Données projet'!$A$62,'Données projet'!$B$62,AI13+AH14-AQ13)))</f>
        <v>71.867142370667978</v>
      </c>
      <c r="AJ14" s="14">
        <f>AI14*VLOOKUP('Données projet'!$B$10,Paramètres!$A$1:$I$89,3,0)*VLOOKUP('Données projet'!$B$10,Paramètres!$A$1:$I$89,5,0)</f>
        <v>42.976551137659456</v>
      </c>
      <c r="AK14" s="14">
        <f t="shared" si="35"/>
        <v>12.784256384658107</v>
      </c>
      <c r="AL14" s="22">
        <f t="shared" si="4"/>
        <v>97.116739768036425</v>
      </c>
      <c r="AM14" s="62">
        <f t="shared" si="5"/>
        <v>291.61253837715054</v>
      </c>
      <c r="AN14" s="62">
        <f ca="1">AVERAGE(OFFSET($AM$3,0,0,'Données projet'!$E$10+1,1))-AVERAGE(OFFSET($H$3,0,0,'Données projet'!$E$10+1,1))</f>
        <v>189.09998601768521</v>
      </c>
      <c r="AO14" s="62">
        <f t="shared" si="36"/>
        <v>458.38901659119472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5.5909090909090908</v>
      </c>
      <c r="BD14" s="13">
        <f>IF('Données projet'!$A$88&gt;35,BD13+BC14-BL13,IF(A14&lt;'Données projet'!$A$88,$BA$205^A14,IF(A14='Données projet'!$A$88,'Données projet'!$B$88,BD13+BC14-BL13)))</f>
        <v>11.090536506409412</v>
      </c>
      <c r="BE14" s="14">
        <f>BD14*VLOOKUP('Données projet'!$B$11,Paramètres!$A$1:$I$89,3,0)*VLOOKUP('Données projet'!$B$11,Paramètres!$A$1:$I$89,5,0)</f>
        <v>6.6321408308328289</v>
      </c>
      <c r="BF14" s="14">
        <f t="shared" si="37"/>
        <v>2.4522531963221348</v>
      </c>
      <c r="BG14" s="22">
        <f t="shared" si="7"/>
        <v>15.821986263961561</v>
      </c>
      <c r="BH14" s="62">
        <f t="shared" si="8"/>
        <v>210.31778487307568</v>
      </c>
      <c r="BI14" s="62">
        <f ca="1">AVERAGE(OFFSET($BH$3,0,0,'Données projet'!$E$11+1,1))-AVERAGE(OFFSET($H$3,0,0,'Données projet'!$E$11+1,1))</f>
        <v>387.37910791664007</v>
      </c>
      <c r="BJ14" s="62">
        <f t="shared" si="38"/>
        <v>311.37245656657353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19.375</v>
      </c>
      <c r="N15" s="14">
        <f>IF('Données projet'!$A$36&gt;35,N14+M15-V14,IF(A15&lt;'Données projet'!$A$36,$K$205^A15,IF(A15='Données projet'!$A$36,'Données projet'!$B$36,N14+M15-V14)))</f>
        <v>73.879044573642773</v>
      </c>
      <c r="O15" s="14">
        <f>N15*VLOOKUP('Données projet'!$B$9,Paramètres!$A$1:$I$89,3,0)*VLOOKUP('Données projet'!$B$9,Paramètres!$A$1:$I$89,5,0)</f>
        <v>42.297230599301962</v>
      </c>
      <c r="P15" s="14">
        <f t="shared" si="33"/>
        <v>12.605535181828293</v>
      </c>
      <c r="Q15" s="22">
        <f t="shared" si="2"/>
        <v>95.622317068801863</v>
      </c>
      <c r="R15" s="62">
        <f t="shared" si="0"/>
        <v>292.65209452153476</v>
      </c>
      <c r="S15" s="62">
        <f ca="1">AVERAGE(OFFSET($R$3,0,0,'Données projet'!$E$9+1,1))-AVERAGE(OFFSET($H$3,0,0,'Données projet'!$E$9+1,1))</f>
        <v>80.063676766746568</v>
      </c>
      <c r="T15" s="62">
        <f t="shared" si="34"/>
        <v>410.68113780291992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>
        <f>VLOOKUP(A15,'Données projet'!$A$61:$I$81,2,0)</f>
        <v>106</v>
      </c>
      <c r="AG15" s="13">
        <f>VLOOKUP(A15,'Données projet'!$A$61:$I$81,9,0)</f>
        <v>8.8333333333333339</v>
      </c>
      <c r="AH15" s="13">
        <f t="array" ref="AH15">INDEX(AG:AG,MIN(IF(ISNUMBER(AG15:AG211),ROW(AG15:AG211),"")))</f>
        <v>8.8333333333333339</v>
      </c>
      <c r="AI15" s="14">
        <f>IF('Données projet'!$A$62&gt;35,AI14+AH15-AQ14,IF(A15&lt;'Données projet'!$A$62,$AF$205^A15,IF(A15='Données projet'!$A$62,'Données projet'!$B$62,AI14+AH15-AQ14)))</f>
        <v>106</v>
      </c>
      <c r="AJ15" s="14">
        <f>AI15*VLOOKUP('Données projet'!$B$10,Paramètres!$A$1:$I$89,3,0)*VLOOKUP('Données projet'!$B$10,Paramètres!$A$1:$I$89,5,0)</f>
        <v>63.388000000000012</v>
      </c>
      <c r="AK15" s="14">
        <f t="shared" si="35"/>
        <v>18.022104085041263</v>
      </c>
      <c r="AL15" s="22">
        <f t="shared" si="4"/>
        <v>141.78926461478019</v>
      </c>
      <c r="AM15" s="62">
        <f t="shared" si="5"/>
        <v>338.81904206751307</v>
      </c>
      <c r="AN15" s="62">
        <f ca="1">AVERAGE(OFFSET($AM$3,0,0,'Données projet'!$E$10+1,1))-AVERAGE(OFFSET($H$3,0,0,'Données projet'!$E$10+1,1))</f>
        <v>189.09998601768521</v>
      </c>
      <c r="AO15" s="62">
        <f t="shared" si="36"/>
        <v>458.38901659119472</v>
      </c>
      <c r="AP15" s="16">
        <f>IF(ISNA(VLOOKUP(A15,'Données projet'!$A$61:$I$81,3,0)),0,VLOOKUP(A15,'Données projet'!$A$61:$I$81,3,0))</f>
        <v>1</v>
      </c>
      <c r="AQ15" s="16">
        <f>IF(ISNA(VLOOKUP(A15,'Données projet'!$A$61:$I$81,4,0)),0,VLOOKUP(A15,'Données projet'!$A$61:$I$81,4,0))</f>
        <v>34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1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23.020547073308105</v>
      </c>
      <c r="AX15" s="23">
        <f t="shared" si="6"/>
        <v>23.020547073308105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5.5909090909090908</v>
      </c>
      <c r="BD15" s="13">
        <f>IF('Données projet'!$A$88&gt;35,BD14+BC15-BL14,IF(A15&lt;'Données projet'!$A$88,$BA$205^A15,IF(A15='Données projet'!$A$88,'Données projet'!$B$88,BD14+BC15-BL14)))</f>
        <v>13.802197659922571</v>
      </c>
      <c r="BE15" s="14">
        <f>BD15*VLOOKUP('Données projet'!$B$11,Paramètres!$A$1:$I$89,3,0)*VLOOKUP('Données projet'!$B$11,Paramètres!$A$1:$I$89,5,0)</f>
        <v>8.2537142006336985</v>
      </c>
      <c r="BF15" s="14">
        <f t="shared" si="37"/>
        <v>2.9751132230743558</v>
      </c>
      <c r="BG15" s="22">
        <f t="shared" si="7"/>
        <v>19.556874429624859</v>
      </c>
      <c r="BH15" s="62">
        <f t="shared" si="8"/>
        <v>216.58665188235773</v>
      </c>
      <c r="BI15" s="62">
        <f ca="1">AVERAGE(OFFSET($BH$3,0,0,'Données projet'!$E$11+1,1))-AVERAGE(OFFSET($H$3,0,0,'Données projet'!$E$11+1,1))</f>
        <v>387.37910791664007</v>
      </c>
      <c r="BJ15" s="62">
        <f t="shared" si="38"/>
        <v>311.37245656657353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19.375</v>
      </c>
      <c r="N16" s="14">
        <f>IF('Données projet'!$A$36&gt;35,N15+M16-V15,IF(A16&lt;'Données projet'!$A$36,$K$205^A16,IF(A16='Données projet'!$A$36,'Données projet'!$B$36,N15+M16-V15)))</f>
        <v>105.73806929981509</v>
      </c>
      <c r="O16" s="14">
        <f>N16*VLOOKUP('Données projet'!$B$9,Paramètres!$A$1:$I$89,3,0)*VLOOKUP('Données projet'!$B$9,Paramètres!$A$1:$I$89,5,0)</f>
        <v>60.537159435530135</v>
      </c>
      <c r="P16" s="14">
        <f t="shared" si="33"/>
        <v>17.304009242345849</v>
      </c>
      <c r="Q16" s="22">
        <f t="shared" si="2"/>
        <v>135.57336878063398</v>
      </c>
      <c r="R16" s="62">
        <f t="shared" si="0"/>
        <v>335.1143690322528</v>
      </c>
      <c r="S16" s="62">
        <f ca="1">AVERAGE(OFFSET($R$3,0,0,'Données projet'!$E$9+1,1))-AVERAGE(OFFSET($H$3,0,0,'Données projet'!$E$9+1,1))</f>
        <v>80.063676766746568</v>
      </c>
      <c r="T16" s="62">
        <f t="shared" si="34"/>
        <v>410.68113780291992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20.8</v>
      </c>
      <c r="AI16" s="14">
        <f>IF('Données projet'!$A$62&gt;35,AI15+AH16-AQ15,IF(A16&lt;'Données projet'!$A$62,$AF$205^A16,IF(A16='Données projet'!$A$62,'Données projet'!$B$62,AI15+AH16-AQ15)))</f>
        <v>92.8</v>
      </c>
      <c r="AJ16" s="14">
        <f>AI16*VLOOKUP('Données projet'!$B$10,Paramètres!$A$1:$I$89,3,0)*VLOOKUP('Données projet'!$B$10,Paramètres!$A$1:$I$89,5,0)</f>
        <v>55.494400000000006</v>
      </c>
      <c r="AK16" s="14">
        <f t="shared" si="35"/>
        <v>16.023988434505792</v>
      </c>
      <c r="AL16" s="22">
        <f t="shared" si="4"/>
        <v>124.5611931900976</v>
      </c>
      <c r="AM16" s="62">
        <f t="shared" si="5"/>
        <v>324.10219344171639</v>
      </c>
      <c r="AN16" s="62">
        <f ca="1">AVERAGE(OFFSET($AM$3,0,0,'Données projet'!$E$10+1,1))-AVERAGE(OFFSET($H$3,0,0,'Données projet'!$E$10+1,1))</f>
        <v>189.09998601768521</v>
      </c>
      <c r="AO16" s="62">
        <f t="shared" si="36"/>
        <v>458.38901659119472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16.277984942160291</v>
      </c>
      <c r="AX16" s="23">
        <f t="shared" si="6"/>
        <v>16.277984942160291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5.5909090909090908</v>
      </c>
      <c r="BD16" s="13">
        <f>IF('Données projet'!$A$88&gt;35,BD15+BC16-BL15,IF(A16&lt;'Données projet'!$A$88,$BA$205^A16,IF(A16='Données projet'!$A$88,'Données projet'!$B$88,BD15+BC16-BL15)))</f>
        <v>17.17686607257264</v>
      </c>
      <c r="BE16" s="14">
        <f>BD16*VLOOKUP('Données projet'!$B$11,Paramètres!$A$1:$I$89,3,0)*VLOOKUP('Données projet'!$B$11,Paramètres!$A$1:$I$89,5,0)</f>
        <v>10.27176591139844</v>
      </c>
      <c r="BF16" s="14">
        <f t="shared" si="37"/>
        <v>3.609455460548272</v>
      </c>
      <c r="BG16" s="22">
        <f t="shared" si="7"/>
        <v>24.176460556140523</v>
      </c>
      <c r="BH16" s="62">
        <f t="shared" si="8"/>
        <v>223.71746080775932</v>
      </c>
      <c r="BI16" s="62">
        <f ca="1">AVERAGE(OFFSET($BH$3,0,0,'Données projet'!$E$11+1,1))-AVERAGE(OFFSET($H$3,0,0,'Données projet'!$E$11+1,1))</f>
        <v>387.37910791664007</v>
      </c>
      <c r="BJ16" s="62">
        <f t="shared" si="38"/>
        <v>311.37245656657353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19.375</v>
      </c>
      <c r="N17" s="14">
        <f>IF('Données projet'!$A$36&gt;35,N16+M17-V16,IF(A17&lt;'Données projet'!$A$36,$K$205^A17,IF(A17='Données projet'!$A$36,'Données projet'!$B$36,N16+M17-V16)))</f>
        <v>151.33573212506445</v>
      </c>
      <c r="O17" s="14">
        <f>N17*VLOOKUP('Données projet'!$B$9,Paramètres!$A$1:$I$89,3,0)*VLOOKUP('Données projet'!$B$9,Paramètres!$A$1:$I$89,5,0)</f>
        <v>86.642733356241891</v>
      </c>
      <c r="P17" s="14">
        <f t="shared" si="33"/>
        <v>23.75375035967032</v>
      </c>
      <c r="Q17" s="22">
        <f t="shared" si="2"/>
        <v>192.27387580521375</v>
      </c>
      <c r="R17" s="62">
        <f t="shared" si="0"/>
        <v>394.30373757748691</v>
      </c>
      <c r="S17" s="62">
        <f ca="1">AVERAGE(OFFSET($R$3,0,0,'Données projet'!$E$9+1,1))-AVERAGE(OFFSET($H$3,0,0,'Données projet'!$E$9+1,1))</f>
        <v>80.063676766746568</v>
      </c>
      <c r="T17" s="62">
        <f t="shared" si="34"/>
        <v>410.68113780291992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20.8</v>
      </c>
      <c r="AI17" s="14">
        <f>IF('Données projet'!$A$62&gt;35,AI16+AH17-AQ16,IF(A17&lt;'Données projet'!$A$62,$AF$205^A17,IF(A17='Données projet'!$A$62,'Données projet'!$B$62,AI16+AH17-AQ16)))</f>
        <v>113.6</v>
      </c>
      <c r="AJ17" s="14">
        <f>AI17*VLOOKUP('Données projet'!$B$10,Paramètres!$A$1:$I$89,3,0)*VLOOKUP('Données projet'!$B$10,Paramètres!$A$1:$I$89,5,0)</f>
        <v>67.9328</v>
      </c>
      <c r="AK17" s="14">
        <f t="shared" si="35"/>
        <v>19.159206778906245</v>
      </c>
      <c r="AL17" s="22">
        <f t="shared" si="4"/>
        <v>151.68524513992836</v>
      </c>
      <c r="AM17" s="62">
        <f t="shared" si="5"/>
        <v>353.71510691220158</v>
      </c>
      <c r="AN17" s="62">
        <f ca="1">AVERAGE(OFFSET($AM$3,0,0,'Données projet'!$E$10+1,1))-AVERAGE(OFFSET($H$3,0,0,'Données projet'!$E$10+1,1))</f>
        <v>189.09998601768521</v>
      </c>
      <c r="AO17" s="62">
        <f t="shared" si="36"/>
        <v>458.38901659119472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11.510273536654053</v>
      </c>
      <c r="AX17" s="23">
        <f t="shared" si="6"/>
        <v>11.510273536654053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5.5909090909090908</v>
      </c>
      <c r="BD17" s="13">
        <f>IF('Données projet'!$A$88&gt;35,BD16+BC17-BL16,IF(A17&lt;'Données projet'!$A$88,$BA$205^A17,IF(A17='Données projet'!$A$88,'Données projet'!$B$88,BD16+BC17-BL16)))</f>
        <v>21.376648512419013</v>
      </c>
      <c r="BE17" s="14">
        <f>BD17*VLOOKUP('Données projet'!$B$11,Paramètres!$A$1:$I$89,3,0)*VLOOKUP('Données projet'!$B$11,Paramètres!$A$1:$I$89,5,0)</f>
        <v>12.783235810426572</v>
      </c>
      <c r="BF17" s="14">
        <f t="shared" si="37"/>
        <v>4.3790497183898731</v>
      </c>
      <c r="BG17" s="22">
        <f t="shared" si="7"/>
        <v>29.890980629355308</v>
      </c>
      <c r="BH17" s="62">
        <f t="shared" si="8"/>
        <v>231.92084240162851</v>
      </c>
      <c r="BI17" s="62">
        <f ca="1">AVERAGE(OFFSET($BH$3,0,0,'Données projet'!$E$11+1,1))-AVERAGE(OFFSET($H$3,0,0,'Données projet'!$E$11+1,1))</f>
        <v>387.37910791664007</v>
      </c>
      <c r="BJ17" s="62">
        <f t="shared" si="38"/>
        <v>311.37245656657353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19.375</v>
      </c>
      <c r="N18" s="14">
        <f>IF('Données projet'!$A$36&gt;35,N17+M18-V17,IF(A18&lt;'Données projet'!$A$36,$K$205^A18,IF(A18='Données projet'!$A$36,'Données projet'!$B$36,N17+M18-V17)))</f>
        <v>216.59657651673538</v>
      </c>
      <c r="O18" s="14">
        <f>N18*VLOOKUP('Données projet'!$B$9,Paramètres!$A$1:$I$89,3,0)*VLOOKUP('Données projet'!$B$9,Paramètres!$A$1:$I$89,5,0)</f>
        <v>124.00587198736135</v>
      </c>
      <c r="P18" s="14">
        <f t="shared" si="33"/>
        <v>32.607510100534661</v>
      </c>
      <c r="Q18" s="22">
        <f t="shared" si="2"/>
        <v>272.76830713641885</v>
      </c>
      <c r="R18" s="62">
        <f t="shared" si="0"/>
        <v>477.26505706929993</v>
      </c>
      <c r="S18" s="62">
        <f ca="1">AVERAGE(OFFSET($R$3,0,0,'Données projet'!$E$9+1,1))-AVERAGE(OFFSET($H$3,0,0,'Données projet'!$E$9+1,1))</f>
        <v>80.063676766746568</v>
      </c>
      <c r="T18" s="62">
        <f t="shared" si="34"/>
        <v>410.68113780291992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20.8</v>
      </c>
      <c r="AI18" s="14">
        <f>IF('Données projet'!$A$62&gt;35,AI17+AH18-AQ17,IF(A18&lt;'Données projet'!$A$62,$AF$205^A18,IF(A18='Données projet'!$A$62,'Données projet'!$B$62,AI17+AH18-AQ17)))</f>
        <v>134.4</v>
      </c>
      <c r="AJ18" s="14">
        <f>AI18*VLOOKUP('Données projet'!$B$10,Paramètres!$A$1:$I$89,3,0)*VLOOKUP('Données projet'!$B$10,Paramètres!$A$1:$I$89,5,0)</f>
        <v>80.371200000000016</v>
      </c>
      <c r="AK18" s="14">
        <f t="shared" si="35"/>
        <v>22.227919990990831</v>
      </c>
      <c r="AL18" s="22">
        <f t="shared" si="4"/>
        <v>178.69346731764236</v>
      </c>
      <c r="AM18" s="62">
        <f t="shared" si="5"/>
        <v>383.1902172505234</v>
      </c>
      <c r="AN18" s="62">
        <f ca="1">AVERAGE(OFFSET($AM$3,0,0,'Données projet'!$E$10+1,1))-AVERAGE(OFFSET($H$3,0,0,'Données projet'!$E$10+1,1))</f>
        <v>189.09998601768521</v>
      </c>
      <c r="AO18" s="62">
        <f t="shared" si="36"/>
        <v>458.38901659119472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8.1389924710801456</v>
      </c>
      <c r="AX18" s="23">
        <f t="shared" si="6"/>
        <v>8.1389924710801456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5.5909090909090908</v>
      </c>
      <c r="BD18" s="13">
        <f>IF('Données projet'!$A$88&gt;35,BD17+BC18-BL17,IF(A18&lt;'Données projet'!$A$88,$BA$205^A18,IF(A18='Données projet'!$A$88,'Données projet'!$B$88,BD17+BC18-BL17)))</f>
        <v>26.603287217402478</v>
      </c>
      <c r="BE18" s="14">
        <f>BD18*VLOOKUP('Données projet'!$B$11,Paramètres!$A$1:$I$89,3,0)*VLOOKUP('Données projet'!$B$11,Paramètres!$A$1:$I$89,5,0)</f>
        <v>15.908765756006684</v>
      </c>
      <c r="BF18" s="14">
        <f t="shared" si="37"/>
        <v>5.312733913945455</v>
      </c>
      <c r="BG18" s="22">
        <f t="shared" si="7"/>
        <v>36.960778591833304</v>
      </c>
      <c r="BH18" s="62">
        <f t="shared" si="8"/>
        <v>241.45752852471435</v>
      </c>
      <c r="BI18" s="62">
        <f ca="1">AVERAGE(OFFSET($BH$3,0,0,'Données projet'!$E$11+1,1))-AVERAGE(OFFSET($H$3,0,0,'Données projet'!$E$11+1,1))</f>
        <v>387.37910791664007</v>
      </c>
      <c r="BJ18" s="62">
        <f t="shared" si="38"/>
        <v>311.37245656657353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>
        <f>VLOOKUP(A19,'Données projet'!$A$35:$I$55,2,0)</f>
        <v>310</v>
      </c>
      <c r="L19" s="13">
        <f>VLOOKUP(A19,'Données projet'!$A$35:$I$55,9,0)</f>
        <v>19.375</v>
      </c>
      <c r="M19" s="13">
        <f t="array" ref="M19">INDEX(L:L,MIN(IF(ISNUMBER(L19:L215),ROW(L19:L215),"")))</f>
        <v>19.375</v>
      </c>
      <c r="N19" s="14">
        <f>IF('Données projet'!$A$36&gt;35,N18+M19-V18,IF(A19&lt;'Données projet'!$A$36,$K$205^A19,IF(A19='Données projet'!$A$36,'Données projet'!$B$36,N18+M19-V18)))</f>
        <v>310</v>
      </c>
      <c r="O19" s="14">
        <f>N19*VLOOKUP('Données projet'!$B$9,Paramètres!$A$1:$I$89,3,0)*VLOOKUP('Données projet'!$B$9,Paramètres!$A$1:$I$89,5,0)</f>
        <v>177.4812</v>
      </c>
      <c r="P19" s="14">
        <f t="shared" si="33"/>
        <v>44.761340792807246</v>
      </c>
      <c r="Q19" s="22">
        <f t="shared" si="2"/>
        <v>387.07242521413923</v>
      </c>
      <c r="R19" s="62">
        <f t="shared" si="0"/>
        <v>594.01447113625329</v>
      </c>
      <c r="S19" s="62">
        <f ca="1">AVERAGE(OFFSET($R$3,0,0,'Données projet'!$E$9+1,1))-AVERAGE(OFFSET($H$3,0,0,'Données projet'!$E$9+1,1))</f>
        <v>80.063676766746568</v>
      </c>
      <c r="T19" s="62">
        <f t="shared" si="34"/>
        <v>410.68113780291992</v>
      </c>
      <c r="U19" s="16">
        <f>IF(ISNA(VLOOKUP(A19,'Données projet'!$A$35:$I$55,3,0)),0,VLOOKUP(A19,'Données projet'!$A$35:$I$55,3,0))</f>
        <v>1</v>
      </c>
      <c r="V19" s="16">
        <f>IF(ISNA(VLOOKUP(A19,'Données projet'!$A$35:$I$55,4,0)),0,VLOOKUP(A19,'Données projet'!$A$35:$I$55,4,0))</f>
        <v>310</v>
      </c>
      <c r="W19" s="17">
        <f>IF(ISNA(VLOOKUP(A19,'Données projet'!$A$35:$I$55,5,0)),0%,VLOOKUP(A19,'Données projet'!$A$35:$I$55,5,0)*VLOOKUP('Données projet'!$B$9,Paramètres!$A$1:$I$89,7,0))</f>
        <v>0.54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0.1</v>
      </c>
      <c r="Z19" s="23">
        <f>EXP(-LN(2)/35)*Z18+(1-EXP(-LN(2)/35))/(LN(2)/35)*V19*W19*VLOOKUP('Données projet'!$B$9,Paramètres!$A$1:$I$89,3,0)*0.475*44/12</f>
        <v>105.94811314294027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16.745828903646181</v>
      </c>
      <c r="AC19" s="24">
        <f t="shared" si="3"/>
        <v>122.69394204658646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20.8</v>
      </c>
      <c r="AI19" s="14">
        <f>IF('Données projet'!$A$62&gt;35,AI18+AH19-AQ18,IF(A19&lt;'Données projet'!$A$62,$AF$205^A19,IF(A19='Données projet'!$A$62,'Données projet'!$B$62,AI18+AH19-AQ18)))</f>
        <v>155.20000000000002</v>
      </c>
      <c r="AJ19" s="14">
        <f>AI19*VLOOKUP('Données projet'!$B$10,Paramètres!$A$1:$I$89,3,0)*VLOOKUP('Données projet'!$B$10,Paramètres!$A$1:$I$89,5,0)</f>
        <v>92.809600000000017</v>
      </c>
      <c r="AK19" s="14">
        <f t="shared" si="35"/>
        <v>25.241615800824192</v>
      </c>
      <c r="AL19" s="22">
        <f t="shared" si="4"/>
        <v>205.60586751976882</v>
      </c>
      <c r="AM19" s="62">
        <f t="shared" si="5"/>
        <v>412.54791344188288</v>
      </c>
      <c r="AN19" s="62">
        <f ca="1">AVERAGE(OFFSET($AM$3,0,0,'Données projet'!$E$10+1,1))-AVERAGE(OFFSET($H$3,0,0,'Données projet'!$E$10+1,1))</f>
        <v>189.09998601768521</v>
      </c>
      <c r="AO19" s="62">
        <f t="shared" si="36"/>
        <v>458.38901659119472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5.7551367683270263</v>
      </c>
      <c r="AX19" s="23">
        <f t="shared" si="6"/>
        <v>5.7551367683270263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5.5909090909090908</v>
      </c>
      <c r="BD19" s="13">
        <f>IF('Données projet'!$A$88&gt;35,BD18+BC19-BL18,IF(A19&lt;'Données projet'!$A$88,$BA$205^A19,IF(A19='Données projet'!$A$88,'Données projet'!$B$88,BD18+BC19-BL18)))</f>
        <v>33.107850856996748</v>
      </c>
      <c r="BE19" s="14">
        <f>BD19*VLOOKUP('Données projet'!$B$11,Paramètres!$A$1:$I$89,3,0)*VLOOKUP('Données projet'!$B$11,Paramètres!$A$1:$I$89,5,0)</f>
        <v>19.798494812484059</v>
      </c>
      <c r="BF19" s="14">
        <f t="shared" si="37"/>
        <v>6.4454946747588586</v>
      </c>
      <c r="BG19" s="22">
        <f t="shared" si="7"/>
        <v>45.70828169028141</v>
      </c>
      <c r="BH19" s="62">
        <f t="shared" si="8"/>
        <v>252.65032761239547</v>
      </c>
      <c r="BI19" s="62">
        <f ca="1">AVERAGE(OFFSET($BH$3,0,0,'Données projet'!$E$11+1,1))-AVERAGE(OFFSET($H$3,0,0,'Données projet'!$E$11+1,1))</f>
        <v>387.37910791664007</v>
      </c>
      <c r="BJ19" s="62">
        <f t="shared" si="38"/>
        <v>311.37245656657353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0</v>
      </c>
      <c r="N20" s="14">
        <f>IF('Données projet'!$A$36&gt;35,N19+M20-V19,IF(A20&lt;'Données projet'!$A$36,$K$205^A20,IF(A20='Données projet'!$A$36,'Données projet'!$B$36,N19+M20-V19)))</f>
        <v>0</v>
      </c>
      <c r="O20" s="14">
        <f>N20*VLOOKUP('Données projet'!$B$9,Paramètres!$A$1:$I$89,3,0)*VLOOKUP('Données projet'!$B$9,Paramètres!$A$1:$I$89,5,0)</f>
        <v>0</v>
      </c>
      <c r="P20" s="14" t="e">
        <f t="shared" si="33"/>
        <v>#NUM!</v>
      </c>
      <c r="Q20" s="22" t="e">
        <f t="shared" si="2"/>
        <v>#NUM!</v>
      </c>
      <c r="R20" s="62" t="e">
        <f t="shared" si="0"/>
        <v>#NUM!</v>
      </c>
      <c r="S20" s="62">
        <f ca="1">AVERAGE(OFFSET($R$3,0,0,'Données projet'!$E$9+1,1))-AVERAGE(OFFSET($H$3,0,0,'Données projet'!$E$9+1,1))</f>
        <v>80.063676766746568</v>
      </c>
      <c r="T20" s="62">
        <f t="shared" si="34"/>
        <v>410.68113780291992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103.87053526617534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11.841089174357904</v>
      </c>
      <c r="AC20" s="24">
        <f t="shared" si="3"/>
        <v>115.71162444053324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>
        <f>VLOOKUP(A20,'Données projet'!$A$61:$I$81,2,0)</f>
        <v>176</v>
      </c>
      <c r="AG20" s="13">
        <f>VLOOKUP(A20,'Données projet'!$A$61:$I$81,9,0)</f>
        <v>20.8</v>
      </c>
      <c r="AH20" s="13">
        <f t="array" ref="AH20">INDEX(AG:AG,MIN(IF(ISNUMBER(AG20:AG216),ROW(AG20:AG216),"")))</f>
        <v>20.8</v>
      </c>
      <c r="AI20" s="14">
        <f>IF('Données projet'!$A$62&gt;35,AI19+AH20-AQ19,IF(A20&lt;'Données projet'!$A$62,$AF$205^A20,IF(A20='Données projet'!$A$62,'Données projet'!$B$62,AI19+AH20-AQ19)))</f>
        <v>176.00000000000003</v>
      </c>
      <c r="AJ20" s="14">
        <f>AI20*VLOOKUP('Données projet'!$B$10,Paramètres!$A$1:$I$89,3,0)*VLOOKUP('Données projet'!$B$10,Paramètres!$A$1:$I$89,5,0)</f>
        <v>105.24800000000003</v>
      </c>
      <c r="AK20" s="14">
        <f t="shared" si="35"/>
        <v>28.208515027560551</v>
      </c>
      <c r="AL20" s="22">
        <f t="shared" si="4"/>
        <v>232.43676367300134</v>
      </c>
      <c r="AM20" s="62">
        <f t="shared" si="5"/>
        <v>441.80288798887409</v>
      </c>
      <c r="AN20" s="62">
        <f ca="1">AVERAGE(OFFSET($AM$3,0,0,'Données projet'!$E$10+1,1))-AVERAGE(OFFSET($H$3,0,0,'Données projet'!$E$10+1,1))</f>
        <v>189.09998601768521</v>
      </c>
      <c r="AO20" s="62">
        <f t="shared" si="36"/>
        <v>458.38901659119472</v>
      </c>
      <c r="AP20" s="16">
        <f>IF(ISNA(VLOOKUP(A20,'Données projet'!$A$61:$I$81,3,0)),0,VLOOKUP(A20,'Données projet'!$A$61:$I$81,3,0))</f>
        <v>2</v>
      </c>
      <c r="AQ20" s="16">
        <f>IF(ISNA(VLOOKUP(A20,'Données projet'!$A$61:$I$81,4,0)),0,VLOOKUP(A20,'Données projet'!$A$61:$I$81,4,0))</f>
        <v>43</v>
      </c>
      <c r="AR20" s="17">
        <f>IF(ISNA(VLOOKUP(A20,'Données projet'!$A$61:$I$81,5,0)),0%,VLOOKUP(A20,'Données projet'!$A$61:$I$81,5,0)*VLOOKUP('Données projet'!$B$10,Paramètres!$A$1:$I$89,7,0))</f>
        <v>9.0000000000000011E-2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0.8</v>
      </c>
      <c r="AU20" s="23">
        <f>EXP(-LN(2)/35)*AU19+(1-EXP(-LN(2)/35))/(LN(2)/35)*AQ20*AR20*VLOOKUP('Données projet'!$B$10,Paramètres!$A$1:$I$89,3,0)*0.475*44/12</f>
        <v>3.0700150566455107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27.360873274416509</v>
      </c>
      <c r="AX20" s="23">
        <f t="shared" si="6"/>
        <v>30.430888331062018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5.5909090909090908</v>
      </c>
      <c r="BD20" s="13">
        <f>IF('Données projet'!$A$88&gt;35,BD19+BC20-BL19,IF(A20&lt;'Données projet'!$A$88,$BA$205^A20,IF(A20='Données projet'!$A$88,'Données projet'!$B$88,BD19+BC20-BL19)))</f>
        <v>41.202794955809431</v>
      </c>
      <c r="BE20" s="14">
        <f>BD20*VLOOKUP('Données projet'!$B$11,Paramètres!$A$1:$I$89,3,0)*VLOOKUP('Données projet'!$B$11,Paramètres!$A$1:$I$89,5,0)</f>
        <v>24.639271383574041</v>
      </c>
      <c r="BF20" s="14">
        <f t="shared" si="37"/>
        <v>7.8197783429910519</v>
      </c>
      <c r="BG20" s="22">
        <f t="shared" si="7"/>
        <v>56.532844940434195</v>
      </c>
      <c r="BH20" s="62">
        <f t="shared" si="8"/>
        <v>265.89896925630694</v>
      </c>
      <c r="BI20" s="62">
        <f ca="1">AVERAGE(OFFSET($BH$3,0,0,'Données projet'!$E$11+1,1))-AVERAGE(OFFSET($H$3,0,0,'Données projet'!$E$11+1,1))</f>
        <v>387.37910791664007</v>
      </c>
      <c r="BJ20" s="62">
        <f t="shared" si="38"/>
        <v>311.37245656657353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0</v>
      </c>
      <c r="N21" s="14">
        <f>IF('Données projet'!$A$36&gt;35,N20+M21-V20,IF(A21&lt;'Données projet'!$A$36,$K$205^A21,IF(A21='Données projet'!$A$36,'Données projet'!$B$36,N20+M21-V20)))</f>
        <v>0</v>
      </c>
      <c r="O21" s="14">
        <f>N21*VLOOKUP('Données projet'!$B$9,Paramètres!$A$1:$I$89,3,0)*VLOOKUP('Données projet'!$B$9,Paramètres!$A$1:$I$89,5,0)</f>
        <v>0</v>
      </c>
      <c r="P21" s="14" t="e">
        <f t="shared" si="33"/>
        <v>#NUM!</v>
      </c>
      <c r="Q21" s="22" t="e">
        <f t="shared" si="2"/>
        <v>#NUM!</v>
      </c>
      <c r="R21" s="62" t="e">
        <f t="shared" si="0"/>
        <v>#NUM!</v>
      </c>
      <c r="S21" s="62">
        <f ca="1">AVERAGE(OFFSET($R$3,0,0,'Données projet'!$E$9+1,1))-AVERAGE(OFFSET($H$3,0,0,'Données projet'!$E$9+1,1))</f>
        <v>80.063676766746568</v>
      </c>
      <c r="T21" s="62">
        <f t="shared" si="34"/>
        <v>410.68113780291992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101.83369742437638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8.3729144518230925</v>
      </c>
      <c r="AC21" s="24">
        <f t="shared" si="3"/>
        <v>110.20661187619947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19.8</v>
      </c>
      <c r="AI21" s="14">
        <f>IF('Données projet'!$A$62&gt;35,AI20+AH21-AQ20,IF(A21&lt;'Données projet'!$A$62,$AF$205^A21,IF(A21='Données projet'!$A$62,'Données projet'!$B$62,AI20+AH21-AQ20)))</f>
        <v>152.80000000000004</v>
      </c>
      <c r="AJ21" s="14">
        <f>AI21*VLOOKUP('Données projet'!$B$10,Paramètres!$A$1:$I$89,3,0)*VLOOKUP('Données projet'!$B$10,Paramètres!$A$1:$I$89,5,0)</f>
        <v>91.374400000000037</v>
      </c>
      <c r="AK21" s="14">
        <f t="shared" si="35"/>
        <v>24.89640423383166</v>
      </c>
      <c r="AL21" s="22">
        <f t="shared" si="4"/>
        <v>202.50498404059022</v>
      </c>
      <c r="AM21" s="62">
        <f t="shared" si="5"/>
        <v>414.27433723259333</v>
      </c>
      <c r="AN21" s="62">
        <f ca="1">AVERAGE(OFFSET($AM$3,0,0,'Données projet'!$E$10+1,1))-AVERAGE(OFFSET($H$3,0,0,'Données projet'!$E$10+1,1))</f>
        <v>189.09998601768521</v>
      </c>
      <c r="AO21" s="62">
        <f t="shared" si="36"/>
        <v>458.38901659119472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3.0098139339089802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19.347059031525692</v>
      </c>
      <c r="AX21" s="23">
        <f t="shared" si="6"/>
        <v>22.356872965434672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5.5909090909090908</v>
      </c>
      <c r="BD21" s="13">
        <f>IF('Données projet'!$A$88&gt;35,BD20+BC21-BL20,IF(A21&lt;'Données projet'!$A$88,$BA$205^A21,IF(A21='Données projet'!$A$88,'Données projet'!$B$88,BD20+BC21-BL20)))</f>
        <v>51.276971117915458</v>
      </c>
      <c r="BE21" s="14">
        <f>BD21*VLOOKUP('Données projet'!$B$11,Paramètres!$A$1:$I$89,3,0)*VLOOKUP('Données projet'!$B$11,Paramètres!$A$1:$I$89,5,0)</f>
        <v>30.663628728513448</v>
      </c>
      <c r="BF21" s="14">
        <f t="shared" si="37"/>
        <v>9.4870815071768995</v>
      </c>
      <c r="BG21" s="22">
        <f t="shared" si="7"/>
        <v>69.929153660494023</v>
      </c>
      <c r="BH21" s="62">
        <f t="shared" si="8"/>
        <v>281.69850685249713</v>
      </c>
      <c r="BI21" s="62">
        <f ca="1">AVERAGE(OFFSET($BH$3,0,0,'Données projet'!$E$11+1,1))-AVERAGE(OFFSET($H$3,0,0,'Données projet'!$E$11+1,1))</f>
        <v>387.37910791664007</v>
      </c>
      <c r="BJ21" s="62">
        <f t="shared" si="38"/>
        <v>311.37245656657353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0</v>
      </c>
      <c r="N22" s="14">
        <f>IF('Données projet'!$A$36&gt;35,N21+M22-V21,IF(A22&lt;'Données projet'!$A$36,$K$205^A22,IF(A22='Données projet'!$A$36,'Données projet'!$B$36,N21+M22-V21)))</f>
        <v>0</v>
      </c>
      <c r="O22" s="14">
        <f>N22*VLOOKUP('Données projet'!$B$9,Paramètres!$A$1:$I$89,3,0)*VLOOKUP('Données projet'!$B$9,Paramètres!$A$1:$I$89,5,0)</f>
        <v>0</v>
      </c>
      <c r="P22" s="14" t="e">
        <f t="shared" si="33"/>
        <v>#NUM!</v>
      </c>
      <c r="Q22" s="22" t="e">
        <f t="shared" si="2"/>
        <v>#NUM!</v>
      </c>
      <c r="R22" s="62" t="e">
        <f t="shared" si="0"/>
        <v>#NUM!</v>
      </c>
      <c r="S22" s="62">
        <f ca="1">AVERAGE(OFFSET($R$3,0,0,'Données projet'!$E$9+1,1))-AVERAGE(OFFSET($H$3,0,0,'Données projet'!$E$9+1,1))</f>
        <v>80.063676766746568</v>
      </c>
      <c r="T22" s="62">
        <f t="shared" si="34"/>
        <v>410.68113780291992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99.836800730306692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5.920544587178953</v>
      </c>
      <c r="AC22" s="24">
        <f t="shared" si="3"/>
        <v>105.75734531748564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19.8</v>
      </c>
      <c r="AI22" s="14">
        <f>IF('Données projet'!$A$62&gt;35,AI21+AH22-AQ21,IF(A22&lt;'Données projet'!$A$62,$AF$205^A22,IF(A22='Données projet'!$A$62,'Données projet'!$B$62,AI21+AH22-AQ21)))</f>
        <v>172.60000000000005</v>
      </c>
      <c r="AJ22" s="14">
        <f>AI22*VLOOKUP('Données projet'!$B$10,Paramètres!$A$1:$I$89,3,0)*VLOOKUP('Données projet'!$B$10,Paramètres!$A$1:$I$89,5,0)</f>
        <v>103.21480000000004</v>
      </c>
      <c r="AK22" s="14">
        <f t="shared" si="35"/>
        <v>27.726463199430338</v>
      </c>
      <c r="AL22" s="22">
        <f t="shared" si="4"/>
        <v>228.05603340567458</v>
      </c>
      <c r="AM22" s="62">
        <f t="shared" si="5"/>
        <v>442.20812764869811</v>
      </c>
      <c r="AN22" s="62">
        <f ca="1">AVERAGE(OFFSET($AM$3,0,0,'Données projet'!$E$10+1,1))-AVERAGE(OFFSET($H$3,0,0,'Données projet'!$E$10+1,1))</f>
        <v>189.09998601768521</v>
      </c>
      <c r="AO22" s="62">
        <f t="shared" si="36"/>
        <v>458.38901659119472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2.9507933184702542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13.680436637208256</v>
      </c>
      <c r="AX22" s="23">
        <f t="shared" si="6"/>
        <v>16.63122995567851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5.5909090909090908</v>
      </c>
      <c r="BD22" s="13">
        <f>IF('Données projet'!$A$88&gt;35,BD21+BC22-BL21,IF(A22&lt;'Données projet'!$A$88,$BA$205^A22,IF(A22='Données projet'!$A$88,'Données projet'!$B$88,BD21+BC22-BL21)))</f>
        <v>63.814306040343304</v>
      </c>
      <c r="BE22" s="14">
        <f>BD22*VLOOKUP('Données projet'!$B$11,Paramètres!$A$1:$I$89,3,0)*VLOOKUP('Données projet'!$B$11,Paramètres!$A$1:$I$89,5,0)</f>
        <v>38.160955012125299</v>
      </c>
      <c r="BF22" s="14">
        <f t="shared" si="37"/>
        <v>11.509880661066306</v>
      </c>
      <c r="BG22" s="22">
        <f t="shared" si="7"/>
        <v>86.510038797475374</v>
      </c>
      <c r="BH22" s="62">
        <f t="shared" si="8"/>
        <v>300.66213304049893</v>
      </c>
      <c r="BI22" s="62">
        <f ca="1">AVERAGE(OFFSET($BH$3,0,0,'Données projet'!$E$11+1,1))-AVERAGE(OFFSET($H$3,0,0,'Données projet'!$E$11+1,1))</f>
        <v>387.37910791664007</v>
      </c>
      <c r="BJ22" s="62">
        <f t="shared" si="38"/>
        <v>311.37245656657353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0</v>
      </c>
      <c r="N23" s="14">
        <f>IF('Données projet'!$A$36&gt;35,N22+M23-V22,IF(A23&lt;'Données projet'!$A$36,$K$205^A23,IF(A23='Données projet'!$A$36,'Données projet'!$B$36,N22+M23-V22)))</f>
        <v>0</v>
      </c>
      <c r="O23" s="14">
        <f>N23*VLOOKUP('Données projet'!$B$9,Paramètres!$A$1:$I$89,3,0)*VLOOKUP('Données projet'!$B$9,Paramètres!$A$1:$I$89,5,0)</f>
        <v>0</v>
      </c>
      <c r="P23" s="14" t="e">
        <f t="shared" si="33"/>
        <v>#NUM!</v>
      </c>
      <c r="Q23" s="22" t="e">
        <f t="shared" si="2"/>
        <v>#NUM!</v>
      </c>
      <c r="R23" s="62" t="e">
        <f t="shared" si="0"/>
        <v>#NUM!</v>
      </c>
      <c r="S23" s="62">
        <f ca="1">AVERAGE(OFFSET($R$3,0,0,'Données projet'!$E$9+1,1))-AVERAGE(OFFSET($H$3,0,0,'Données projet'!$E$9+1,1))</f>
        <v>80.063676766746568</v>
      </c>
      <c r="T23" s="62">
        <f t="shared" si="34"/>
        <v>410.68113780291992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97.879061962420991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4.1864572259115462</v>
      </c>
      <c r="AC23" s="24">
        <f t="shared" si="3"/>
        <v>102.06551918833253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19.8</v>
      </c>
      <c r="AI23" s="14">
        <f>IF('Données projet'!$A$62&gt;35,AI22+AH23-AQ22,IF(A23&lt;'Données projet'!$A$62,$AF$205^A23,IF(A23='Données projet'!$A$62,'Données projet'!$B$62,AI22+AH23-AQ22)))</f>
        <v>192.40000000000006</v>
      </c>
      <c r="AJ23" s="14">
        <f>AI23*VLOOKUP('Données projet'!$B$10,Paramètres!$A$1:$I$89,3,0)*VLOOKUP('Données projet'!$B$10,Paramètres!$A$1:$I$89,5,0)</f>
        <v>115.05520000000004</v>
      </c>
      <c r="AK23" s="14">
        <f t="shared" si="35"/>
        <v>30.5188966745568</v>
      </c>
      <c r="AL23" s="22">
        <f t="shared" si="4"/>
        <v>253.54155170818649</v>
      </c>
      <c r="AM23" s="62">
        <f t="shared" si="5"/>
        <v>470.05625459508224</v>
      </c>
      <c r="AN23" s="62">
        <f ca="1">AVERAGE(OFFSET($AM$3,0,0,'Données projet'!$E$10+1,1))-AVERAGE(OFFSET($H$3,0,0,'Données projet'!$E$10+1,1))</f>
        <v>189.09998601768521</v>
      </c>
      <c r="AO23" s="62">
        <f t="shared" si="36"/>
        <v>458.38901659119472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2.8929300613012607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9.6735295157628478</v>
      </c>
      <c r="AX23" s="23">
        <f t="shared" si="6"/>
        <v>12.566459577064109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5.5909090909090908</v>
      </c>
      <c r="BD23" s="13">
        <f>IF('Données projet'!$A$88&gt;35,BD22+BC23-BL22,IF(A23&lt;'Données projet'!$A$88,$BA$205^A23,IF(A23='Données projet'!$A$88,'Données projet'!$B$88,BD22+BC23-BL22)))</f>
        <v>79.417047587426694</v>
      </c>
      <c r="BE23" s="14">
        <f>BD23*VLOOKUP('Données projet'!$B$11,Paramètres!$A$1:$I$89,3,0)*VLOOKUP('Données projet'!$B$11,Paramètres!$A$1:$I$89,5,0)</f>
        <v>47.49139445728116</v>
      </c>
      <c r="BF23" s="14">
        <f t="shared" si="37"/>
        <v>13.96397329692701</v>
      </c>
      <c r="BG23" s="22">
        <f t="shared" si="7"/>
        <v>107.03476550524589</v>
      </c>
      <c r="BH23" s="62">
        <f t="shared" si="8"/>
        <v>323.54946839214159</v>
      </c>
      <c r="BI23" s="62">
        <f ca="1">AVERAGE(OFFSET($BH$3,0,0,'Données projet'!$E$11+1,1))-AVERAGE(OFFSET($H$3,0,0,'Données projet'!$E$11+1,1))</f>
        <v>387.37910791664007</v>
      </c>
      <c r="BJ23" s="62">
        <f t="shared" si="38"/>
        <v>311.37245656657353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0</v>
      </c>
      <c r="N24" s="14">
        <f>IF('Données projet'!$A$36&gt;35,N23+M24-V23,IF(A24&lt;'Données projet'!$A$36,$K$205^A24,IF(A24='Données projet'!$A$36,'Données projet'!$B$36,N23+M24-V23)))</f>
        <v>0</v>
      </c>
      <c r="O24" s="14">
        <f>N24*VLOOKUP('Données projet'!$B$9,Paramètres!$A$1:$I$89,3,0)*VLOOKUP('Données projet'!$B$9,Paramètres!$A$1:$I$89,5,0)</f>
        <v>0</v>
      </c>
      <c r="P24" s="14" t="e">
        <f t="shared" si="33"/>
        <v>#NUM!</v>
      </c>
      <c r="Q24" s="22" t="e">
        <f t="shared" si="2"/>
        <v>#NUM!</v>
      </c>
      <c r="R24" s="62" t="e">
        <f t="shared" si="0"/>
        <v>#NUM!</v>
      </c>
      <c r="S24" s="62">
        <f ca="1">AVERAGE(OFFSET($R$3,0,0,'Données projet'!$E$9+1,1))-AVERAGE(OFFSET($H$3,0,0,'Données projet'!$E$9+1,1))</f>
        <v>80.063676766746568</v>
      </c>
      <c r="T24" s="62">
        <f t="shared" si="34"/>
        <v>410.68113780291992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95.959713257670799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2.9602722935894765</v>
      </c>
      <c r="AC24" s="24">
        <f t="shared" si="3"/>
        <v>98.919985551260282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19.8</v>
      </c>
      <c r="AI24" s="14">
        <f>IF('Données projet'!$A$62&gt;35,AI23+AH24-AQ23,IF(A24&lt;'Données projet'!$A$62,$AF$205^A24,IF(A24='Données projet'!$A$62,'Données projet'!$B$62,AI23+AH24-AQ23)))</f>
        <v>212.20000000000007</v>
      </c>
      <c r="AJ24" s="14">
        <f>AI24*VLOOKUP('Données projet'!$B$10,Paramètres!$A$1:$I$89,3,0)*VLOOKUP('Données projet'!$B$10,Paramètres!$A$1:$I$89,5,0)</f>
        <v>126.89560000000006</v>
      </c>
      <c r="AK24" s="14">
        <f t="shared" si="35"/>
        <v>33.278017701950326</v>
      </c>
      <c r="AL24" s="22">
        <f t="shared" si="4"/>
        <v>278.96905083089689</v>
      </c>
      <c r="AM24" s="62">
        <f t="shared" si="5"/>
        <v>497.82657920677127</v>
      </c>
      <c r="AN24" s="62">
        <f ca="1">AVERAGE(OFFSET($AM$3,0,0,'Données projet'!$E$10+1,1))-AVERAGE(OFFSET($H$3,0,0,'Données projet'!$E$10+1,1))</f>
        <v>189.09998601768521</v>
      </c>
      <c r="AO24" s="62">
        <f t="shared" si="36"/>
        <v>458.38901659119472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2.8362014673122493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6.8402183186041299</v>
      </c>
      <c r="AX24" s="23">
        <f t="shared" si="6"/>
        <v>9.6764197859163801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5.5909090909090908</v>
      </c>
      <c r="BD24" s="13">
        <f>IF('Données projet'!$A$88&gt;35,BD23+BC24-BL23,IF(A24&lt;'Données projet'!$A$88,$BA$205^A24,IF(A24='Données projet'!$A$88,'Données projet'!$B$88,BD23+BC24-BL23)))</f>
        <v>98.834694582689295</v>
      </c>
      <c r="BE24" s="14">
        <f>BD24*VLOOKUP('Données projet'!$B$11,Paramètres!$A$1:$I$89,3,0)*VLOOKUP('Données projet'!$B$11,Paramètres!$A$1:$I$89,5,0)</f>
        <v>59.103147360448204</v>
      </c>
      <c r="BF24" s="14">
        <f t="shared" si="37"/>
        <v>16.94131815778756</v>
      </c>
      <c r="BG24" s="22">
        <f t="shared" si="7"/>
        <v>132.44411077759398</v>
      </c>
      <c r="BH24" s="62">
        <f t="shared" si="8"/>
        <v>351.30163915346839</v>
      </c>
      <c r="BI24" s="62">
        <f ca="1">AVERAGE(OFFSET($BH$3,0,0,'Données projet'!$E$11+1,1))-AVERAGE(OFFSET($H$3,0,0,'Données projet'!$E$11+1,1))</f>
        <v>387.37910791664007</v>
      </c>
      <c r="BJ24" s="62">
        <f t="shared" si="38"/>
        <v>311.37245656657353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0</v>
      </c>
      <c r="N25" s="14">
        <f>IF('Données projet'!$A$36&gt;35,N24+M25-V24,IF(A25&lt;'Données projet'!$A$36,$K$205^A25,IF(A25='Données projet'!$A$36,'Données projet'!$B$36,N24+M25-V24)))</f>
        <v>0</v>
      </c>
      <c r="O25" s="14">
        <f>N25*VLOOKUP('Données projet'!$B$9,Paramètres!$A$1:$I$89,3,0)*VLOOKUP('Données projet'!$B$9,Paramètres!$A$1:$I$89,5,0)</f>
        <v>0</v>
      </c>
      <c r="P25" s="14" t="e">
        <f t="shared" si="33"/>
        <v>#NUM!</v>
      </c>
      <c r="Q25" s="22" t="e">
        <f t="shared" si="2"/>
        <v>#NUM!</v>
      </c>
      <c r="R25" s="62" t="e">
        <f t="shared" si="0"/>
        <v>#NUM!</v>
      </c>
      <c r="S25" s="62">
        <f ca="1">AVERAGE(OFFSET($R$3,0,0,'Données projet'!$E$9+1,1))-AVERAGE(OFFSET($H$3,0,0,'Données projet'!$E$9+1,1))</f>
        <v>80.063676766746568</v>
      </c>
      <c r="T25" s="62">
        <f t="shared" si="34"/>
        <v>410.68113780291992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94.078001810333646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2.0932286129557731</v>
      </c>
      <c r="AC25" s="24">
        <f t="shared" si="3"/>
        <v>96.171230423289416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>
        <f>VLOOKUP(A25,'Données projet'!$A$61:$I$81,2,0)</f>
        <v>232</v>
      </c>
      <c r="AG25" s="13">
        <f>VLOOKUP(A25,'Données projet'!$A$61:$I$81,9,0)</f>
        <v>19.8</v>
      </c>
      <c r="AH25" s="13">
        <f t="array" ref="AH25">INDEX(AG:AG,MIN(IF(ISNUMBER(AG25:AG221),ROW(AG25:AG221),"")))</f>
        <v>19.8</v>
      </c>
      <c r="AI25" s="14">
        <f>IF('Données projet'!$A$62&gt;35,AI24+AH25-AQ24,IF(A25&lt;'Données projet'!$A$62,$AF$205^A25,IF(A25='Données projet'!$A$62,'Données projet'!$B$62,AI24+AH25-AQ24)))</f>
        <v>232.00000000000009</v>
      </c>
      <c r="AJ25" s="14">
        <f>AI25*VLOOKUP('Données projet'!$B$10,Paramètres!$A$1:$I$89,3,0)*VLOOKUP('Données projet'!$B$10,Paramètres!$A$1:$I$89,5,0)</f>
        <v>138.73600000000005</v>
      </c>
      <c r="AK25" s="14">
        <f t="shared" si="35"/>
        <v>36.007288175538072</v>
      </c>
      <c r="AL25" s="22">
        <f t="shared" si="4"/>
        <v>304.34456023906222</v>
      </c>
      <c r="AM25" s="62">
        <f t="shared" si="5"/>
        <v>525.52547414253058</v>
      </c>
      <c r="AN25" s="62">
        <f ca="1">AVERAGE(OFFSET($AM$3,0,0,'Données projet'!$E$10+1,1))-AVERAGE(OFFSET($H$3,0,0,'Données projet'!$E$10+1,1))</f>
        <v>189.09998601768521</v>
      </c>
      <c r="AO25" s="62">
        <f t="shared" si="36"/>
        <v>458.38901659119472</v>
      </c>
      <c r="AP25" s="16">
        <f>IF(ISNA(VLOOKUP(A25,'Données projet'!$A$61:$I$81,3,0)),0,VLOOKUP(A25,'Données projet'!$A$61:$I$81,3,0))</f>
        <v>3</v>
      </c>
      <c r="AQ25" s="16">
        <f>IF(ISNA(VLOOKUP(A25,'Données projet'!$A$61:$I$81,4,0)),0,VLOOKUP(A25,'Données projet'!$A$61:$I$81,4,0))</f>
        <v>56</v>
      </c>
      <c r="AR25" s="17">
        <f>IF(ISNA(VLOOKUP(A25,'Données projet'!$A$61:$I$81,5,0)),0%,VLOOKUP(A25,'Données projet'!$A$61:$I$81,5,0)*VLOOKUP('Données projet'!$B$10,Paramètres!$A$1:$I$89,7,0))</f>
        <v>0.18000000000000002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0.6</v>
      </c>
      <c r="AU25" s="23">
        <f>EXP(-LN(2)/35)*AU24+(1-EXP(-LN(2)/35))/(LN(2)/35)*AQ25*AR25*VLOOKUP('Données projet'!$B$10,Paramètres!$A$1:$I$89,3,0)*0.475*44/12</f>
        <v>10.776903573527015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27.586481865621199</v>
      </c>
      <c r="AX25" s="23">
        <f t="shared" si="6"/>
        <v>38.363385439148217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>
        <f>VLOOKUP(A25,'Données projet'!$A$87:$I$107,2,0)</f>
        <v>123</v>
      </c>
      <c r="BB25" s="13">
        <f>VLOOKUP(A25,'Données projet'!$A$87:$I$107,9,0)</f>
        <v>5.5909090909090908</v>
      </c>
      <c r="BC25" s="13">
        <f t="array" ref="BC25">INDEX(BB:BB,MIN(IF(ISNUMBER(BB25:BB221),ROW(BB25:BB221),"")))</f>
        <v>5.5909090909090908</v>
      </c>
      <c r="BD25" s="13">
        <f>IF('Données projet'!$A$88&gt;35,BD24+BC25-BL24,IF(A25&lt;'Données projet'!$A$88,$BA$205^A25,IF(A25='Données projet'!$A$88,'Données projet'!$B$88,BD24+BC25-BL24)))</f>
        <v>123</v>
      </c>
      <c r="BE25" s="14">
        <f>BD25*VLOOKUP('Données projet'!$B$11,Paramètres!$A$1:$I$89,3,0)*VLOOKUP('Données projet'!$B$11,Paramètres!$A$1:$I$89,5,0)</f>
        <v>73.554000000000016</v>
      </c>
      <c r="BF25" s="14">
        <f t="shared" si="37"/>
        <v>20.553481077376691</v>
      </c>
      <c r="BG25" s="22">
        <f t="shared" si="7"/>
        <v>163.90386287643108</v>
      </c>
      <c r="BH25" s="62">
        <f t="shared" si="8"/>
        <v>385.08477677989947</v>
      </c>
      <c r="BI25" s="62">
        <f ca="1">AVERAGE(OFFSET($BH$3,0,0,'Données projet'!$E$11+1,1))-AVERAGE(OFFSET($H$3,0,0,'Données projet'!$E$11+1,1))</f>
        <v>387.37910791664007</v>
      </c>
      <c r="BJ25" s="62">
        <f t="shared" si="38"/>
        <v>311.37245656657353</v>
      </c>
      <c r="BK25" s="16">
        <f>IF(ISNA(VLOOKUP(A25,'Données projet'!$A$87:$I$107,3,0)),0,VLOOKUP(A25,'Données projet'!$A$87:$I$107,3,0))</f>
        <v>1</v>
      </c>
      <c r="BL25" s="16">
        <f>IF(ISNA(VLOOKUP(A25,'Données projet'!$A$87:$I$107,4,0)),0,VLOOKUP(A25,'Données projet'!$A$87:$I$107,4,0))</f>
        <v>16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1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10.833198622733226</v>
      </c>
      <c r="BS25" s="24">
        <f t="shared" si="9"/>
        <v>10.833198622733226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0</v>
      </c>
      <c r="N26" s="14">
        <f>IF('Données projet'!$A$36&gt;35,N25+M26-V25,IF(A26&lt;'Données projet'!$A$36,$K$205^A26,IF(A26='Données projet'!$A$36,'Données projet'!$B$36,N25+M26-V25)))</f>
        <v>0</v>
      </c>
      <c r="O26" s="14">
        <f>N26*VLOOKUP('Données projet'!$B$9,Paramètres!$A$1:$I$89,3,0)*VLOOKUP('Données projet'!$B$9,Paramètres!$A$1:$I$89,5,0)</f>
        <v>0</v>
      </c>
      <c r="P26" s="14" t="e">
        <f t="shared" si="33"/>
        <v>#NUM!</v>
      </c>
      <c r="Q26" s="22" t="e">
        <f t="shared" si="2"/>
        <v>#NUM!</v>
      </c>
      <c r="R26" s="62" t="e">
        <f t="shared" si="0"/>
        <v>#NUM!</v>
      </c>
      <c r="S26" s="62">
        <f ca="1">AVERAGE(OFFSET($R$3,0,0,'Données projet'!$E$9+1,1))-AVERAGE(OFFSET($H$3,0,0,'Données projet'!$E$9+1,1))</f>
        <v>80.063676766746568</v>
      </c>
      <c r="T26" s="62">
        <f t="shared" si="34"/>
        <v>410.68113780291992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92.233189576748117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1.4801361467947383</v>
      </c>
      <c r="AC26" s="24">
        <f t="shared" si="3"/>
        <v>93.713325723542852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16.625</v>
      </c>
      <c r="AI26" s="14">
        <f>IF('Données projet'!$A$62&gt;35,AI25+AH26-AQ25,IF(A26&lt;'Données projet'!$A$62,$AF$205^A26,IF(A26='Données projet'!$A$62,'Données projet'!$B$62,AI25+AH26-AQ25)))</f>
        <v>192.62500000000009</v>
      </c>
      <c r="AJ26" s="14">
        <f>AI26*VLOOKUP('Données projet'!$B$10,Paramètres!$A$1:$I$89,3,0)*VLOOKUP('Données projet'!$B$10,Paramètres!$A$1:$I$89,5,0)</f>
        <v>115.18975000000006</v>
      </c>
      <c r="AK26" s="14">
        <f t="shared" si="35"/>
        <v>30.550430193620951</v>
      </c>
      <c r="AL26" s="22">
        <f t="shared" si="4"/>
        <v>253.83081383722325</v>
      </c>
      <c r="AM26" s="62">
        <f t="shared" si="5"/>
        <v>477.31601054676975</v>
      </c>
      <c r="AN26" s="62">
        <f ca="1">AVERAGE(OFFSET($AM$3,0,0,'Données projet'!$E$10+1,1))-AVERAGE(OFFSET($H$3,0,0,'Données projet'!$E$10+1,1))</f>
        <v>189.09998601768521</v>
      </c>
      <c r="AO26" s="62">
        <f t="shared" si="36"/>
        <v>458.38901659119472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10.565575067712274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19.506588396260472</v>
      </c>
      <c r="AX26" s="23">
        <f t="shared" si="6"/>
        <v>30.072163463972746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12.333333333333334</v>
      </c>
      <c r="BD26" s="13">
        <f>IF('Données projet'!$A$88&gt;35,BD25+BC26-BL25,IF(A26&lt;'Données projet'!$A$88,$BA$205^A26,IF(A26='Données projet'!$A$88,'Données projet'!$B$88,BD25+BC26-BL25)))</f>
        <v>119.33333333333334</v>
      </c>
      <c r="BE26" s="14">
        <f>BD26*VLOOKUP('Données projet'!$B$11,Paramètres!$A$1:$I$89,3,0)*VLOOKUP('Données projet'!$B$11,Paramètres!$A$1:$I$89,5,0)</f>
        <v>71.361333333333349</v>
      </c>
      <c r="BF26" s="14">
        <f t="shared" si="37"/>
        <v>20.011144716858571</v>
      </c>
      <c r="BG26" s="22">
        <f t="shared" si="7"/>
        <v>159.14039927075092</v>
      </c>
      <c r="BH26" s="62">
        <f t="shared" si="8"/>
        <v>382.62559598029742</v>
      </c>
      <c r="BI26" s="62">
        <f ca="1">AVERAGE(OFFSET($BH$3,0,0,'Données projet'!$E$11+1,1))-AVERAGE(OFFSET($H$3,0,0,'Données projet'!$E$11+1,1))</f>
        <v>387.37910791664007</v>
      </c>
      <c r="BJ26" s="62">
        <f t="shared" si="38"/>
        <v>311.37245656657353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7.6602282080754316</v>
      </c>
      <c r="BS26" s="24">
        <f t="shared" si="9"/>
        <v>7.6602282080754316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0</v>
      </c>
      <c r="N27" s="14">
        <f>IF('Données projet'!$A$36&gt;35,N26+M27-V26,IF(A27&lt;'Données projet'!$A$36,$K$205^A27,IF(A27='Données projet'!$A$36,'Données projet'!$B$36,N26+M27-V26)))</f>
        <v>0</v>
      </c>
      <c r="O27" s="14">
        <f>N27*VLOOKUP('Données projet'!$B$9,Paramètres!$A$1:$I$89,3,0)*VLOOKUP('Données projet'!$B$9,Paramètres!$A$1:$I$89,5,0)</f>
        <v>0</v>
      </c>
      <c r="P27" s="14" t="e">
        <f t="shared" si="33"/>
        <v>#NUM!</v>
      </c>
      <c r="Q27" s="22" t="e">
        <f t="shared" si="2"/>
        <v>#NUM!</v>
      </c>
      <c r="R27" s="62" t="e">
        <f t="shared" si="0"/>
        <v>#NUM!</v>
      </c>
      <c r="S27" s="62">
        <f ca="1">AVERAGE(OFFSET($R$3,0,0,'Données projet'!$E$9+1,1))-AVERAGE(OFFSET($H$3,0,0,'Données projet'!$E$9+1,1))</f>
        <v>80.063676766746568</v>
      </c>
      <c r="T27" s="62">
        <f t="shared" si="34"/>
        <v>410.68113780291992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90.424552985838844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1.0466143064778866</v>
      </c>
      <c r="AC27" s="24">
        <f t="shared" si="3"/>
        <v>91.471167292316736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16.625</v>
      </c>
      <c r="AI27" s="14">
        <f>IF('Données projet'!$A$62&gt;35,AI26+AH27-AQ26,IF(A27&lt;'Données projet'!$A$62,$AF$205^A27,IF(A27='Données projet'!$A$62,'Données projet'!$B$62,AI26+AH27-AQ26)))</f>
        <v>209.25000000000009</v>
      </c>
      <c r="AJ27" s="14">
        <f>AI27*VLOOKUP('Données projet'!$B$10,Paramètres!$A$1:$I$89,3,0)*VLOOKUP('Données projet'!$B$10,Paramètres!$A$1:$I$89,5,0)</f>
        <v>125.13150000000006</v>
      </c>
      <c r="AK27" s="14">
        <f t="shared" si="35"/>
        <v>32.868905092404546</v>
      </c>
      <c r="AL27" s="22">
        <f t="shared" si="4"/>
        <v>275.18403886927132</v>
      </c>
      <c r="AM27" s="62">
        <f t="shared" si="5"/>
        <v>500.95474705289109</v>
      </c>
      <c r="AN27" s="62">
        <f ca="1">AVERAGE(OFFSET($AM$3,0,0,'Données projet'!$E$10+1,1))-AVERAGE(OFFSET($H$3,0,0,'Données projet'!$E$10+1,1))</f>
        <v>189.09998601768521</v>
      </c>
      <c r="AO27" s="62">
        <f t="shared" si="36"/>
        <v>458.38901659119472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10.358390584998899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13.793240932810601</v>
      </c>
      <c r="AX27" s="23">
        <f t="shared" si="6"/>
        <v>24.151631517809498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12.333333333333334</v>
      </c>
      <c r="BD27" s="13">
        <f>IF('Données projet'!$A$88&gt;35,BD26+BC27-BL26,IF(A27&lt;'Données projet'!$A$88,$BA$205^A27,IF(A27='Données projet'!$A$88,'Données projet'!$B$88,BD26+BC27-BL26)))</f>
        <v>131.66666666666669</v>
      </c>
      <c r="BE27" s="14">
        <f>BD27*VLOOKUP('Données projet'!$B$11,Paramètres!$A$1:$I$89,3,0)*VLOOKUP('Données projet'!$B$11,Paramètres!$A$1:$I$89,5,0)</f>
        <v>78.736666666666679</v>
      </c>
      <c r="BF27" s="14">
        <f t="shared" si="37"/>
        <v>21.828006984037064</v>
      </c>
      <c r="BG27" s="22">
        <f t="shared" si="7"/>
        <v>175.15013994164235</v>
      </c>
      <c r="BH27" s="62">
        <f t="shared" si="8"/>
        <v>400.92084812526218</v>
      </c>
      <c r="BI27" s="62">
        <f ca="1">AVERAGE(OFFSET($BH$3,0,0,'Données projet'!$E$11+1,1))-AVERAGE(OFFSET($H$3,0,0,'Données projet'!$E$11+1,1))</f>
        <v>387.37910791664007</v>
      </c>
      <c r="BJ27" s="62">
        <f t="shared" si="38"/>
        <v>311.37245656657353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5.416599311366614</v>
      </c>
      <c r="BS27" s="24">
        <f t="shared" si="9"/>
        <v>5.416599311366614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0</v>
      </c>
      <c r="N28" s="14">
        <f>IF('Données projet'!$A$36&gt;35,N27+M28-V27,IF(A28&lt;'Données projet'!$A$36,$K$205^A28,IF(A28='Données projet'!$A$36,'Données projet'!$B$36,N27+M28-V27)))</f>
        <v>0</v>
      </c>
      <c r="O28" s="14">
        <f>N28*VLOOKUP('Données projet'!$B$9,Paramètres!$A$1:$I$89,3,0)*VLOOKUP('Données projet'!$B$9,Paramètres!$A$1:$I$89,5,0)</f>
        <v>0</v>
      </c>
      <c r="P28" s="14" t="e">
        <f t="shared" si="33"/>
        <v>#NUM!</v>
      </c>
      <c r="Q28" s="22" t="e">
        <f t="shared" si="2"/>
        <v>#NUM!</v>
      </c>
      <c r="R28" s="62" t="e">
        <f t="shared" si="0"/>
        <v>#NUM!</v>
      </c>
      <c r="S28" s="62">
        <f ca="1">AVERAGE(OFFSET($R$3,0,0,'Données projet'!$E$9+1,1))-AVERAGE(OFFSET($H$3,0,0,'Données projet'!$E$9+1,1))</f>
        <v>80.063676766746568</v>
      </c>
      <c r="T28" s="62">
        <f t="shared" si="34"/>
        <v>410.68113780291992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88.651382655317903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0.74006807339736913</v>
      </c>
      <c r="AC28" s="24">
        <f t="shared" si="3"/>
        <v>89.39145072871527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16.625</v>
      </c>
      <c r="AI28" s="14">
        <f>IF('Données projet'!$A$62&gt;35,AI27+AH28-AQ27,IF(A28&lt;'Données projet'!$A$62,$AF$205^A28,IF(A28='Données projet'!$A$62,'Données projet'!$B$62,AI27+AH28-AQ27)))</f>
        <v>225.87500000000009</v>
      </c>
      <c r="AJ28" s="14">
        <f>AI28*VLOOKUP('Données projet'!$B$10,Paramètres!$A$1:$I$89,3,0)*VLOOKUP('Données projet'!$B$10,Paramètres!$A$1:$I$89,5,0)</f>
        <v>135.07325000000006</v>
      </c>
      <c r="AK28" s="14">
        <f t="shared" si="35"/>
        <v>35.166013795582487</v>
      </c>
      <c r="AL28" s="22">
        <f t="shared" si="4"/>
        <v>296.50005111063956</v>
      </c>
      <c r="AM28" s="62">
        <f t="shared" si="5"/>
        <v>524.53782507697167</v>
      </c>
      <c r="AN28" s="62">
        <f ca="1">AVERAGE(OFFSET($AM$3,0,0,'Données projet'!$E$10+1,1))-AVERAGE(OFFSET($H$3,0,0,'Données projet'!$E$10+1,1))</f>
        <v>189.09998601768521</v>
      </c>
      <c r="AO28" s="62">
        <f t="shared" si="36"/>
        <v>458.38901659119472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10.155268863621478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9.7532941981302379</v>
      </c>
      <c r="AX28" s="23">
        <f t="shared" si="6"/>
        <v>19.908563061751714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144</v>
      </c>
      <c r="BB28" s="13">
        <f>VLOOKUP(A28,'Données projet'!$A$87:$I$107,9,0)</f>
        <v>12.333333333333334</v>
      </c>
      <c r="BC28" s="13">
        <f t="array" ref="BC28">INDEX(BB:BB,MIN(IF(ISNUMBER(BB28:BB224),ROW(BB28:BB224),"")))</f>
        <v>12.333333333333334</v>
      </c>
      <c r="BD28" s="13">
        <f>IF('Données projet'!$A$88&gt;35,BD27+BC28-BL27,IF(A28&lt;'Données projet'!$A$88,$BA$205^A28,IF(A28='Données projet'!$A$88,'Données projet'!$B$88,BD27+BC28-BL27)))</f>
        <v>144.00000000000003</v>
      </c>
      <c r="BE28" s="14">
        <f>BD28*VLOOKUP('Données projet'!$B$11,Paramètres!$A$1:$I$89,3,0)*VLOOKUP('Données projet'!$B$11,Paramètres!$A$1:$I$89,5,0)</f>
        <v>86.112000000000009</v>
      </c>
      <c r="BF28" s="14">
        <f t="shared" si="37"/>
        <v>23.625136642852297</v>
      </c>
      <c r="BG28" s="22">
        <f t="shared" si="7"/>
        <v>191.12551298630106</v>
      </c>
      <c r="BH28" s="62">
        <f t="shared" si="8"/>
        <v>419.16328695263314</v>
      </c>
      <c r="BI28" s="62">
        <f ca="1">AVERAGE(OFFSET($BH$3,0,0,'Données projet'!$E$11+1,1))-AVERAGE(OFFSET($H$3,0,0,'Données projet'!$E$11+1,1))</f>
        <v>387.37910791664007</v>
      </c>
      <c r="BJ28" s="62">
        <f t="shared" si="38"/>
        <v>311.37245656657353</v>
      </c>
      <c r="BK28" s="16">
        <f>IF(ISNA(VLOOKUP(A28,'Données projet'!$A$87:$I$107,3,0)),0,VLOOKUP(A28,'Données projet'!$A$87:$I$107,3,0))</f>
        <v>2</v>
      </c>
      <c r="BL28" s="16">
        <f>IF(ISNA(VLOOKUP(A28,'Données projet'!$A$87:$I$107,4,0)),0,VLOOKUP(A28,'Données projet'!$A$87:$I$107,4,0))</f>
        <v>17</v>
      </c>
      <c r="BM28" s="17">
        <f>IF(ISNA(VLOOKUP(A28,'Données projet'!$A$87:$I$107,5,0)),0%,VLOOKUP(A28,'Données projet'!$A$87:$I$107,5,0)*VLOOKUP('Données projet'!$B$11,Paramètres!$A$1:$I$89,7,0))</f>
        <v>9.0000000000000011E-2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0.8</v>
      </c>
      <c r="BP28" s="23">
        <f>EXP(-LN(2)/35)*BP27+(1-EXP(-LN(2)/35))/(LN(2)/35)*BL28*BM28*VLOOKUP('Données projet'!$B$11,Paramètres!$A$1:$I$89,3,0)*0.475*44/12</f>
        <v>1.2137268828598531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13.038332933360959</v>
      </c>
      <c r="BS28" s="24">
        <f t="shared" si="9"/>
        <v>14.252059816220811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0</v>
      </c>
      <c r="N29" s="14">
        <f>IF('Données projet'!$A$36&gt;35,N28+M29-V28,IF(A29&lt;'Données projet'!$A$36,$K$205^A29,IF(A29='Données projet'!$A$36,'Données projet'!$B$36,N28+M29-V28)))</f>
        <v>0</v>
      </c>
      <c r="O29" s="14">
        <f>N29*VLOOKUP('Données projet'!$B$9,Paramètres!$A$1:$I$89,3,0)*VLOOKUP('Données projet'!$B$9,Paramètres!$A$1:$I$89,5,0)</f>
        <v>0</v>
      </c>
      <c r="P29" s="14" t="e">
        <f t="shared" si="33"/>
        <v>#NUM!</v>
      </c>
      <c r="Q29" s="22" t="e">
        <f t="shared" si="2"/>
        <v>#NUM!</v>
      </c>
      <c r="R29" s="62" t="e">
        <f t="shared" si="0"/>
        <v>#NUM!</v>
      </c>
      <c r="S29" s="62">
        <f ca="1">AVERAGE(OFFSET($R$3,0,0,'Données projet'!$E$9+1,1))-AVERAGE(OFFSET($H$3,0,0,'Données projet'!$E$9+1,1))</f>
        <v>80.063676766746568</v>
      </c>
      <c r="T29" s="62">
        <f t="shared" si="34"/>
        <v>410.68113780291992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86.912983113451375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0.52330715323894328</v>
      </c>
      <c r="AC29" s="24">
        <f t="shared" si="3"/>
        <v>87.436290266690321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16.625</v>
      </c>
      <c r="AI29" s="14">
        <f>IF('Données projet'!$A$62&gt;35,AI28+AH29-AQ28,IF(A29&lt;'Données projet'!$A$62,$AF$205^A29,IF(A29='Données projet'!$A$62,'Données projet'!$B$62,AI28+AH29-AQ28)))</f>
        <v>242.50000000000009</v>
      </c>
      <c r="AJ29" s="14">
        <f>AI29*VLOOKUP('Données projet'!$B$10,Paramètres!$A$1:$I$89,3,0)*VLOOKUP('Données projet'!$B$10,Paramètres!$A$1:$I$89,5,0)</f>
        <v>145.01500000000004</v>
      </c>
      <c r="AK29" s="14">
        <f t="shared" si="35"/>
        <v>37.443507744276459</v>
      </c>
      <c r="AL29" s="22">
        <f t="shared" si="4"/>
        <v>317.78190098794829</v>
      </c>
      <c r="AM29" s="62">
        <f t="shared" si="5"/>
        <v>548.06861503713844</v>
      </c>
      <c r="AN29" s="62">
        <f ca="1">AVERAGE(OFFSET($AM$3,0,0,'Données projet'!$E$10+1,1))-AVERAGE(OFFSET($H$3,0,0,'Données projet'!$E$10+1,1))</f>
        <v>189.09998601768521</v>
      </c>
      <c r="AO29" s="62">
        <f t="shared" si="36"/>
        <v>458.38901659119472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9.956130235308251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6.8966204664053024</v>
      </c>
      <c r="AX29" s="23">
        <f t="shared" si="6"/>
        <v>16.852750701713553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13.4</v>
      </c>
      <c r="BD29" s="13">
        <f>IF('Données projet'!$A$88&gt;35,BD28+BC29-BL28,IF(A29&lt;'Données projet'!$A$88,$BA$205^A29,IF(A29='Données projet'!$A$88,'Données projet'!$B$88,BD28+BC29-BL28)))</f>
        <v>140.40000000000003</v>
      </c>
      <c r="BE29" s="14">
        <f>BD29*VLOOKUP('Données projet'!$B$11,Paramètres!$A$1:$I$89,3,0)*VLOOKUP('Données projet'!$B$11,Paramètres!$A$1:$I$89,5,0)</f>
        <v>83.959200000000024</v>
      </c>
      <c r="BF29" s="14">
        <f t="shared" si="37"/>
        <v>23.102490880810642</v>
      </c>
      <c r="BG29" s="22">
        <f t="shared" si="7"/>
        <v>186.46577828407854</v>
      </c>
      <c r="BH29" s="62">
        <f t="shared" si="8"/>
        <v>416.75249233326872</v>
      </c>
      <c r="BI29" s="62">
        <f ca="1">AVERAGE(OFFSET($BH$3,0,0,'Données projet'!$E$11+1,1))-AVERAGE(OFFSET($H$3,0,0,'Données projet'!$E$11+1,1))</f>
        <v>387.37910791664007</v>
      </c>
      <c r="BJ29" s="62">
        <f t="shared" si="38"/>
        <v>311.37245656657353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1.1899264389872712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9.2194936325474242</v>
      </c>
      <c r="BS29" s="24">
        <f t="shared" si="9"/>
        <v>10.409420071534695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0</v>
      </c>
      <c r="N30" s="14">
        <f>IF('Données projet'!$A$36&gt;35,N29+M30-V29,IF(A30&lt;'Données projet'!$A$36,$K$205^A30,IF(A30='Données projet'!$A$36,'Données projet'!$B$36,N29+M30-V29)))</f>
        <v>0</v>
      </c>
      <c r="O30" s="14">
        <f>N30*VLOOKUP('Données projet'!$B$9,Paramètres!$A$1:$I$89,3,0)*VLOOKUP('Données projet'!$B$9,Paramètres!$A$1:$I$89,5,0)</f>
        <v>0</v>
      </c>
      <c r="P30" s="14" t="e">
        <f t="shared" si="33"/>
        <v>#NUM!</v>
      </c>
      <c r="Q30" s="22" t="e">
        <f t="shared" si="2"/>
        <v>#NUM!</v>
      </c>
      <c r="R30" s="62" t="e">
        <f t="shared" si="0"/>
        <v>#NUM!</v>
      </c>
      <c r="S30" s="62">
        <f ca="1">AVERAGE(OFFSET($R$3,0,0,'Données projet'!$E$9+1,1))-AVERAGE(OFFSET($H$3,0,0,'Données projet'!$E$9+1,1))</f>
        <v>80.063676766746568</v>
      </c>
      <c r="T30" s="62">
        <f t="shared" si="34"/>
        <v>410.68113780291992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85.208672526281831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0.37003403669868457</v>
      </c>
      <c r="AC30" s="24">
        <f t="shared" si="3"/>
        <v>85.578706562980514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16.625</v>
      </c>
      <c r="AI30" s="14">
        <f>IF('Données projet'!$A$62&gt;35,AI29+AH30-AQ29,IF(A30&lt;'Données projet'!$A$62,$AF$205^A30,IF(A30='Données projet'!$A$62,'Données projet'!$B$62,AI29+AH30-AQ29)))</f>
        <v>259.12500000000011</v>
      </c>
      <c r="AJ30" s="14">
        <f>AI30*VLOOKUP('Données projet'!$B$10,Paramètres!$A$1:$I$89,3,0)*VLOOKUP('Données projet'!$B$10,Paramètres!$A$1:$I$89,5,0)</f>
        <v>154.95675000000008</v>
      </c>
      <c r="AK30" s="14">
        <f t="shared" si="35"/>
        <v>39.702884639661342</v>
      </c>
      <c r="AL30" s="22">
        <f t="shared" si="4"/>
        <v>339.03219699741027</v>
      </c>
      <c r="AM30" s="62">
        <f t="shared" si="5"/>
        <v>571.55003986997372</v>
      </c>
      <c r="AN30" s="62">
        <f ca="1">AVERAGE(OFFSET($AM$3,0,0,'Données projet'!$E$10+1,1))-AVERAGE(OFFSET($H$3,0,0,'Données projet'!$E$10+1,1))</f>
        <v>189.09998601768521</v>
      </c>
      <c r="AO30" s="62">
        <f t="shared" si="36"/>
        <v>458.38901659119472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9.7608965940336763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4.8766470990651198</v>
      </c>
      <c r="AX30" s="23">
        <f t="shared" si="6"/>
        <v>14.637543693098795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13.4</v>
      </c>
      <c r="BD30" s="13">
        <f>IF('Données projet'!$A$88&gt;35,BD29+BC30-BL29,IF(A30&lt;'Données projet'!$A$88,$BA$205^A30,IF(A30='Données projet'!$A$88,'Données projet'!$B$88,BD29+BC30-BL29)))</f>
        <v>153.80000000000004</v>
      </c>
      <c r="BE30" s="14">
        <f>BD30*VLOOKUP('Données projet'!$B$11,Paramètres!$A$1:$I$89,3,0)*VLOOKUP('Données projet'!$B$11,Paramètres!$A$1:$I$89,5,0)</f>
        <v>91.972400000000022</v>
      </c>
      <c r="BF30" s="14">
        <f t="shared" si="37"/>
        <v>25.040318527820091</v>
      </c>
      <c r="BG30" s="22">
        <f t="shared" si="7"/>
        <v>203.79715143595334</v>
      </c>
      <c r="BH30" s="62">
        <f t="shared" si="8"/>
        <v>436.31499430851682</v>
      </c>
      <c r="BI30" s="62">
        <f ca="1">AVERAGE(OFFSET($BH$3,0,0,'Données projet'!$E$11+1,1))-AVERAGE(OFFSET($H$3,0,0,'Données projet'!$E$11+1,1))</f>
        <v>387.37910791664007</v>
      </c>
      <c r="BJ30" s="62">
        <f t="shared" si="38"/>
        <v>311.37245656657353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1.1665927073021936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6.5191664666804803</v>
      </c>
      <c r="BS30" s="24">
        <f t="shared" si="9"/>
        <v>7.6857591739826736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0</v>
      </c>
      <c r="N31" s="14">
        <f>IF('Données projet'!$A$36&gt;35,N30+M31-V30,IF(A31&lt;'Données projet'!$A$36,$K$205^A31,IF(A31='Données projet'!$A$36,'Données projet'!$B$36,N30+M31-V30)))</f>
        <v>0</v>
      </c>
      <c r="O31" s="14">
        <f>N31*VLOOKUP('Données projet'!$B$9,Paramètres!$A$1:$I$89,3,0)*VLOOKUP('Données projet'!$B$9,Paramètres!$A$1:$I$89,5,0)</f>
        <v>0</v>
      </c>
      <c r="P31" s="14" t="e">
        <f t="shared" si="33"/>
        <v>#NUM!</v>
      </c>
      <c r="Q31" s="22" t="e">
        <f t="shared" si="2"/>
        <v>#NUM!</v>
      </c>
      <c r="R31" s="62" t="e">
        <f t="shared" si="0"/>
        <v>#NUM!</v>
      </c>
      <c r="S31" s="62">
        <f ca="1">AVERAGE(OFFSET($R$3,0,0,'Données projet'!$E$9+1,1))-AVERAGE(OFFSET($H$3,0,0,'Données projet'!$E$9+1,1))</f>
        <v>80.063676766746568</v>
      </c>
      <c r="T31" s="62">
        <f t="shared" si="34"/>
        <v>410.68113780291992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83.537782430199854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0.26165357661947164</v>
      </c>
      <c r="AC31" s="24">
        <f t="shared" si="3"/>
        <v>83.79943600681932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16.625</v>
      </c>
      <c r="AI31" s="14">
        <f>IF('Données projet'!$A$62&gt;35,AI30+AH31-AQ30,IF(A31&lt;'Données projet'!$A$62,$AF$205^A31,IF(A31='Données projet'!$A$62,'Données projet'!$B$62,AI30+AH31-AQ30)))</f>
        <v>275.75000000000011</v>
      </c>
      <c r="AJ31" s="14">
        <f>AI31*VLOOKUP('Données projet'!$B$10,Paramètres!$A$1:$I$89,3,0)*VLOOKUP('Données projet'!$B$10,Paramètres!$A$1:$I$89,5,0)</f>
        <v>164.89850000000007</v>
      </c>
      <c r="AK31" s="14">
        <f t="shared" si="35"/>
        <v>41.94543913753872</v>
      </c>
      <c r="AL31" s="22">
        <f t="shared" si="4"/>
        <v>360.25319399788003</v>
      </c>
      <c r="AM31" s="62">
        <f t="shared" si="5"/>
        <v>594.98466341986409</v>
      </c>
      <c r="AN31" s="62">
        <f ca="1">AVERAGE(OFFSET($AM$3,0,0,'Données projet'!$E$10+1,1))-AVERAGE(OFFSET($H$3,0,0,'Données projet'!$E$10+1,1))</f>
        <v>189.09998601768521</v>
      </c>
      <c r="AO31" s="62">
        <f t="shared" si="36"/>
        <v>458.38901659119472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9.5694913653837332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3.4483102332026516</v>
      </c>
      <c r="AX31" s="23">
        <f t="shared" si="6"/>
        <v>13.017801598586384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13.4</v>
      </c>
      <c r="BD31" s="13">
        <f>IF('Données projet'!$A$88&gt;35,BD30+BC31-BL30,IF(A31&lt;'Données projet'!$A$88,$BA$205^A31,IF(A31='Données projet'!$A$88,'Données projet'!$B$88,BD30+BC31-BL30)))</f>
        <v>167.20000000000005</v>
      </c>
      <c r="BE31" s="14">
        <f>BD31*VLOOKUP('Données projet'!$B$11,Paramètres!$A$1:$I$89,3,0)*VLOOKUP('Données projet'!$B$11,Paramètres!$A$1:$I$89,5,0)</f>
        <v>99.985600000000034</v>
      </c>
      <c r="BF31" s="14">
        <f t="shared" si="37"/>
        <v>26.958566918169435</v>
      </c>
      <c r="BG31" s="22">
        <f t="shared" si="7"/>
        <v>221.09442404914515</v>
      </c>
      <c r="BH31" s="62">
        <f t="shared" si="8"/>
        <v>455.82589347112923</v>
      </c>
      <c r="BI31" s="62">
        <f ca="1">AVERAGE(OFFSET($BH$3,0,0,'Données projet'!$E$11+1,1))-AVERAGE(OFFSET($H$3,0,0,'Données projet'!$E$11+1,1))</f>
        <v>387.37910791664007</v>
      </c>
      <c r="BJ31" s="62">
        <f t="shared" si="38"/>
        <v>311.37245656657353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1.143716535863289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4.609746816273713</v>
      </c>
      <c r="BS31" s="24">
        <f t="shared" si="9"/>
        <v>5.7534633521370022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0</v>
      </c>
      <c r="N32" s="14">
        <f>IF('Données projet'!$A$36&gt;35,N31+M32-V31,IF(A32&lt;'Données projet'!$A$36,$K$205^A32,IF(A32='Données projet'!$A$36,'Données projet'!$B$36,N31+M32-V31)))</f>
        <v>0</v>
      </c>
      <c r="O32" s="14">
        <f>N32*VLOOKUP('Données projet'!$B$9,Paramètres!$A$1:$I$89,3,0)*VLOOKUP('Données projet'!$B$9,Paramètres!$A$1:$I$89,5,0)</f>
        <v>0</v>
      </c>
      <c r="P32" s="14" t="e">
        <f t="shared" si="33"/>
        <v>#NUM!</v>
      </c>
      <c r="Q32" s="22" t="e">
        <f t="shared" si="2"/>
        <v>#NUM!</v>
      </c>
      <c r="R32" s="62" t="e">
        <f t="shared" si="0"/>
        <v>#NUM!</v>
      </c>
      <c r="S32" s="62">
        <f ca="1">AVERAGE(OFFSET($R$3,0,0,'Données projet'!$E$9+1,1))-AVERAGE(OFFSET($H$3,0,0,'Données projet'!$E$9+1,1))</f>
        <v>80.063676766746568</v>
      </c>
      <c r="T32" s="62">
        <f t="shared" si="34"/>
        <v>410.68113780291992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81.899657469759731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0.18501701834934228</v>
      </c>
      <c r="AC32" s="24">
        <f t="shared" si="3"/>
        <v>82.084674488109073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16.625</v>
      </c>
      <c r="AI32" s="14">
        <f>IF('Données projet'!$A$62&gt;35,AI31+AH32-AQ31,IF(A32&lt;'Données projet'!$A$62,$AF$205^A32,IF(A32='Données projet'!$A$62,'Données projet'!$B$62,AI31+AH32-AQ31)))</f>
        <v>292.37500000000011</v>
      </c>
      <c r="AJ32" s="14">
        <f>AI32*VLOOKUP('Données projet'!$B$10,Paramètres!$A$1:$I$89,3,0)*VLOOKUP('Données projet'!$B$10,Paramètres!$A$1:$I$89,5,0)</f>
        <v>174.84025000000008</v>
      </c>
      <c r="AK32" s="14">
        <f t="shared" si="35"/>
        <v>44.172300963535264</v>
      </c>
      <c r="AL32" s="22">
        <f t="shared" si="4"/>
        <v>381.44685959482405</v>
      </c>
      <c r="AM32" s="62">
        <f t="shared" si="5"/>
        <v>618.37475691759983</v>
      </c>
      <c r="AN32" s="62">
        <f ca="1">AVERAGE(OFFSET($AM$3,0,0,'Données projet'!$E$10+1,1))-AVERAGE(OFFSET($H$3,0,0,'Données projet'!$E$10+1,1))</f>
        <v>189.09998601768521</v>
      </c>
      <c r="AO32" s="62">
        <f t="shared" si="36"/>
        <v>458.38901659119472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9.3818394765219537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2.4383235495325604</v>
      </c>
      <c r="AX32" s="23">
        <f t="shared" si="6"/>
        <v>11.820163026054514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13.4</v>
      </c>
      <c r="BD32" s="13">
        <f>IF('Données projet'!$A$88&gt;35,BD31+BC32-BL31,IF(A32&lt;'Données projet'!$A$88,$BA$205^A32,IF(A32='Données projet'!$A$88,'Données projet'!$B$88,BD31+BC32-BL31)))</f>
        <v>180.60000000000005</v>
      </c>
      <c r="BE32" s="14">
        <f>BD32*VLOOKUP('Données projet'!$B$11,Paramètres!$A$1:$I$89,3,0)*VLOOKUP('Données projet'!$B$11,Paramètres!$A$1:$I$89,5,0)</f>
        <v>107.99880000000003</v>
      </c>
      <c r="BF32" s="14">
        <f t="shared" si="37"/>
        <v>28.85898360070161</v>
      </c>
      <c r="BG32" s="22">
        <f t="shared" si="7"/>
        <v>238.36063977122203</v>
      </c>
      <c r="BH32" s="62">
        <f t="shared" si="8"/>
        <v>475.28853709399789</v>
      </c>
      <c r="BI32" s="62">
        <f ca="1">AVERAGE(OFFSET($BH$3,0,0,'Données projet'!$E$11+1,1))-AVERAGE(OFFSET($H$3,0,0,'Données projet'!$E$11+1,1))</f>
        <v>387.37910791664007</v>
      </c>
      <c r="BJ32" s="62">
        <f t="shared" si="38"/>
        <v>311.37245656657353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1.1212889521932148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3.2595832333402406</v>
      </c>
      <c r="BS32" s="24">
        <f t="shared" si="9"/>
        <v>4.3808721855334554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0</v>
      </c>
      <c r="N33" s="14">
        <f>IF('Données projet'!$A$36&gt;35,N32+M33-V32,IF(A33&lt;'Données projet'!$A$36,$K$205^A33,IF(A33='Données projet'!$A$36,'Données projet'!$B$36,N32+M33-V32)))</f>
        <v>0</v>
      </c>
      <c r="O33" s="14">
        <f>N33*VLOOKUP('Données projet'!$B$9,Paramètres!$A$1:$I$89,3,0)*VLOOKUP('Données projet'!$B$9,Paramètres!$A$1:$I$89,5,0)</f>
        <v>0</v>
      </c>
      <c r="P33" s="14" t="e">
        <f t="shared" si="33"/>
        <v>#NUM!</v>
      </c>
      <c r="Q33" s="22" t="e">
        <f t="shared" si="2"/>
        <v>#NUM!</v>
      </c>
      <c r="R33" s="62" t="e">
        <f t="shared" si="0"/>
        <v>#NUM!</v>
      </c>
      <c r="S33" s="62">
        <f ca="1">AVERAGE(OFFSET($R$3,0,0,'Données projet'!$E$9+1,1))-AVERAGE(OFFSET($H$3,0,0,'Données projet'!$E$9+1,1))</f>
        <v>80.063676766746568</v>
      </c>
      <c r="T33" s="62">
        <f t="shared" si="34"/>
        <v>410.68113780291992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80.293655140636261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0.13082678830973582</v>
      </c>
      <c r="AC33" s="24">
        <f t="shared" si="3"/>
        <v>80.424481928945994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309</v>
      </c>
      <c r="AG33" s="13">
        <f>VLOOKUP(A33,'Données projet'!$A$61:$I$81,9,0)</f>
        <v>16.625</v>
      </c>
      <c r="AH33" s="13">
        <f t="array" ref="AH33">INDEX(AG:AG,MIN(IF(ISNUMBER(AG33:AG229),ROW(AG33:AG229),"")))</f>
        <v>16.625</v>
      </c>
      <c r="AI33" s="14">
        <f>IF('Données projet'!$A$62&gt;35,AI32+AH33-AQ32,IF(A33&lt;'Données projet'!$A$62,$AF$205^A33,IF(A33='Données projet'!$A$62,'Données projet'!$B$62,AI32+AH33-AQ32)))</f>
        <v>309.00000000000011</v>
      </c>
      <c r="AJ33" s="14">
        <f>AI33*VLOOKUP('Données projet'!$B$10,Paramètres!$A$1:$I$89,3,0)*VLOOKUP('Données projet'!$B$10,Paramètres!$A$1:$I$89,5,0)</f>
        <v>184.7820000000001</v>
      </c>
      <c r="AK33" s="14">
        <f t="shared" si="35"/>
        <v>46.384464109944147</v>
      </c>
      <c r="AL33" s="22">
        <f t="shared" si="4"/>
        <v>402.61492499148613</v>
      </c>
      <c r="AM33" s="62">
        <f t="shared" si="5"/>
        <v>641.72234992452809</v>
      </c>
      <c r="AN33" s="62">
        <f ca="1">AVERAGE(OFFSET($AM$3,0,0,'Données projet'!$E$10+1,1))-AVERAGE(OFFSET($H$3,0,0,'Données projet'!$E$10+1,1))</f>
        <v>189.09998601768521</v>
      </c>
      <c r="AO33" s="62">
        <f t="shared" si="36"/>
        <v>458.38901659119472</v>
      </c>
      <c r="AP33" s="16">
        <f>IF(ISNA(VLOOKUP(A33,'Données projet'!$A$61:$I$81,3,0)),0,VLOOKUP(A33,'Données projet'!$A$61:$I$81,3,0))</f>
        <v>4</v>
      </c>
      <c r="AQ33" s="16">
        <f>IF(ISNA(VLOOKUP(A33,'Données projet'!$A$61:$I$81,4,0)),0,VLOOKUP(A33,'Données projet'!$A$61:$I$81,4,0))</f>
        <v>309</v>
      </c>
      <c r="AR33" s="17">
        <f>IF(ISNA(VLOOKUP(A33,'Données projet'!$A$61:$I$81,5,0)),0%,VLOOKUP(A33,'Données projet'!$A$61:$I$81,5,0)*VLOOKUP('Données projet'!$B$10,Paramètres!$A$1:$I$89,7,0))</f>
        <v>0.18000000000000002</v>
      </c>
      <c r="AS33" s="17">
        <f>IF(ISNA(VLOOKUP(A33,'Données projet'!$A$61:$I$81,6,0)),0%,VLOOKUP(A33,'Données projet'!$A$61:$I$81,6,0)*VLOOKUP('Données projet'!$B$10,Paramètres!$A$1:$I$89,7,0))</f>
        <v>0.18000000000000002</v>
      </c>
      <c r="AT33" s="17">
        <f>IF(ISNA(VLOOKUP(A33,'Données projet'!$A$61:$I$81,7,0)),0%,VLOOKUP(A33,'Données projet'!$A$61:$I$81,7,0))</f>
        <v>0.2</v>
      </c>
      <c r="AU33" s="23">
        <f>EXP(-LN(2)/35)*AU32+(1-EXP(-LN(2)/35))/(LN(2)/35)*AQ33*AR33*VLOOKUP('Données projet'!$B$10,Paramètres!$A$1:$I$89,3,0)*0.475*44/12</f>
        <v>53.320409303649647</v>
      </c>
      <c r="AV33" s="23">
        <f>EXP(-LN(2)/25)*AV32+(1-EXP(-LN(2)/25))/(LN(2)/25)*Calculateur!AQ33*Calculateur!AS33*VLOOKUP('Données projet'!$B$10,Paramètres!$A$1:$I$89,3,0)*0.475*44/12</f>
        <v>43.948814717135633</v>
      </c>
      <c r="AW33" s="23">
        <f>EXP(-LN(2)/2)*AW32+(1-EXP(-LN(2)/2))/(LN(2)/2)*AQ33*AT33*VLOOKUP('Données projet'!$B$10,Paramètres!$A$1:$I$89,3,0)*0.475*44/12</f>
        <v>43.567384796908406</v>
      </c>
      <c r="AX33" s="23">
        <f t="shared" si="6"/>
        <v>140.8366088176937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194</v>
      </c>
      <c r="BB33" s="13">
        <f>VLOOKUP(A33,'Données projet'!$A$87:$I$107,9,0)</f>
        <v>13.4</v>
      </c>
      <c r="BC33" s="13">
        <f t="array" ref="BC33">INDEX(BB:BB,MIN(IF(ISNUMBER(BB33:BB229),ROW(BB33:BB229),"")))</f>
        <v>13.4</v>
      </c>
      <c r="BD33" s="13">
        <f>IF('Données projet'!$A$88&gt;35,BD32+BC33-BL32,IF(A33&lt;'Données projet'!$A$88,$BA$205^A33,IF(A33='Données projet'!$A$88,'Données projet'!$B$88,BD32+BC33-BL32)))</f>
        <v>194.00000000000006</v>
      </c>
      <c r="BE33" s="14">
        <f>BD33*VLOOKUP('Données projet'!$B$11,Paramètres!$A$1:$I$89,3,0)*VLOOKUP('Données projet'!$B$11,Paramètres!$A$1:$I$89,5,0)</f>
        <v>116.01200000000003</v>
      </c>
      <c r="BF33" s="14">
        <f t="shared" si="37"/>
        <v>30.743042086238173</v>
      </c>
      <c r="BG33" s="22">
        <f t="shared" si="7"/>
        <v>255.59836496686489</v>
      </c>
      <c r="BH33" s="62">
        <f t="shared" si="8"/>
        <v>494.7057898999069</v>
      </c>
      <c r="BI33" s="62">
        <f ca="1">AVERAGE(OFFSET($BH$3,0,0,'Données projet'!$E$11+1,1))-AVERAGE(OFFSET($H$3,0,0,'Données projet'!$E$11+1,1))</f>
        <v>387.37910791664007</v>
      </c>
      <c r="BJ33" s="62">
        <f t="shared" si="38"/>
        <v>311.37245656657353</v>
      </c>
      <c r="BK33" s="16">
        <f>IF(ISNA(VLOOKUP(A33,'Données projet'!$A$87:$I$107,3,0)),0,VLOOKUP(A33,'Données projet'!$A$87:$I$107,3,0))</f>
        <v>3</v>
      </c>
      <c r="BL33" s="16">
        <f>IF(ISNA(VLOOKUP(A33,'Données projet'!$A$87:$I$107,4,0)),0,VLOOKUP(A33,'Données projet'!$A$87:$I$107,4,0))</f>
        <v>34</v>
      </c>
      <c r="BM33" s="17">
        <f>IF(ISNA(VLOOKUP(A33,'Données projet'!$A$87:$I$107,5,0)),0%,VLOOKUP(A33,'Données projet'!$A$87:$I$107,5,0)*VLOOKUP('Données projet'!$B$11,Paramètres!$A$1:$I$89,7,0))</f>
        <v>0.18000000000000002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0.6</v>
      </c>
      <c r="BP33" s="23">
        <f>EXP(-LN(2)/35)*BP32+(1-EXP(-LN(2)/35))/(LN(2)/35)*BL33*BM33*VLOOKUP('Données projet'!$B$11,Paramètres!$A$1:$I$89,3,0)*0.475*44/12</f>
        <v>5.9542086911988479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16.117201652121722</v>
      </c>
      <c r="BS33" s="24">
        <f t="shared" si="9"/>
        <v>22.071410343320569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</v>
      </c>
      <c r="O34" s="14">
        <f>N34*VLOOKUP('Données projet'!$B$9,Paramètres!$A$1:$I$89,3,0)*VLOOKUP('Données projet'!$B$9,Paramètres!$A$1:$I$89,5,0)</f>
        <v>0</v>
      </c>
      <c r="P34" s="14" t="e">
        <f t="shared" si="3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80.063676766746568</v>
      </c>
      <c r="T34" s="62">
        <f t="shared" si="34"/>
        <v>410.68113780291992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78.719145537622211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9.2508509174671141E-2</v>
      </c>
      <c r="AC34" s="24">
        <f t="shared" si="3"/>
        <v>78.811654046796889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1.1368683772161603E-13</v>
      </c>
      <c r="AJ34" s="14">
        <f>AI34*VLOOKUP('Données projet'!$B$10,Paramètres!$A$1:$I$89,3,0)*VLOOKUP('Données projet'!$B$10,Paramètres!$A$1:$I$89,5,0)</f>
        <v>6.7984728957526396E-14</v>
      </c>
      <c r="AK34" s="14">
        <f t="shared" si="35"/>
        <v>1.0682447123141398E-12</v>
      </c>
      <c r="AL34" s="22">
        <f t="shared" si="4"/>
        <v>1.978932943548152E-12</v>
      </c>
      <c r="AM34" s="62">
        <f t="shared" si="5"/>
        <v>240.04812321281955</v>
      </c>
      <c r="AN34" s="62">
        <f ca="1">AVERAGE(OFFSET($AM$3,0,0,'Données projet'!$E$10+1,1))-AVERAGE(OFFSET($H$3,0,0,'Données projet'!$E$10+1,1))</f>
        <v>189.09998601768521</v>
      </c>
      <c r="AO34" s="62">
        <f t="shared" si="36"/>
        <v>458.38901659119472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52.274828599443445</v>
      </c>
      <c r="AV34" s="23">
        <f>EXP(-LN(2)/25)*AV33+(1-EXP(-LN(2)/25))/(LN(2)/25)*Calculateur!AQ34*Calculateur!AS34*VLOOKUP('Données projet'!$B$10,Paramètres!$A$1:$I$89,3,0)*0.475*44/12</f>
        <v>42.74703206752784</v>
      </c>
      <c r="AW34" s="23">
        <f>EXP(-LN(2)/2)*AW33+(1-EXP(-LN(2)/2))/(LN(2)/2)*AQ34*AT34*VLOOKUP('Données projet'!$B$10,Paramètres!$A$1:$I$89,3,0)*0.475*44/12</f>
        <v>30.806793228457632</v>
      </c>
      <c r="AX34" s="23">
        <f t="shared" si="6"/>
        <v>125.82865389542893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14.6</v>
      </c>
      <c r="BD34" s="13">
        <f>IF('Données projet'!$A$88&gt;35,BD33+BC34-BL33,IF(A34&lt;'Données projet'!$A$88,$BA$205^A34,IF(A34='Données projet'!$A$88,'Données projet'!$B$88,BD33+BC34-BL33)))</f>
        <v>174.60000000000005</v>
      </c>
      <c r="BE34" s="14">
        <f>BD34*VLOOKUP('Données projet'!$B$11,Paramètres!$A$1:$I$89,3,0)*VLOOKUP('Données projet'!$B$11,Paramètres!$A$1:$I$89,5,0)</f>
        <v>104.41080000000004</v>
      </c>
      <c r="BF34" s="14">
        <f t="shared" si="37"/>
        <v>28.010155571424168</v>
      </c>
      <c r="BG34" s="22">
        <f t="shared" si="7"/>
        <v>230.63316428689714</v>
      </c>
      <c r="BH34" s="62">
        <f t="shared" si="8"/>
        <v>470.6812874997147</v>
      </c>
      <c r="BI34" s="62">
        <f ca="1">AVERAGE(OFFSET($BH$3,0,0,'Données projet'!$E$11+1,1))-AVERAGE(OFFSET($H$3,0,0,'Données projet'!$E$11+1,1))</f>
        <v>387.37910791664007</v>
      </c>
      <c r="BJ34" s="62">
        <f t="shared" si="38"/>
        <v>311.37245656657353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5.8374502904731385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11.396582581966298</v>
      </c>
      <c r="BS34" s="24">
        <f t="shared" si="9"/>
        <v>17.234032872439435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</v>
      </c>
      <c r="O35" s="14">
        <f>N35*VLOOKUP('Données projet'!$B$9,Paramètres!$A$1:$I$89,3,0)*VLOOKUP('Données projet'!$B$9,Paramètres!$A$1:$I$89,5,0)</f>
        <v>0</v>
      </c>
      <c r="P35" s="14" t="e">
        <f t="shared" si="3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80.063676766746568</v>
      </c>
      <c r="T35" s="62">
        <f t="shared" si="34"/>
        <v>410.68113780291992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77.175511107567232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6.541339415486791E-2</v>
      </c>
      <c r="AC35" s="24">
        <f t="shared" si="3"/>
        <v>77.240924501722105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1.1368683772161603E-13</v>
      </c>
      <c r="AJ35" s="14">
        <f>AI35*VLOOKUP('Données projet'!$B$10,Paramètres!$A$1:$I$89,3,0)*VLOOKUP('Données projet'!$B$10,Paramètres!$A$1:$I$89,5,0)</f>
        <v>6.7984728957526396E-14</v>
      </c>
      <c r="AK35" s="14">
        <f t="shared" si="35"/>
        <v>1.0682447123141398E-12</v>
      </c>
      <c r="AL35" s="22">
        <f t="shared" si="4"/>
        <v>1.978932943548152E-12</v>
      </c>
      <c r="AM35" s="62">
        <f t="shared" si="5"/>
        <v>240.97250248052731</v>
      </c>
      <c r="AN35" s="62">
        <f ca="1">AVERAGE(OFFSET($AM$3,0,0,'Données projet'!$E$10+1,1))-AVERAGE(OFFSET($H$3,0,0,'Données projet'!$E$10+1,1))</f>
        <v>189.09998601768521</v>
      </c>
      <c r="AO35" s="62">
        <f t="shared" si="36"/>
        <v>458.38901659119472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51.249751095105474</v>
      </c>
      <c r="AV35" s="23">
        <f>EXP(-LN(2)/25)*AV34+(1-EXP(-LN(2)/25))/(LN(2)/25)*Calculateur!AQ35*Calculateur!AS35*VLOOKUP('Données projet'!$B$10,Paramètres!$A$1:$I$89,3,0)*0.475*44/12</f>
        <v>41.578112227672577</v>
      </c>
      <c r="AW35" s="23">
        <f>EXP(-LN(2)/2)*AW34+(1-EXP(-LN(2)/2))/(LN(2)/2)*AQ35*AT35*VLOOKUP('Données projet'!$B$10,Paramètres!$A$1:$I$89,3,0)*0.475*44/12</f>
        <v>21.783692398454207</v>
      </c>
      <c r="AX35" s="23">
        <f t="shared" si="6"/>
        <v>114.61155572123226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14.6</v>
      </c>
      <c r="BD35" s="13">
        <f>IF('Données projet'!$A$88&gt;35,BD34+BC35-BL34,IF(A35&lt;'Données projet'!$A$88,$BA$205^A35,IF(A35='Données projet'!$A$88,'Données projet'!$B$88,BD34+BC35-BL34)))</f>
        <v>189.20000000000005</v>
      </c>
      <c r="BE35" s="14">
        <f>BD35*VLOOKUP('Données projet'!$B$11,Paramètres!$A$1:$I$89,3,0)*VLOOKUP('Données projet'!$B$11,Paramètres!$A$1:$I$89,5,0)</f>
        <v>113.14160000000004</v>
      </c>
      <c r="BF35" s="14">
        <f t="shared" si="37"/>
        <v>30.069952587742019</v>
      </c>
      <c r="BG35" s="22">
        <f t="shared" si="7"/>
        <v>249.42678742365072</v>
      </c>
      <c r="BH35" s="62">
        <f t="shared" si="8"/>
        <v>490.39928990417604</v>
      </c>
      <c r="BI35" s="62">
        <f ca="1">AVERAGE(OFFSET($BH$3,0,0,'Données projet'!$E$11+1,1))-AVERAGE(OFFSET($H$3,0,0,'Données projet'!$E$11+1,1))</f>
        <v>387.37910791664007</v>
      </c>
      <c r="BJ35" s="62">
        <f t="shared" si="38"/>
        <v>311.37245656657353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5.7229814507700683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8.0586008260608626</v>
      </c>
      <c r="BS35" s="24">
        <f t="shared" si="9"/>
        <v>13.781582276830932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</v>
      </c>
      <c r="O36" s="14">
        <f>N36*VLOOKUP('Données projet'!$B$9,Paramètres!$A$1:$I$89,3,0)*VLOOKUP('Données projet'!$B$9,Paramètres!$A$1:$I$89,5,0)</f>
        <v>0</v>
      </c>
      <c r="P36" s="14" t="e">
        <f t="shared" si="3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80.063676766746568</v>
      </c>
      <c r="T36" s="62">
        <f t="shared" si="34"/>
        <v>410.68113780291992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75.6621464071616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4.6254254587335571E-2</v>
      </c>
      <c r="AC36" s="24">
        <f t="shared" si="3"/>
        <v>75.708400661748939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1.1368683772161603E-13</v>
      </c>
      <c r="AJ36" s="14">
        <f>AI36*VLOOKUP('Données projet'!$B$10,Paramètres!$A$1:$I$89,3,0)*VLOOKUP('Données projet'!$B$10,Paramètres!$A$1:$I$89,5,0)</f>
        <v>6.7984728957526396E-14</v>
      </c>
      <c r="AK36" s="14">
        <f t="shared" si="35"/>
        <v>1.0682447123141398E-12</v>
      </c>
      <c r="AL36" s="22">
        <f t="shared" si="4"/>
        <v>1.978932943548152E-12</v>
      </c>
      <c r="AM36" s="62">
        <f t="shared" si="5"/>
        <v>241.88084583454273</v>
      </c>
      <c r="AN36" s="62">
        <f ca="1">AVERAGE(OFFSET($AM$3,0,0,'Données projet'!$E$10+1,1))-AVERAGE(OFFSET($H$3,0,0,'Données projet'!$E$10+1,1))</f>
        <v>189.09998601768521</v>
      </c>
      <c r="AO36" s="62">
        <f t="shared" si="36"/>
        <v>458.38901659119472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50.244774735392028</v>
      </c>
      <c r="AV36" s="23">
        <f>EXP(-LN(2)/25)*AV35+(1-EXP(-LN(2)/25))/(LN(2)/25)*Calculateur!AQ36*Calculateur!AS36*VLOOKUP('Données projet'!$B$10,Paramètres!$A$1:$I$89,3,0)*0.475*44/12</f>
        <v>40.441156562308976</v>
      </c>
      <c r="AW36" s="23">
        <f>EXP(-LN(2)/2)*AW35+(1-EXP(-LN(2)/2))/(LN(2)/2)*AQ36*AT36*VLOOKUP('Données projet'!$B$10,Paramètres!$A$1:$I$89,3,0)*0.475*44/12</f>
        <v>15.403396614228818</v>
      </c>
      <c r="AX36" s="23">
        <f t="shared" si="6"/>
        <v>106.08932791192981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14.6</v>
      </c>
      <c r="BD36" s="13">
        <f>IF('Données projet'!$A$88&gt;35,BD35+BC36-BL35,IF(A36&lt;'Données projet'!$A$88,$BA$205^A36,IF(A36='Données projet'!$A$88,'Données projet'!$B$88,BD35+BC36-BL35)))</f>
        <v>203.80000000000004</v>
      </c>
      <c r="BE36" s="14">
        <f>BD36*VLOOKUP('Données projet'!$B$11,Paramètres!$A$1:$I$89,3,0)*VLOOKUP('Données projet'!$B$11,Paramètres!$A$1:$I$89,5,0)</f>
        <v>121.87240000000003</v>
      </c>
      <c r="BF36" s="14">
        <f t="shared" si="37"/>
        <v>32.111311550408985</v>
      </c>
      <c r="BG36" s="22">
        <f t="shared" si="7"/>
        <v>268.1882976169623</v>
      </c>
      <c r="BH36" s="62">
        <f t="shared" si="8"/>
        <v>510.06914345150301</v>
      </c>
      <c r="BI36" s="62">
        <f ca="1">AVERAGE(OFFSET($BH$3,0,0,'Données projet'!$E$11+1,1))-AVERAGE(OFFSET($H$3,0,0,'Données projet'!$E$11+1,1))</f>
        <v>387.37910791664007</v>
      </c>
      <c r="BJ36" s="62">
        <f t="shared" si="38"/>
        <v>311.37245656657353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5.6107572751944765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5.6982912909831498</v>
      </c>
      <c r="BS36" s="24">
        <f t="shared" si="9"/>
        <v>11.309048566177626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</v>
      </c>
      <c r="O37" s="14">
        <f>N37*VLOOKUP('Données projet'!$B$9,Paramètres!$A$1:$I$89,3,0)*VLOOKUP('Données projet'!$B$9,Paramètres!$A$1:$I$89,5,0)</f>
        <v>0</v>
      </c>
      <c r="P37" s="14" t="e">
        <f t="shared" si="3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80.063676766746568</v>
      </c>
      <c r="T37" s="62">
        <f t="shared" si="34"/>
        <v>410.68113780291992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74.178457865469596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3.2706697077433955E-2</v>
      </c>
      <c r="AC37" s="24">
        <f t="shared" si="3"/>
        <v>74.211164562547026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1.1368683772161603E-13</v>
      </c>
      <c r="AJ37" s="14">
        <f>AI37*VLOOKUP('Données projet'!$B$10,Paramètres!$A$1:$I$89,3,0)*VLOOKUP('Données projet'!$B$10,Paramètres!$A$1:$I$89,5,0)</f>
        <v>6.7984728957526396E-14</v>
      </c>
      <c r="AK37" s="14">
        <f t="shared" si="35"/>
        <v>1.0682447123141398E-12</v>
      </c>
      <c r="AL37" s="22">
        <f t="shared" si="4"/>
        <v>1.978932943548152E-12</v>
      </c>
      <c r="AM37" s="62">
        <f t="shared" si="5"/>
        <v>242.77343146211757</v>
      </c>
      <c r="AN37" s="62">
        <f ca="1">AVERAGE(OFFSET($AM$3,0,0,'Données projet'!$E$10+1,1))-AVERAGE(OFFSET($H$3,0,0,'Données projet'!$E$10+1,1))</f>
        <v>189.09998601768521</v>
      </c>
      <c r="AO37" s="62">
        <f t="shared" si="36"/>
        <v>458.38901659119472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49.259505349117511</v>
      </c>
      <c r="AV37" s="23">
        <f>EXP(-LN(2)/25)*AV36+(1-EXP(-LN(2)/25))/(LN(2)/25)*Calculateur!AQ37*Calculateur!AS37*VLOOKUP('Données projet'!$B$10,Paramètres!$A$1:$I$89,3,0)*0.475*44/12</f>
        <v>39.335291009404642</v>
      </c>
      <c r="AW37" s="23">
        <f>EXP(-LN(2)/2)*AW36+(1-EXP(-LN(2)/2))/(LN(2)/2)*AQ37*AT37*VLOOKUP('Données projet'!$B$10,Paramètres!$A$1:$I$89,3,0)*0.475*44/12</f>
        <v>10.891846199227105</v>
      </c>
      <c r="AX37" s="23">
        <f t="shared" si="6"/>
        <v>99.486642557749263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14.6</v>
      </c>
      <c r="BD37" s="13">
        <f>IF('Données projet'!$A$88&gt;35,BD36+BC37-BL36,IF(A37&lt;'Données projet'!$A$88,$BA$205^A37,IF(A37='Données projet'!$A$88,'Données projet'!$B$88,BD36+BC37-BL36)))</f>
        <v>218.40000000000003</v>
      </c>
      <c r="BE37" s="14">
        <f>BD37*VLOOKUP('Données projet'!$B$11,Paramètres!$A$1:$I$89,3,0)*VLOOKUP('Données projet'!$B$11,Paramètres!$A$1:$I$89,5,0)</f>
        <v>130.60320000000004</v>
      </c>
      <c r="BF37" s="14">
        <f t="shared" si="37"/>
        <v>34.135703567016428</v>
      </c>
      <c r="BG37" s="22">
        <f t="shared" si="7"/>
        <v>286.92025704588701</v>
      </c>
      <c r="BH37" s="62">
        <f t="shared" si="8"/>
        <v>529.69368850800265</v>
      </c>
      <c r="BI37" s="62">
        <f ca="1">AVERAGE(OFFSET($BH$3,0,0,'Données projet'!$E$11+1,1))-AVERAGE(OFFSET($H$3,0,0,'Données projet'!$E$11+1,1))</f>
        <v>387.37910791664007</v>
      </c>
      <c r="BJ37" s="62">
        <f t="shared" si="38"/>
        <v>311.37245656657353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5.5007337472519344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4.0293004130304322</v>
      </c>
      <c r="BS37" s="24">
        <f t="shared" si="9"/>
        <v>9.5300341602823657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80.063676766746568</v>
      </c>
      <c r="T38" s="62">
        <f t="shared" si="34"/>
        <v>410.68113780291992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72.723863551119521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2.3127127293667785E-2</v>
      </c>
      <c r="AC38" s="24">
        <f t="shared" si="3"/>
        <v>72.746990678413184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1.1368683772161603E-13</v>
      </c>
      <c r="AJ38" s="14">
        <f>AI38*VLOOKUP('Données projet'!$B$10,Paramètres!$A$1:$I$89,3,0)*VLOOKUP('Données projet'!$B$10,Paramètres!$A$1:$I$89,5,0)</f>
        <v>6.7984728957526396E-14</v>
      </c>
      <c r="AK38" s="14">
        <f t="shared" si="35"/>
        <v>1.0682447123141398E-12</v>
      </c>
      <c r="AL38" s="22">
        <f t="shared" si="4"/>
        <v>1.978932943548152E-12</v>
      </c>
      <c r="AM38" s="62">
        <f t="shared" si="5"/>
        <v>243.65053272457649</v>
      </c>
      <c r="AN38" s="62">
        <f ca="1">AVERAGE(OFFSET($AM$3,0,0,'Données projet'!$E$10+1,1))-AVERAGE(OFFSET($H$3,0,0,'Données projet'!$E$10+1,1))</f>
        <v>189.09998601768521</v>
      </c>
      <c r="AO38" s="62">
        <f t="shared" si="36"/>
        <v>458.38901659119472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48.293556494552853</v>
      </c>
      <c r="AV38" s="23">
        <f>EXP(-LN(2)/25)*AV37+(1-EXP(-LN(2)/25))/(LN(2)/25)*Calculateur!AQ38*Calculateur!AS38*VLOOKUP('Données projet'!$B$10,Paramètres!$A$1:$I$89,3,0)*0.475*44/12</f>
        <v>38.259665408199417</v>
      </c>
      <c r="AW38" s="23">
        <f>EXP(-LN(2)/2)*AW37+(1-EXP(-LN(2)/2))/(LN(2)/2)*AQ38*AT38*VLOOKUP('Données projet'!$B$10,Paramètres!$A$1:$I$89,3,0)*0.475*44/12</f>
        <v>7.7016983071144107</v>
      </c>
      <c r="AX38" s="23">
        <f t="shared" si="6"/>
        <v>94.254920209866683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233</v>
      </c>
      <c r="BB38" s="13">
        <f>VLOOKUP(A38,'Données projet'!$A$87:$I$107,9,0)</f>
        <v>14.6</v>
      </c>
      <c r="BC38" s="13">
        <f t="array" ref="BC38">INDEX(BB:BB,MIN(IF(ISNUMBER(BB38:BB234),ROW(BB38:BB234),"")))</f>
        <v>14.6</v>
      </c>
      <c r="BD38" s="13">
        <f>IF('Données projet'!$A$88&gt;35,BD37+BC38-BL37,IF(A38&lt;'Données projet'!$A$88,$BA$205^A38,IF(A38='Données projet'!$A$88,'Données projet'!$B$88,BD37+BC38-BL37)))</f>
        <v>233.00000000000003</v>
      </c>
      <c r="BE38" s="14">
        <f>BD38*VLOOKUP('Données projet'!$B$11,Paramètres!$A$1:$I$89,3,0)*VLOOKUP('Données projet'!$B$11,Paramètres!$A$1:$I$89,5,0)</f>
        <v>139.33400000000003</v>
      </c>
      <c r="BF38" s="14">
        <f t="shared" si="37"/>
        <v>36.144391930570897</v>
      </c>
      <c r="BG38" s="22">
        <f t="shared" si="7"/>
        <v>305.62486594574438</v>
      </c>
      <c r="BH38" s="62">
        <f t="shared" si="8"/>
        <v>549.27539867031885</v>
      </c>
      <c r="BI38" s="62">
        <f ca="1">AVERAGE(OFFSET($BH$3,0,0,'Données projet'!$E$11+1,1))-AVERAGE(OFFSET($H$3,0,0,'Données projet'!$E$11+1,1))</f>
        <v>387.37910791664007</v>
      </c>
      <c r="BJ38" s="62">
        <f t="shared" si="38"/>
        <v>311.37245656657353</v>
      </c>
      <c r="BK38" s="16">
        <f>IF(ISNA(VLOOKUP(A38,'Données projet'!$A$87:$I$107,3,0)),0,VLOOKUP(A38,'Données projet'!$A$87:$I$107,3,0))</f>
        <v>4</v>
      </c>
      <c r="BL38" s="16">
        <f>IF(ISNA(VLOOKUP(A38,'Données projet'!$A$87:$I$107,4,0)),0,VLOOKUP(A38,'Données projet'!$A$87:$I$107,4,0))</f>
        <v>41</v>
      </c>
      <c r="BM38" s="17">
        <f>IF(ISNA(VLOOKUP(A38,'Données projet'!$A$87:$I$107,5,0)),0%,VLOOKUP(A38,'Données projet'!$A$87:$I$107,5,0)*VLOOKUP('Données projet'!$B$11,Paramètres!$A$1:$I$89,7,0))</f>
        <v>0.20250000000000001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0.55000000000000004</v>
      </c>
      <c r="BP38" s="23">
        <f>EXP(-LN(2)/35)*BP37+(1-EXP(-LN(2)/35))/(LN(2)/35)*BL38*BM38*VLOOKUP('Données projet'!$B$11,Paramètres!$A$1:$I$89,3,0)*0.475*44/12</f>
        <v>11.979120945574117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18.11718495440622</v>
      </c>
      <c r="BS38" s="24">
        <f t="shared" si="9"/>
        <v>30.096305899980337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80.063676766746568</v>
      </c>
      <c r="T39" s="62">
        <f t="shared" si="34"/>
        <v>410.68113780291992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71.297792944058926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1.6353348538716977E-2</v>
      </c>
      <c r="AC39" s="24">
        <f t="shared" si="3"/>
        <v>71.314146292597641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1.1368683772161603E-13</v>
      </c>
      <c r="AJ39" s="14">
        <f>AI39*VLOOKUP('Données projet'!$B$10,Paramètres!$A$1:$I$89,3,0)*VLOOKUP('Données projet'!$B$10,Paramètres!$A$1:$I$89,5,0)</f>
        <v>6.7984728957526396E-14</v>
      </c>
      <c r="AK39" s="14">
        <f t="shared" si="35"/>
        <v>1.0682447123141398E-12</v>
      </c>
      <c r="AL39" s="22">
        <f t="shared" si="4"/>
        <v>1.978932943548152E-12</v>
      </c>
      <c r="AM39" s="62">
        <f t="shared" si="5"/>
        <v>244.51241824103641</v>
      </c>
      <c r="AN39" s="62">
        <f ca="1">AVERAGE(OFFSET($AM$3,0,0,'Données projet'!$E$10+1,1))-AVERAGE(OFFSET($H$3,0,0,'Données projet'!$E$10+1,1))</f>
        <v>189.09998601768521</v>
      </c>
      <c r="AO39" s="62">
        <f t="shared" si="36"/>
        <v>458.38901659119472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47.346549307855575</v>
      </c>
      <c r="AV39" s="23">
        <f>EXP(-LN(2)/25)*AV38+(1-EXP(-LN(2)/25))/(LN(2)/25)*Calculateur!AQ39*Calculateur!AS39*VLOOKUP('Données projet'!$B$10,Paramètres!$A$1:$I$89,3,0)*0.475*44/12</f>
        <v>37.213452845623841</v>
      </c>
      <c r="AW39" s="23">
        <f>EXP(-LN(2)/2)*AW38+(1-EXP(-LN(2)/2))/(LN(2)/2)*AQ39*AT39*VLOOKUP('Données projet'!$B$10,Paramètres!$A$1:$I$89,3,0)*0.475*44/12</f>
        <v>5.4459230996135535</v>
      </c>
      <c r="AX39" s="23">
        <f t="shared" si="6"/>
        <v>90.005925253092968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14.4</v>
      </c>
      <c r="BD39" s="13">
        <f>IF('Données projet'!$A$88&gt;35,BD38+BC39-BL38,IF(A39&lt;'Données projet'!$A$88,$BA$205^A39,IF(A39='Données projet'!$A$88,'Données projet'!$B$88,BD38+BC39-BL38)))</f>
        <v>206.40000000000003</v>
      </c>
      <c r="BE39" s="14">
        <f>BD39*VLOOKUP('Données projet'!$B$11,Paramètres!$A$1:$I$89,3,0)*VLOOKUP('Données projet'!$B$11,Paramètres!$A$1:$I$89,5,0)</f>
        <v>123.42720000000003</v>
      </c>
      <c r="BF39" s="14">
        <f t="shared" si="37"/>
        <v>32.473022671122074</v>
      </c>
      <c r="BG39" s="22">
        <f t="shared" si="7"/>
        <v>271.5262211522043</v>
      </c>
      <c r="BH39" s="62">
        <f t="shared" si="8"/>
        <v>516.03863939323878</v>
      </c>
      <c r="BI39" s="62">
        <f ca="1">AVERAGE(OFFSET($BH$3,0,0,'Données projet'!$E$11+1,1))-AVERAGE(OFFSET($H$3,0,0,'Données projet'!$E$11+1,1))</f>
        <v>387.37910791664007</v>
      </c>
      <c r="BJ39" s="62">
        <f t="shared" si="38"/>
        <v>311.37245656657353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11.744217690373723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12.810784337271532</v>
      </c>
      <c r="BS39" s="24">
        <f t="shared" si="9"/>
        <v>24.555002027645255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80.063676766746568</v>
      </c>
      <c r="T40" s="62">
        <f t="shared" si="34"/>
        <v>410.68113780291992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69.899686711785606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1.1563563646833893E-2</v>
      </c>
      <c r="AC40" s="24">
        <f t="shared" si="3"/>
        <v>69.911250275432437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1.1368683772161603E-13</v>
      </c>
      <c r="AJ40" s="14">
        <f>AI40*VLOOKUP('Données projet'!$B$10,Paramètres!$A$1:$I$89,3,0)*VLOOKUP('Données projet'!$B$10,Paramètres!$A$1:$I$89,5,0)</f>
        <v>6.7984728957526396E-14</v>
      </c>
      <c r="AK40" s="14">
        <f t="shared" si="35"/>
        <v>1.0682447123141398E-12</v>
      </c>
      <c r="AL40" s="22">
        <f t="shared" si="4"/>
        <v>1.978932943548152E-12</v>
      </c>
      <c r="AM40" s="62">
        <f t="shared" si="5"/>
        <v>245.35935197067309</v>
      </c>
      <c r="AN40" s="62">
        <f ca="1">AVERAGE(OFFSET($AM$3,0,0,'Données projet'!$E$10+1,1))-AVERAGE(OFFSET($H$3,0,0,'Données projet'!$E$10+1,1))</f>
        <v>189.09998601768521</v>
      </c>
      <c r="AO40" s="62">
        <f t="shared" si="36"/>
        <v>458.38901659119472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46.418112354472086</v>
      </c>
      <c r="AV40" s="23">
        <f>EXP(-LN(2)/25)*AV39+(1-EXP(-LN(2)/25))/(LN(2)/25)*Calculateur!AQ40*Calculateur!AS40*VLOOKUP('Données projet'!$B$10,Paramètres!$A$1:$I$89,3,0)*0.475*44/12</f>
        <v>36.195849020589826</v>
      </c>
      <c r="AW40" s="23">
        <f>EXP(-LN(2)/2)*AW39+(1-EXP(-LN(2)/2))/(LN(2)/2)*AQ40*AT40*VLOOKUP('Données projet'!$B$10,Paramètres!$A$1:$I$89,3,0)*0.475*44/12</f>
        <v>3.8508491535572058</v>
      </c>
      <c r="AX40" s="23">
        <f t="shared" si="6"/>
        <v>86.464810528619111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14.4</v>
      </c>
      <c r="BD40" s="13">
        <f>IF('Données projet'!$A$88&gt;35,BD39+BC40-BL39,IF(A40&lt;'Données projet'!$A$88,$BA$205^A40,IF(A40='Données projet'!$A$88,'Données projet'!$B$88,BD39+BC40-BL39)))</f>
        <v>220.80000000000004</v>
      </c>
      <c r="BE40" s="14">
        <f>BD40*VLOOKUP('Données projet'!$B$11,Paramètres!$A$1:$I$89,3,0)*VLOOKUP('Données projet'!$B$11,Paramètres!$A$1:$I$89,5,0)</f>
        <v>132.03840000000005</v>
      </c>
      <c r="BF40" s="14">
        <f t="shared" si="37"/>
        <v>34.466946374534373</v>
      </c>
      <c r="BG40" s="22">
        <f t="shared" si="7"/>
        <v>289.99681160231415</v>
      </c>
      <c r="BH40" s="62">
        <f t="shared" si="8"/>
        <v>535.35616357298522</v>
      </c>
      <c r="BI40" s="62">
        <f ca="1">AVERAGE(OFFSET($BH$3,0,0,'Données projet'!$E$11+1,1))-AVERAGE(OFFSET($H$3,0,0,'Données projet'!$E$11+1,1))</f>
        <v>387.37910791664007</v>
      </c>
      <c r="BJ40" s="62">
        <f t="shared" si="38"/>
        <v>311.37245656657353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11.513920744730973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9.0585924772031117</v>
      </c>
      <c r="BS40" s="24">
        <f t="shared" si="9"/>
        <v>20.572513221934084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80.063676766746568</v>
      </c>
      <c r="T41" s="62">
        <f t="shared" si="34"/>
        <v>410.68113780291992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68.528996489966573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8.1766742693584887E-3</v>
      </c>
      <c r="AC41" s="24">
        <f t="shared" si="3"/>
        <v>68.537173164235938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1.1368683772161603E-13</v>
      </c>
      <c r="AJ41" s="14">
        <f>AI41*VLOOKUP('Données projet'!$B$10,Paramètres!$A$1:$I$89,3,0)*VLOOKUP('Données projet'!$B$10,Paramètres!$A$1:$I$89,5,0)</f>
        <v>6.7984728957526396E-14</v>
      </c>
      <c r="AK41" s="14">
        <f t="shared" si="35"/>
        <v>1.0682447123141398E-12</v>
      </c>
      <c r="AL41" s="22">
        <f t="shared" si="4"/>
        <v>1.978932943548152E-12</v>
      </c>
      <c r="AM41" s="62">
        <f t="shared" si="5"/>
        <v>246.19159329356071</v>
      </c>
      <c r="AN41" s="62">
        <f ca="1">AVERAGE(OFFSET($AM$3,0,0,'Données projet'!$E$10+1,1))-AVERAGE(OFFSET($H$3,0,0,'Données projet'!$E$10+1,1))</f>
        <v>189.09998601768521</v>
      </c>
      <c r="AO41" s="62">
        <f t="shared" si="36"/>
        <v>458.38901659119472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45.507881483453822</v>
      </c>
      <c r="AV41" s="23">
        <f>EXP(-LN(2)/25)*AV40+(1-EXP(-LN(2)/25))/(LN(2)/25)*Calculateur!AQ41*Calculateur!AS41*VLOOKUP('Données projet'!$B$10,Paramètres!$A$1:$I$89,3,0)*0.475*44/12</f>
        <v>35.206071625664826</v>
      </c>
      <c r="AW41" s="23">
        <f>EXP(-LN(2)/2)*AW40+(1-EXP(-LN(2)/2))/(LN(2)/2)*AQ41*AT41*VLOOKUP('Données projet'!$B$10,Paramètres!$A$1:$I$89,3,0)*0.475*44/12</f>
        <v>2.7229615498067772</v>
      </c>
      <c r="AX41" s="23">
        <f t="shared" si="6"/>
        <v>83.436914658925431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14.4</v>
      </c>
      <c r="BD41" s="13">
        <f>IF('Données projet'!$A$88&gt;35,BD40+BC41-BL40,IF(A41&lt;'Données projet'!$A$88,$BA$205^A41,IF(A41='Données projet'!$A$88,'Données projet'!$B$88,BD40+BC41-BL40)))</f>
        <v>235.20000000000005</v>
      </c>
      <c r="BE41" s="14">
        <f>BD41*VLOOKUP('Données projet'!$B$11,Paramètres!$A$1:$I$89,3,0)*VLOOKUP('Données projet'!$B$11,Paramètres!$A$1:$I$89,5,0)</f>
        <v>140.64960000000002</v>
      </c>
      <c r="BF41" s="14">
        <f t="shared" si="37"/>
        <v>36.445779615258601</v>
      </c>
      <c r="BG41" s="22">
        <f t="shared" si="7"/>
        <v>308.44111949657542</v>
      </c>
      <c r="BH41" s="62">
        <f t="shared" si="8"/>
        <v>554.63271279013418</v>
      </c>
      <c r="BI41" s="62">
        <f ca="1">AVERAGE(OFFSET($BH$3,0,0,'Données projet'!$E$11+1,1))-AVERAGE(OFFSET($H$3,0,0,'Données projet'!$E$11+1,1))</f>
        <v>387.37910791664007</v>
      </c>
      <c r="BJ41" s="62">
        <f t="shared" si="38"/>
        <v>311.37245656657353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11.288139781725009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6.4053921686357667</v>
      </c>
      <c r="BS41" s="24">
        <f t="shared" si="9"/>
        <v>17.693531950360775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80.063676766746568</v>
      </c>
      <c r="T42" s="62">
        <f t="shared" si="34"/>
        <v>410.68113780291992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67.185184667358925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5.7817818234169463E-3</v>
      </c>
      <c r="AC42" s="24">
        <f t="shared" si="3"/>
        <v>67.190966449182341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1.1368683772161603E-13</v>
      </c>
      <c r="AJ42" s="14">
        <f>AI42*VLOOKUP('Données projet'!$B$10,Paramètres!$A$1:$I$89,3,0)*VLOOKUP('Données projet'!$B$10,Paramètres!$A$1:$I$89,5,0)</f>
        <v>6.7984728957526396E-14</v>
      </c>
      <c r="AK42" s="14">
        <f t="shared" si="35"/>
        <v>1.0682447123141398E-12</v>
      </c>
      <c r="AL42" s="22">
        <f t="shared" si="4"/>
        <v>1.978932943548152E-12</v>
      </c>
      <c r="AM42" s="62">
        <f t="shared" si="5"/>
        <v>247.0093970901091</v>
      </c>
      <c r="AN42" s="62">
        <f ca="1">AVERAGE(OFFSET($AM$3,0,0,'Données projet'!$E$10+1,1))-AVERAGE(OFFSET($H$3,0,0,'Données projet'!$E$10+1,1))</f>
        <v>189.09998601768521</v>
      </c>
      <c r="AO42" s="62">
        <f t="shared" si="36"/>
        <v>458.38901659119472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44.615499684630215</v>
      </c>
      <c r="AV42" s="23">
        <f>EXP(-LN(2)/25)*AV41+(1-EXP(-LN(2)/25))/(LN(2)/25)*Calculateur!AQ42*Calculateur!AS42*VLOOKUP('Données projet'!$B$10,Paramètres!$A$1:$I$89,3,0)*0.475*44/12</f>
        <v>34.243359745654182</v>
      </c>
      <c r="AW42" s="23">
        <f>EXP(-LN(2)/2)*AW41+(1-EXP(-LN(2)/2))/(LN(2)/2)*AQ42*AT42*VLOOKUP('Données projet'!$B$10,Paramètres!$A$1:$I$89,3,0)*0.475*44/12</f>
        <v>1.9254245767786033</v>
      </c>
      <c r="AX42" s="23">
        <f t="shared" si="6"/>
        <v>80.784284007063007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14.4</v>
      </c>
      <c r="BD42" s="13">
        <f>IF('Données projet'!$A$88&gt;35,BD41+BC42-BL41,IF(A42&lt;'Données projet'!$A$88,$BA$205^A42,IF(A42='Données projet'!$A$88,'Données projet'!$B$88,BD41+BC42-BL41)))</f>
        <v>249.60000000000005</v>
      </c>
      <c r="BE42" s="14">
        <f>BD42*VLOOKUP('Données projet'!$B$11,Paramètres!$A$1:$I$89,3,0)*VLOOKUP('Données projet'!$B$11,Paramètres!$A$1:$I$89,5,0)</f>
        <v>149.26080000000005</v>
      </c>
      <c r="BF42" s="14">
        <f t="shared" si="37"/>
        <v>38.410551499792909</v>
      </c>
      <c r="BG42" s="22">
        <f t="shared" si="7"/>
        <v>326.86093719547273</v>
      </c>
      <c r="BH42" s="62">
        <f t="shared" si="8"/>
        <v>573.87033428557982</v>
      </c>
      <c r="BI42" s="62">
        <f ca="1">AVERAGE(OFFSET($BH$3,0,0,'Données projet'!$E$11+1,1))-AVERAGE(OFFSET($H$3,0,0,'Données projet'!$E$11+1,1))</f>
        <v>387.37910791664007</v>
      </c>
      <c r="BJ42" s="62">
        <f t="shared" si="38"/>
        <v>311.37245656657353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11.066786245690803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4.5292962386015567</v>
      </c>
      <c r="BS42" s="24">
        <f t="shared" si="9"/>
        <v>15.59608248429236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80.063676766746568</v>
      </c>
      <c r="T43" s="62">
        <f t="shared" si="34"/>
        <v>410.68113780291992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65.867724174948336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4.0883371346792444E-3</v>
      </c>
      <c r="AC43" s="24">
        <f t="shared" si="3"/>
        <v>65.871812512083011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1.1368683772161603E-13</v>
      </c>
      <c r="AJ43" s="14">
        <f>AI43*VLOOKUP('Données projet'!$B$10,Paramètres!$A$1:$I$89,3,0)*VLOOKUP('Données projet'!$B$10,Paramètres!$A$1:$I$89,5,0)</f>
        <v>6.7984728957526396E-14</v>
      </c>
      <c r="AK43" s="14">
        <f t="shared" si="35"/>
        <v>1.0682447123141398E-12</v>
      </c>
      <c r="AL43" s="22">
        <f t="shared" si="4"/>
        <v>1.978932943548152E-12</v>
      </c>
      <c r="AM43" s="62">
        <f t="shared" si="5"/>
        <v>247.8130138191228</v>
      </c>
      <c r="AN43" s="62">
        <f ca="1">AVERAGE(OFFSET($AM$3,0,0,'Données projet'!$E$10+1,1))-AVERAGE(OFFSET($H$3,0,0,'Données projet'!$E$10+1,1))</f>
        <v>189.09998601768521</v>
      </c>
      <c r="AO43" s="62">
        <f t="shared" si="36"/>
        <v>458.38901659119472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43.740616948582385</v>
      </c>
      <c r="AV43" s="23">
        <f>EXP(-LN(2)/25)*AV42+(1-EXP(-LN(2)/25))/(LN(2)/25)*Calculateur!AQ43*Calculateur!AS43*VLOOKUP('Données projet'!$B$10,Paramètres!$A$1:$I$89,3,0)*0.475*44/12</f>
        <v>33.306973272629243</v>
      </c>
      <c r="AW43" s="23">
        <f>EXP(-LN(2)/2)*AW42+(1-EXP(-LN(2)/2))/(LN(2)/2)*AQ43*AT43*VLOOKUP('Données projet'!$B$10,Paramètres!$A$1:$I$89,3,0)*0.475*44/12</f>
        <v>1.3614807749033888</v>
      </c>
      <c r="AX43" s="23">
        <f t="shared" si="6"/>
        <v>78.40907099611502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264</v>
      </c>
      <c r="BB43" s="13">
        <f>VLOOKUP(A43,'Données projet'!$A$87:$I$107,9,0)</f>
        <v>14.4</v>
      </c>
      <c r="BC43" s="13">
        <f t="array" ref="BC43">INDEX(BB:BB,MIN(IF(ISNUMBER(BB43:BB239),ROW(BB43:BB239),"")))</f>
        <v>14.4</v>
      </c>
      <c r="BD43" s="13">
        <f>IF('Données projet'!$A$88&gt;35,BD42+BC43-BL42,IF(A43&lt;'Données projet'!$A$88,$BA$205^A43,IF(A43='Données projet'!$A$88,'Données projet'!$B$88,BD42+BC43-BL42)))</f>
        <v>264.00000000000006</v>
      </c>
      <c r="BE43" s="14">
        <f>BD43*VLOOKUP('Données projet'!$B$11,Paramètres!$A$1:$I$89,3,0)*VLOOKUP('Données projet'!$B$11,Paramètres!$A$1:$I$89,5,0)</f>
        <v>157.87200000000004</v>
      </c>
      <c r="BF43" s="14">
        <f t="shared" si="37"/>
        <v>40.362165684361159</v>
      </c>
      <c r="BG43" s="22">
        <f t="shared" si="7"/>
        <v>345.25783856692902</v>
      </c>
      <c r="BH43" s="62">
        <f t="shared" si="8"/>
        <v>593.07085238604986</v>
      </c>
      <c r="BI43" s="62">
        <f ca="1">AVERAGE(OFFSET($BH$3,0,0,'Données projet'!$E$11+1,1))-AVERAGE(OFFSET($H$3,0,0,'Données projet'!$E$11+1,1))</f>
        <v>387.37910791664007</v>
      </c>
      <c r="BJ43" s="62">
        <f t="shared" si="38"/>
        <v>311.37245656657353</v>
      </c>
      <c r="BK43" s="16">
        <f>IF(ISNA(VLOOKUP(A43,'Données projet'!$A$87:$I$107,3,0)),0,VLOOKUP(A43,'Données projet'!$A$87:$I$107,3,0))</f>
        <v>5</v>
      </c>
      <c r="BL43" s="16">
        <f>IF(ISNA(VLOOKUP(A43,'Données projet'!$A$87:$I$107,4,0)),0,VLOOKUP(A43,'Données projet'!$A$87:$I$107,4,0))</f>
        <v>41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10.849773317485901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3.2026960843178838</v>
      </c>
      <c r="BS43" s="24">
        <f t="shared" si="9"/>
        <v>14.052469401803785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80.063676766746568</v>
      </c>
      <c r="T44" s="62">
        <f t="shared" si="34"/>
        <v>410.68113780291992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64.576098279222364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2.8908909117084732E-3</v>
      </c>
      <c r="AC44" s="24">
        <f t="shared" si="3"/>
        <v>64.578989170134079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1.1368683772161603E-13</v>
      </c>
      <c r="AJ44" s="14">
        <f>AI44*VLOOKUP('Données projet'!$B$10,Paramètres!$A$1:$I$89,3,0)*VLOOKUP('Données projet'!$B$10,Paramètres!$A$1:$I$89,5,0)</f>
        <v>6.7984728957526396E-14</v>
      </c>
      <c r="AK44" s="14">
        <f t="shared" si="35"/>
        <v>1.0682447123141398E-12</v>
      </c>
      <c r="AL44" s="22">
        <f t="shared" si="4"/>
        <v>1.978932943548152E-12</v>
      </c>
      <c r="AM44" s="62">
        <f t="shared" si="5"/>
        <v>248.60268959450596</v>
      </c>
      <c r="AN44" s="62">
        <f ca="1">AVERAGE(OFFSET($AM$3,0,0,'Données projet'!$E$10+1,1))-AVERAGE(OFFSET($H$3,0,0,'Données projet'!$E$10+1,1))</f>
        <v>189.09998601768521</v>
      </c>
      <c r="AO44" s="62">
        <f t="shared" si="36"/>
        <v>458.38901659119472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42.882890129362679</v>
      </c>
      <c r="AV44" s="23">
        <f>EXP(-LN(2)/25)*AV43+(1-EXP(-LN(2)/25))/(LN(2)/25)*Calculateur!AQ44*Calculateur!AS44*VLOOKUP('Données projet'!$B$10,Paramètres!$A$1:$I$89,3,0)*0.475*44/12</f>
        <v>32.396192336951593</v>
      </c>
      <c r="AW44" s="23">
        <f>EXP(-LN(2)/2)*AW43+(1-EXP(-LN(2)/2))/(LN(2)/2)*AQ44*AT44*VLOOKUP('Données projet'!$B$10,Paramètres!$A$1:$I$89,3,0)*0.475*44/12</f>
        <v>0.96271228838930178</v>
      </c>
      <c r="AX44" s="23">
        <f t="shared" si="6"/>
        <v>76.241794754703562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16.600000000000001</v>
      </c>
      <c r="BD44" s="13">
        <f>IF('Données projet'!$A$88&gt;35,BD43+BC44-BL43,IF(A44&lt;'Données projet'!$A$88,$BA$205^A44,IF(A44='Données projet'!$A$88,'Données projet'!$B$88,BD43+BC44-BL43)))</f>
        <v>239.60000000000008</v>
      </c>
      <c r="BE44" s="14">
        <f>BD44*VLOOKUP('Données projet'!$B$11,Paramètres!$A$1:$I$89,3,0)*VLOOKUP('Données projet'!$B$11,Paramètres!$A$1:$I$89,5,0)</f>
        <v>143.28080000000006</v>
      </c>
      <c r="BF44" s="14">
        <f t="shared" si="37"/>
        <v>37.047574465948976</v>
      </c>
      <c r="BG44" s="22">
        <f t="shared" si="7"/>
        <v>314.07191886152788</v>
      </c>
      <c r="BH44" s="62">
        <f t="shared" si="8"/>
        <v>562.67460845603182</v>
      </c>
      <c r="BI44" s="62">
        <f ca="1">AVERAGE(OFFSET($BH$3,0,0,'Données projet'!$E$11+1,1))-AVERAGE(OFFSET($H$3,0,0,'Données projet'!$E$11+1,1))</f>
        <v>387.37910791664007</v>
      </c>
      <c r="BJ44" s="62">
        <f t="shared" si="38"/>
        <v>311.37245656657353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10.637015880438282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2.2646481193007784</v>
      </c>
      <c r="BS44" s="24">
        <f t="shared" si="9"/>
        <v>12.901663999739061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80.063676766746568</v>
      </c>
      <c r="T45" s="62">
        <f t="shared" si="34"/>
        <v>410.68113780291992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63.309800379497567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2.0441685673396222E-3</v>
      </c>
      <c r="AC45" s="24">
        <f t="shared" si="3"/>
        <v>63.311844548064904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1.1368683772161603E-13</v>
      </c>
      <c r="AJ45" s="14">
        <f>AI45*VLOOKUP('Données projet'!$B$10,Paramètres!$A$1:$I$89,3,0)*VLOOKUP('Données projet'!$B$10,Paramètres!$A$1:$I$89,5,0)</f>
        <v>6.7984728957526396E-14</v>
      </c>
      <c r="AK45" s="14">
        <f t="shared" si="35"/>
        <v>1.0682447123141398E-12</v>
      </c>
      <c r="AL45" s="22">
        <f t="shared" si="4"/>
        <v>1.978932943548152E-12</v>
      </c>
      <c r="AM45" s="62">
        <f t="shared" si="5"/>
        <v>249.37866626063672</v>
      </c>
      <c r="AN45" s="62">
        <f ca="1">AVERAGE(OFFSET($AM$3,0,0,'Données projet'!$E$10+1,1))-AVERAGE(OFFSET($H$3,0,0,'Données projet'!$E$10+1,1))</f>
        <v>189.09998601768521</v>
      </c>
      <c r="AO45" s="62">
        <f t="shared" si="36"/>
        <v>458.38901659119472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42.041982809906166</v>
      </c>
      <c r="AV45" s="23">
        <f>EXP(-LN(2)/25)*AV44+(1-EXP(-LN(2)/25))/(LN(2)/25)*Calculateur!AQ45*Calculateur!AS45*VLOOKUP('Données projet'!$B$10,Paramètres!$A$1:$I$89,3,0)*0.475*44/12</f>
        <v>31.510316753855939</v>
      </c>
      <c r="AW45" s="23">
        <f>EXP(-LN(2)/2)*AW44+(1-EXP(-LN(2)/2))/(LN(2)/2)*AQ45*AT45*VLOOKUP('Données projet'!$B$10,Paramètres!$A$1:$I$89,3,0)*0.475*44/12</f>
        <v>0.68074038745169452</v>
      </c>
      <c r="AX45" s="23">
        <f t="shared" si="6"/>
        <v>74.233039951213797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16.600000000000001</v>
      </c>
      <c r="BD45" s="13">
        <f>IF('Données projet'!$A$88&gt;35,BD44+BC45-BL44,IF(A45&lt;'Données projet'!$A$88,$BA$205^A45,IF(A45='Données projet'!$A$88,'Données projet'!$B$88,BD44+BC45-BL44)))</f>
        <v>256.2000000000001</v>
      </c>
      <c r="BE45" s="14">
        <f>BD45*VLOOKUP('Données projet'!$B$11,Paramètres!$A$1:$I$89,3,0)*VLOOKUP('Données projet'!$B$11,Paramètres!$A$1:$I$89,5,0)</f>
        <v>153.20760000000007</v>
      </c>
      <c r="BF45" s="14">
        <f t="shared" si="37"/>
        <v>39.306624169832133</v>
      </c>
      <c r="BG45" s="22">
        <f t="shared" si="7"/>
        <v>335.29560709579107</v>
      </c>
      <c r="BH45" s="62">
        <f t="shared" si="8"/>
        <v>584.67427335642583</v>
      </c>
      <c r="BI45" s="62">
        <f ca="1">AVERAGE(OFFSET($BH$3,0,0,'Données projet'!$E$11+1,1))-AVERAGE(OFFSET($H$3,0,0,'Données projet'!$E$11+1,1))</f>
        <v>387.37910791664007</v>
      </c>
      <c r="BJ45" s="62">
        <f t="shared" si="38"/>
        <v>311.37245656657353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10.428430486961943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1.6013480421589419</v>
      </c>
      <c r="BS45" s="24">
        <f t="shared" si="9"/>
        <v>12.029778529120886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80.063676766746568</v>
      </c>
      <c r="T46" s="62">
        <f t="shared" si="34"/>
        <v>410.68113780291992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62.068333809220917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1.4454454558542366E-3</v>
      </c>
      <c r="AC46" s="24">
        <f t="shared" si="3"/>
        <v>62.069779254676774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1.1368683772161603E-13</v>
      </c>
      <c r="AJ46" s="14">
        <f>AI46*VLOOKUP('Données projet'!$B$10,Paramètres!$A$1:$I$89,3,0)*VLOOKUP('Données projet'!$B$10,Paramètres!$A$1:$I$89,5,0)</f>
        <v>6.7984728957526396E-14</v>
      </c>
      <c r="AK46" s="14">
        <f t="shared" si="35"/>
        <v>1.0682447123141398E-12</v>
      </c>
      <c r="AL46" s="22">
        <f t="shared" si="4"/>
        <v>1.978932943548152E-12</v>
      </c>
      <c r="AM46" s="62">
        <f t="shared" si="5"/>
        <v>250.14118146643403</v>
      </c>
      <c r="AN46" s="62">
        <f ca="1">AVERAGE(OFFSET($AM$3,0,0,'Données projet'!$E$10+1,1))-AVERAGE(OFFSET($H$3,0,0,'Données projet'!$E$10+1,1))</f>
        <v>189.09998601768521</v>
      </c>
      <c r="AO46" s="62">
        <f t="shared" si="36"/>
        <v>458.38901659119472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41.217565170081379</v>
      </c>
      <c r="AV46" s="23">
        <f>EXP(-LN(2)/25)*AV45+(1-EXP(-LN(2)/25))/(LN(2)/25)*Calculateur!AQ46*Calculateur!AS46*VLOOKUP('Données projet'!$B$10,Paramètres!$A$1:$I$89,3,0)*0.475*44/12</f>
        <v>30.648665485166209</v>
      </c>
      <c r="AW46" s="23">
        <f>EXP(-LN(2)/2)*AW45+(1-EXP(-LN(2)/2))/(LN(2)/2)*AQ46*AT46*VLOOKUP('Données projet'!$B$10,Paramètres!$A$1:$I$89,3,0)*0.475*44/12</f>
        <v>0.48135614419465095</v>
      </c>
      <c r="AX46" s="23">
        <f t="shared" si="6"/>
        <v>72.34758679944224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16.600000000000001</v>
      </c>
      <c r="BD46" s="13">
        <f>IF('Données projet'!$A$88&gt;35,BD45+BC46-BL45,IF(A46&lt;'Données projet'!$A$88,$BA$205^A46,IF(A46='Données projet'!$A$88,'Données projet'!$B$88,BD45+BC46-BL45)))</f>
        <v>272.80000000000013</v>
      </c>
      <c r="BE46" s="14">
        <f>BD46*VLOOKUP('Données projet'!$B$11,Paramètres!$A$1:$I$89,3,0)*VLOOKUP('Données projet'!$B$11,Paramètres!$A$1:$I$89,5,0)</f>
        <v>163.13440000000008</v>
      </c>
      <c r="BF46" s="14">
        <f t="shared" si="37"/>
        <v>41.548687845426002</v>
      </c>
      <c r="BG46" s="22">
        <f t="shared" si="7"/>
        <v>356.48971133078379</v>
      </c>
      <c r="BH46" s="62">
        <f t="shared" si="8"/>
        <v>606.63089279721589</v>
      </c>
      <c r="BI46" s="62">
        <f ca="1">AVERAGE(OFFSET($BH$3,0,0,'Données projet'!$E$11+1,1))-AVERAGE(OFFSET($H$3,0,0,'Données projet'!$E$11+1,1))</f>
        <v>387.37910791664007</v>
      </c>
      <c r="BJ46" s="62">
        <f t="shared" si="38"/>
        <v>311.37245656657353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10.223935325827147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1.1323240596503892</v>
      </c>
      <c r="BS46" s="24">
        <f t="shared" si="9"/>
        <v>11.356259385477536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80.063676766746568</v>
      </c>
      <c r="T47" s="62">
        <f t="shared" si="34"/>
        <v>410.68113780291992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60.851211641167559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1.0220842836698111E-3</v>
      </c>
      <c r="AC47" s="24">
        <f t="shared" si="3"/>
        <v>60.852233725451228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1.1368683772161603E-13</v>
      </c>
      <c r="AJ47" s="14">
        <f>AI47*VLOOKUP('Données projet'!$B$10,Paramètres!$A$1:$I$89,3,0)*VLOOKUP('Données projet'!$B$10,Paramètres!$A$1:$I$89,5,0)</f>
        <v>6.7984728957526396E-14</v>
      </c>
      <c r="AK47" s="14">
        <f t="shared" si="35"/>
        <v>1.0682447123141398E-12</v>
      </c>
      <c r="AL47" s="22">
        <f t="shared" si="4"/>
        <v>1.978932943548152E-12</v>
      </c>
      <c r="AM47" s="62">
        <f t="shared" si="5"/>
        <v>250.89046873813942</v>
      </c>
      <c r="AN47" s="62">
        <f ca="1">AVERAGE(OFFSET($AM$3,0,0,'Données projet'!$E$10+1,1))-AVERAGE(OFFSET($H$3,0,0,'Données projet'!$E$10+1,1))</f>
        <v>189.09998601768521</v>
      </c>
      <c r="AO47" s="62">
        <f t="shared" si="36"/>
        <v>458.38901659119472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40.409313857328442</v>
      </c>
      <c r="AV47" s="23">
        <f>EXP(-LN(2)/25)*AV46+(1-EXP(-LN(2)/25))/(LN(2)/25)*Calculateur!AQ47*Calculateur!AS47*VLOOKUP('Données projet'!$B$10,Paramètres!$A$1:$I$89,3,0)*0.475*44/12</f>
        <v>29.81057611573107</v>
      </c>
      <c r="AW47" s="23">
        <f>EXP(-LN(2)/2)*AW46+(1-EXP(-LN(2)/2))/(LN(2)/2)*AQ47*AT47*VLOOKUP('Données projet'!$B$10,Paramètres!$A$1:$I$89,3,0)*0.475*44/12</f>
        <v>0.34037019372584731</v>
      </c>
      <c r="AX47" s="23">
        <f t="shared" si="6"/>
        <v>70.560260166785355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16.600000000000001</v>
      </c>
      <c r="BD47" s="13">
        <f>IF('Données projet'!$A$88&gt;35,BD46+BC47-BL46,IF(A47&lt;'Données projet'!$A$88,$BA$205^A47,IF(A47='Données projet'!$A$88,'Données projet'!$B$88,BD46+BC47-BL46)))</f>
        <v>289.40000000000015</v>
      </c>
      <c r="BE47" s="14">
        <f>BD47*VLOOKUP('Données projet'!$B$11,Paramètres!$A$1:$I$89,3,0)*VLOOKUP('Données projet'!$B$11,Paramètres!$A$1:$I$89,5,0)</f>
        <v>173.0612000000001</v>
      </c>
      <c r="BF47" s="14">
        <f t="shared" si="37"/>
        <v>43.774916798471111</v>
      </c>
      <c r="BG47" s="22">
        <f t="shared" si="7"/>
        <v>377.65623675733735</v>
      </c>
      <c r="BH47" s="62">
        <f t="shared" si="8"/>
        <v>628.54670549547473</v>
      </c>
      <c r="BI47" s="62">
        <f ca="1">AVERAGE(OFFSET($BH$3,0,0,'Données projet'!$E$11+1,1))-AVERAGE(OFFSET($H$3,0,0,'Données projet'!$E$11+1,1))</f>
        <v>387.37910791664007</v>
      </c>
      <c r="BJ47" s="62">
        <f t="shared" si="38"/>
        <v>311.37245656657353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10.023450190072474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0.80067402107947094</v>
      </c>
      <c r="BS47" s="24">
        <f t="shared" si="9"/>
        <v>10.824124211151945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80.063676766746568</v>
      </c>
      <c r="T48" s="62">
        <f t="shared" si="34"/>
        <v>410.68113780291992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59.657956496458503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7.2272272792711829E-4</v>
      </c>
      <c r="AC48" s="24">
        <f t="shared" si="3"/>
        <v>59.658679219186432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1.1368683772161603E-13</v>
      </c>
      <c r="AJ48" s="14">
        <f>AI48*VLOOKUP('Données projet'!$B$10,Paramètres!$A$1:$I$89,3,0)*VLOOKUP('Données projet'!$B$10,Paramètres!$A$1:$I$89,5,0)</f>
        <v>6.7984728957526396E-14</v>
      </c>
      <c r="AK48" s="14">
        <f t="shared" si="35"/>
        <v>1.0682447123141398E-12</v>
      </c>
      <c r="AL48" s="22">
        <f t="shared" si="4"/>
        <v>1.978932943548152E-12</v>
      </c>
      <c r="AM48" s="62">
        <f t="shared" si="5"/>
        <v>251.62675755083612</v>
      </c>
      <c r="AN48" s="62">
        <f ca="1">AVERAGE(OFFSET($AM$3,0,0,'Données projet'!$E$10+1,1))-AVERAGE(OFFSET($H$3,0,0,'Données projet'!$E$10+1,1))</f>
        <v>189.09998601768521</v>
      </c>
      <c r="AO48" s="62">
        <f t="shared" si="36"/>
        <v>458.38901659119472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39.616911859833969</v>
      </c>
      <c r="AV48" s="23">
        <f>EXP(-LN(2)/25)*AV47+(1-EXP(-LN(2)/25))/(LN(2)/25)*Calculateur!AQ48*Calculateur!AS48*VLOOKUP('Données projet'!$B$10,Paramètres!$A$1:$I$89,3,0)*0.475*44/12</f>
        <v>28.99540434417634</v>
      </c>
      <c r="AW48" s="23">
        <f>EXP(-LN(2)/2)*AW47+(1-EXP(-LN(2)/2))/(LN(2)/2)*AQ48*AT48*VLOOKUP('Données projet'!$B$10,Paramètres!$A$1:$I$89,3,0)*0.475*44/12</f>
        <v>0.24067807209732553</v>
      </c>
      <c r="AX48" s="23">
        <f t="shared" si="6"/>
        <v>68.852994276107637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306</v>
      </c>
      <c r="BB48" s="13">
        <f>VLOOKUP(A48,'Données projet'!$A$87:$I$107,9,0)</f>
        <v>16.600000000000001</v>
      </c>
      <c r="BC48" s="13">
        <f t="array" ref="BC48">INDEX(BB:BB,MIN(IF(ISNUMBER(BB48:BB244),ROW(BB48:BB244),"")))</f>
        <v>16.600000000000001</v>
      </c>
      <c r="BD48" s="13">
        <f>IF('Données projet'!$A$88&gt;35,BD47+BC48-BL47,IF(A48&lt;'Données projet'!$A$88,$BA$205^A48,IF(A48='Données projet'!$A$88,'Données projet'!$B$88,BD47+BC48-BL47)))</f>
        <v>306.00000000000017</v>
      </c>
      <c r="BE48" s="14">
        <f>BD48*VLOOKUP('Données projet'!$B$11,Paramètres!$A$1:$I$89,3,0)*VLOOKUP('Données projet'!$B$11,Paramètres!$A$1:$I$89,5,0)</f>
        <v>182.98800000000011</v>
      </c>
      <c r="BF48" s="14">
        <f t="shared" si="37"/>
        <v>45.986322796524874</v>
      </c>
      <c r="BG48" s="22">
        <f t="shared" si="7"/>
        <v>398.79694553728103</v>
      </c>
      <c r="BH48" s="62">
        <f t="shared" si="8"/>
        <v>650.42370308811519</v>
      </c>
      <c r="BI48" s="62">
        <f ca="1">AVERAGE(OFFSET($BH$3,0,0,'Données projet'!$E$11+1,1))-AVERAGE(OFFSET($H$3,0,0,'Données projet'!$E$11+1,1))</f>
        <v>387.37910791664007</v>
      </c>
      <c r="BJ48" s="62">
        <f t="shared" si="38"/>
        <v>311.37245656657353</v>
      </c>
      <c r="BK48" s="16">
        <f>IF(ISNA(VLOOKUP(A48,'Données projet'!$A$87:$I$107,3,0)),0,VLOOKUP(A48,'Données projet'!$A$87:$I$107,3,0))</f>
        <v>6</v>
      </c>
      <c r="BL48" s="16">
        <f>IF(ISNA(VLOOKUP(A48,'Données projet'!$A$87:$I$107,4,0)),0,VLOOKUP(A48,'Données projet'!$A$87:$I$107,4,0))</f>
        <v>53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9.8268964455460903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0.56616202982519459</v>
      </c>
      <c r="BS48" s="24">
        <f t="shared" si="9"/>
        <v>10.393058475371285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80.063676766746568</v>
      </c>
      <c r="T49" s="62">
        <f t="shared" si="34"/>
        <v>410.68113780291992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58.488100357323425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5.1104214183490555E-4</v>
      </c>
      <c r="AC49" s="24">
        <f t="shared" si="3"/>
        <v>58.488611399465263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1.1368683772161603E-13</v>
      </c>
      <c r="AJ49" s="14">
        <f>AI49*VLOOKUP('Données projet'!$B$10,Paramètres!$A$1:$I$89,3,0)*VLOOKUP('Données projet'!$B$10,Paramètres!$A$1:$I$89,5,0)</f>
        <v>6.7984728957526396E-14</v>
      </c>
      <c r="AK49" s="14">
        <f t="shared" si="35"/>
        <v>1.0682447123141398E-12</v>
      </c>
      <c r="AL49" s="22">
        <f t="shared" si="4"/>
        <v>1.978932943548152E-12</v>
      </c>
      <c r="AM49" s="62">
        <f t="shared" si="5"/>
        <v>252.35027339872764</v>
      </c>
      <c r="AN49" s="62">
        <f ca="1">AVERAGE(OFFSET($AM$3,0,0,'Données projet'!$E$10+1,1))-AVERAGE(OFFSET($H$3,0,0,'Données projet'!$E$10+1,1))</f>
        <v>189.09998601768521</v>
      </c>
      <c r="AO49" s="62">
        <f t="shared" si="36"/>
        <v>458.38901659119472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38.840048382192869</v>
      </c>
      <c r="AV49" s="23">
        <f>EXP(-LN(2)/25)*AV48+(1-EXP(-LN(2)/25))/(LN(2)/25)*Calculateur!AQ49*Calculateur!AS49*VLOOKUP('Données projet'!$B$10,Paramètres!$A$1:$I$89,3,0)*0.475*44/12</f>
        <v>28.202523487582791</v>
      </c>
      <c r="AW49" s="23">
        <f>EXP(-LN(2)/2)*AW48+(1-EXP(-LN(2)/2))/(LN(2)/2)*AQ49*AT49*VLOOKUP('Données projet'!$B$10,Paramètres!$A$1:$I$89,3,0)*0.475*44/12</f>
        <v>0.17018509686292368</v>
      </c>
      <c r="AX49" s="23">
        <f t="shared" si="6"/>
        <v>67.21275696663858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17.399999999999999</v>
      </c>
      <c r="BD49" s="13">
        <f>IF('Données projet'!$A$88&gt;35,BD48+BC49-BL48,IF(A49&lt;'Données projet'!$A$88,$BA$205^A49,IF(A49='Données projet'!$A$88,'Données projet'!$B$88,BD48+BC49-BL48)))</f>
        <v>270.40000000000015</v>
      </c>
      <c r="BE49" s="14">
        <f>BD49*VLOOKUP('Données projet'!$B$11,Paramètres!$A$1:$I$89,3,0)*VLOOKUP('Données projet'!$B$11,Paramètres!$A$1:$I$89,5,0)</f>
        <v>161.6992000000001</v>
      </c>
      <c r="BF49" s="14">
        <f t="shared" si="37"/>
        <v>41.225538754249229</v>
      </c>
      <c r="BG49" s="22">
        <f t="shared" si="7"/>
        <v>353.42725333031763</v>
      </c>
      <c r="BH49" s="62">
        <f t="shared" si="8"/>
        <v>605.7775267290433</v>
      </c>
      <c r="BI49" s="62">
        <f ca="1">AVERAGE(OFFSET($BH$3,0,0,'Données projet'!$E$11+1,1))-AVERAGE(OFFSET($H$3,0,0,'Données projet'!$E$11+1,1))</f>
        <v>387.37910791664007</v>
      </c>
      <c r="BJ49" s="62">
        <f t="shared" si="38"/>
        <v>311.37245656657353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9.6341970000639225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0.40033701053973547</v>
      </c>
      <c r="BS49" s="24">
        <f t="shared" si="9"/>
        <v>10.034534010603657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80.063676766746568</v>
      </c>
      <c r="T50" s="62">
        <f t="shared" si="34"/>
        <v>410.68113780291992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57.341184383534994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3.6136136396355915E-4</v>
      </c>
      <c r="AC50" s="24">
        <f t="shared" si="3"/>
        <v>57.341545744898959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1.1368683772161603E-13</v>
      </c>
      <c r="AJ50" s="14">
        <f>AI50*VLOOKUP('Données projet'!$B$10,Paramètres!$A$1:$I$89,3,0)*VLOOKUP('Données projet'!$B$10,Paramètres!$A$1:$I$89,5,0)</f>
        <v>6.7984728957526396E-14</v>
      </c>
      <c r="AK50" s="14">
        <f t="shared" si="35"/>
        <v>1.0682447123141398E-12</v>
      </c>
      <c r="AL50" s="22">
        <f t="shared" si="4"/>
        <v>1.978932943548152E-12</v>
      </c>
      <c r="AM50" s="62">
        <f t="shared" si="5"/>
        <v>253.06123786419738</v>
      </c>
      <c r="AN50" s="62">
        <f ca="1">AVERAGE(OFFSET($AM$3,0,0,'Données projet'!$E$10+1,1))-AVERAGE(OFFSET($H$3,0,0,'Données projet'!$E$10+1,1))</f>
        <v>189.09998601768521</v>
      </c>
      <c r="AO50" s="62">
        <f t="shared" si="36"/>
        <v>458.38901659119472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38.078418723508378</v>
      </c>
      <c r="AV50" s="23">
        <f>EXP(-LN(2)/25)*AV49+(1-EXP(-LN(2)/25))/(LN(2)/25)*Calculateur!AQ50*Calculateur!AS50*VLOOKUP('Données projet'!$B$10,Paramètres!$A$1:$I$89,3,0)*0.475*44/12</f>
        <v>27.431323999708589</v>
      </c>
      <c r="AW50" s="23">
        <f>EXP(-LN(2)/2)*AW49+(1-EXP(-LN(2)/2))/(LN(2)/2)*AQ50*AT50*VLOOKUP('Données projet'!$B$10,Paramètres!$A$1:$I$89,3,0)*0.475*44/12</f>
        <v>0.12033903604866278</v>
      </c>
      <c r="AX50" s="23">
        <f t="shared" si="6"/>
        <v>65.630081759265622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17.399999999999999</v>
      </c>
      <c r="BD50" s="13">
        <f>IF('Données projet'!$A$88&gt;35,BD49+BC50-BL49,IF(A50&lt;'Données projet'!$A$88,$BA$205^A50,IF(A50='Données projet'!$A$88,'Données projet'!$B$88,BD49+BC50-BL49)))</f>
        <v>287.80000000000013</v>
      </c>
      <c r="BE50" s="14">
        <f>BD50*VLOOKUP('Données projet'!$B$11,Paramètres!$A$1:$I$89,3,0)*VLOOKUP('Données projet'!$B$11,Paramètres!$A$1:$I$89,5,0)</f>
        <v>172.10440000000008</v>
      </c>
      <c r="BF50" s="14">
        <f t="shared" si="37"/>
        <v>43.561001176960559</v>
      </c>
      <c r="BG50" s="22">
        <f t="shared" si="7"/>
        <v>375.61724038320648</v>
      </c>
      <c r="BH50" s="62">
        <f t="shared" si="8"/>
        <v>628.67847824740193</v>
      </c>
      <c r="BI50" s="62">
        <f ca="1">AVERAGE(OFFSET($BH$3,0,0,'Données projet'!$E$11+1,1))-AVERAGE(OFFSET($H$3,0,0,'Données projet'!$E$11+1,1))</f>
        <v>387.37910791664007</v>
      </c>
      <c r="BJ50" s="62">
        <f t="shared" si="38"/>
        <v>311.37245656657353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9.4452762731726043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0.2830810149125973</v>
      </c>
      <c r="BS50" s="24">
        <f t="shared" si="9"/>
        <v>9.7283572880852009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80.063676766746568</v>
      </c>
      <c r="T51" s="62">
        <f t="shared" si="34"/>
        <v>410.68113780291992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56.216758732442884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2.5552107091745277E-4</v>
      </c>
      <c r="AC51" s="24">
        <f t="shared" si="3"/>
        <v>56.217014253513803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1.1368683772161603E-13</v>
      </c>
      <c r="AJ51" s="14">
        <f>AI51*VLOOKUP('Données projet'!$B$10,Paramètres!$A$1:$I$89,3,0)*VLOOKUP('Données projet'!$B$10,Paramètres!$A$1:$I$89,5,0)</f>
        <v>6.7984728957526396E-14</v>
      </c>
      <c r="AK51" s="14">
        <f t="shared" si="35"/>
        <v>1.0682447123141398E-12</v>
      </c>
      <c r="AL51" s="22">
        <f t="shared" si="4"/>
        <v>1.978932943548152E-12</v>
      </c>
      <c r="AM51" s="62">
        <f t="shared" si="5"/>
        <v>253.75986868566969</v>
      </c>
      <c r="AN51" s="62">
        <f ca="1">AVERAGE(OFFSET($AM$3,0,0,'Données projet'!$E$10+1,1))-AVERAGE(OFFSET($H$3,0,0,'Données projet'!$E$10+1,1))</f>
        <v>189.09998601768521</v>
      </c>
      <c r="AO51" s="62">
        <f t="shared" si="36"/>
        <v>458.38901659119472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37.331724157882469</v>
      </c>
      <c r="AV51" s="23">
        <f>EXP(-LN(2)/25)*AV50+(1-EXP(-LN(2)/25))/(LN(2)/25)*Calculateur!AQ51*Calculateur!AS51*VLOOKUP('Données projet'!$B$10,Paramètres!$A$1:$I$89,3,0)*0.475*44/12</f>
        <v>26.681213002385924</v>
      </c>
      <c r="AW51" s="23">
        <f>EXP(-LN(2)/2)*AW50+(1-EXP(-LN(2)/2))/(LN(2)/2)*AQ51*AT51*VLOOKUP('Données projet'!$B$10,Paramètres!$A$1:$I$89,3,0)*0.475*44/12</f>
        <v>8.5092548431461856E-2</v>
      </c>
      <c r="AX51" s="23">
        <f t="shared" si="6"/>
        <v>64.098029708699855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17.399999999999999</v>
      </c>
      <c r="BD51" s="13">
        <f>IF('Données projet'!$A$88&gt;35,BD50+BC51-BL50,IF(A51&lt;'Données projet'!$A$88,$BA$205^A51,IF(A51='Données projet'!$A$88,'Données projet'!$B$88,BD50+BC51-BL50)))</f>
        <v>305.2000000000001</v>
      </c>
      <c r="BE51" s="14">
        <f>BD51*VLOOKUP('Données projet'!$B$11,Paramètres!$A$1:$I$89,3,0)*VLOOKUP('Données projet'!$B$11,Paramètres!$A$1:$I$89,5,0)</f>
        <v>182.50960000000006</v>
      </c>
      <c r="BF51" s="14">
        <f t="shared" si="37"/>
        <v>45.880075205637056</v>
      </c>
      <c r="BG51" s="22">
        <f t="shared" si="7"/>
        <v>397.77868431648454</v>
      </c>
      <c r="BH51" s="62">
        <f t="shared" si="8"/>
        <v>651.53855300215218</v>
      </c>
      <c r="BI51" s="62">
        <f ca="1">AVERAGE(OFFSET($BH$3,0,0,'Données projet'!$E$11+1,1))-AVERAGE(OFFSET($H$3,0,0,'Données projet'!$E$11+1,1))</f>
        <v>387.37910791664007</v>
      </c>
      <c r="BJ51" s="62">
        <f t="shared" si="38"/>
        <v>311.37245656657353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9.2600601665053599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0.20016850526986774</v>
      </c>
      <c r="BS51" s="24">
        <f t="shared" si="9"/>
        <v>9.4602286717752282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80.063676766746568</v>
      </c>
      <c r="T52" s="62">
        <f t="shared" si="34"/>
        <v>410.68113780291992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55.114382382536768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1.8068068198177957E-4</v>
      </c>
      <c r="AC52" s="24">
        <f t="shared" si="3"/>
        <v>55.114563063218746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1.1368683772161603E-13</v>
      </c>
      <c r="AJ52" s="14">
        <f>AI52*VLOOKUP('Données projet'!$B$10,Paramètres!$A$1:$I$89,3,0)*VLOOKUP('Données projet'!$B$10,Paramètres!$A$1:$I$89,5,0)</f>
        <v>6.7984728957526396E-14</v>
      </c>
      <c r="AK52" s="14">
        <f t="shared" si="35"/>
        <v>1.0682447123141398E-12</v>
      </c>
      <c r="AL52" s="22">
        <f t="shared" si="4"/>
        <v>1.978932943548152E-12</v>
      </c>
      <c r="AM52" s="62">
        <f t="shared" si="5"/>
        <v>254.44637982429396</v>
      </c>
      <c r="AN52" s="62">
        <f ca="1">AVERAGE(OFFSET($AM$3,0,0,'Données projet'!$E$10+1,1))-AVERAGE(OFFSET($H$3,0,0,'Données projet'!$E$10+1,1))</f>
        <v>189.09998601768521</v>
      </c>
      <c r="AO52" s="62">
        <f t="shared" si="36"/>
        <v>458.38901659119472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36.599671817249771</v>
      </c>
      <c r="AV52" s="23">
        <f>EXP(-LN(2)/25)*AV51+(1-EXP(-LN(2)/25))/(LN(2)/25)*Calculateur!AQ52*Calculateur!AS52*VLOOKUP('Données projet'!$B$10,Paramètres!$A$1:$I$89,3,0)*0.475*44/12</f>
        <v>25.95161382973167</v>
      </c>
      <c r="AW52" s="23">
        <f>EXP(-LN(2)/2)*AW51+(1-EXP(-LN(2)/2))/(LN(2)/2)*AQ52*AT52*VLOOKUP('Données projet'!$B$10,Paramètres!$A$1:$I$89,3,0)*0.475*44/12</f>
        <v>6.0169518024331403E-2</v>
      </c>
      <c r="AX52" s="23">
        <f t="shared" si="6"/>
        <v>62.611455165005772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17.399999999999999</v>
      </c>
      <c r="BD52" s="13">
        <f>IF('Données projet'!$A$88&gt;35,BD51+BC52-BL51,IF(A52&lt;'Données projet'!$A$88,$BA$205^A52,IF(A52='Données projet'!$A$88,'Données projet'!$B$88,BD51+BC52-BL51)))</f>
        <v>322.60000000000008</v>
      </c>
      <c r="BE52" s="14">
        <f>BD52*VLOOKUP('Données projet'!$B$11,Paramètres!$A$1:$I$89,3,0)*VLOOKUP('Données projet'!$B$11,Paramètres!$A$1:$I$89,5,0)</f>
        <v>192.91480000000007</v>
      </c>
      <c r="BF52" s="14">
        <f t="shared" si="37"/>
        <v>48.18380163388656</v>
      </c>
      <c r="BG52" s="22">
        <f t="shared" si="7"/>
        <v>419.91339784568589</v>
      </c>
      <c r="BH52" s="62">
        <f t="shared" si="8"/>
        <v>674.3597776699778</v>
      </c>
      <c r="BI52" s="62">
        <f ca="1">AVERAGE(OFFSET($BH$3,0,0,'Données projet'!$E$11+1,1))-AVERAGE(OFFSET($H$3,0,0,'Données projet'!$E$11+1,1))</f>
        <v>387.37910791664007</v>
      </c>
      <c r="BJ52" s="62">
        <f t="shared" si="38"/>
        <v>311.37245656657353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9.0784760347191895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0.14154050745629865</v>
      </c>
      <c r="BS52" s="24">
        <f t="shared" si="9"/>
        <v>9.2200165421754878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80.063676766746568</v>
      </c>
      <c r="T53" s="62">
        <f t="shared" si="34"/>
        <v>410.68113780291992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54.033622960469124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1.2776053545872639E-4</v>
      </c>
      <c r="AC53" s="24">
        <f t="shared" si="3"/>
        <v>54.03375072100458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1.1368683772161603E-13</v>
      </c>
      <c r="AJ53" s="14">
        <f>AI53*VLOOKUP('Données projet'!$B$10,Paramètres!$A$1:$I$89,3,0)*VLOOKUP('Données projet'!$B$10,Paramètres!$A$1:$I$89,5,0)</f>
        <v>6.7984728957526396E-14</v>
      </c>
      <c r="AK53" s="14">
        <f t="shared" si="35"/>
        <v>1.0682447123141398E-12</v>
      </c>
      <c r="AL53" s="22">
        <f t="shared" si="4"/>
        <v>1.978932943548152E-12</v>
      </c>
      <c r="AM53" s="62">
        <f t="shared" si="5"/>
        <v>255.12098152947209</v>
      </c>
      <c r="AN53" s="62">
        <f ca="1">AVERAGE(OFFSET($AM$3,0,0,'Données projet'!$E$10+1,1))-AVERAGE(OFFSET($H$3,0,0,'Données projet'!$E$10+1,1))</f>
        <v>189.09998601768521</v>
      </c>
      <c r="AO53" s="62">
        <f t="shared" si="36"/>
        <v>458.38901659119472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35.881974576509037</v>
      </c>
      <c r="AV53" s="23">
        <f>EXP(-LN(2)/25)*AV52+(1-EXP(-LN(2)/25))/(LN(2)/25)*Calculateur!AQ53*Calculateur!AS53*VLOOKUP('Données projet'!$B$10,Paramètres!$A$1:$I$89,3,0)*0.475*44/12</f>
        <v>25.2419655848216</v>
      </c>
      <c r="AW53" s="23">
        <f>EXP(-LN(2)/2)*AW52+(1-EXP(-LN(2)/2))/(LN(2)/2)*AQ53*AT53*VLOOKUP('Données projet'!$B$10,Paramètres!$A$1:$I$89,3,0)*0.475*44/12</f>
        <v>4.2546274215730935E-2</v>
      </c>
      <c r="AX53" s="23">
        <f t="shared" si="6"/>
        <v>61.166486435546368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340</v>
      </c>
      <c r="BB53" s="13">
        <f>VLOOKUP(A53,'Données projet'!$A$87:$I$107,9,0)</f>
        <v>17.399999999999999</v>
      </c>
      <c r="BC53" s="13">
        <f t="array" ref="BC53">INDEX(BB:BB,MIN(IF(ISNUMBER(BB53:BB249),ROW(BB53:BB249),"")))</f>
        <v>17.399999999999999</v>
      </c>
      <c r="BD53" s="13">
        <f>IF('Données projet'!$A$88&gt;35,BD52+BC53-BL52,IF(A53&lt;'Données projet'!$A$88,$BA$205^A53,IF(A53='Données projet'!$A$88,'Données projet'!$B$88,BD52+BC53-BL52)))</f>
        <v>340.00000000000006</v>
      </c>
      <c r="BE53" s="14">
        <f>BD53*VLOOKUP('Données projet'!$B$11,Paramètres!$A$1:$I$89,3,0)*VLOOKUP('Données projet'!$B$11,Paramètres!$A$1:$I$89,5,0)</f>
        <v>203.32000000000005</v>
      </c>
      <c r="BF53" s="14">
        <f t="shared" si="37"/>
        <v>50.473102640215579</v>
      </c>
      <c r="BG53" s="22">
        <f t="shared" si="7"/>
        <v>442.02298709837555</v>
      </c>
      <c r="BH53" s="62">
        <f t="shared" si="8"/>
        <v>697.14396862784565</v>
      </c>
      <c r="BI53" s="62">
        <f ca="1">AVERAGE(OFFSET($BH$3,0,0,'Données projet'!$E$11+1,1))-AVERAGE(OFFSET($H$3,0,0,'Données projet'!$E$11+1,1))</f>
        <v>387.37910791664007</v>
      </c>
      <c r="BJ53" s="62">
        <f t="shared" si="38"/>
        <v>311.37245656657353</v>
      </c>
      <c r="BK53" s="16">
        <f>IF(ISNA(VLOOKUP(A53,'Données projet'!$A$87:$I$107,3,0)),0,VLOOKUP(A53,'Données projet'!$A$87:$I$107,3,0))</f>
        <v>7</v>
      </c>
      <c r="BL53" s="16">
        <f>IF(ISNA(VLOOKUP(A53,'Données projet'!$A$87:$I$107,4,0)),0,VLOOKUP(A53,'Données projet'!$A$87:$I$107,4,0))</f>
        <v>53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8.9004526570019618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0.10008425263493387</v>
      </c>
      <c r="BS53" s="24">
        <f t="shared" si="9"/>
        <v>9.0005369096368959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80.063676766746568</v>
      </c>
      <c r="T54" s="62">
        <f t="shared" si="34"/>
        <v>410.68113780291992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52.974056571470072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9.0340340990889786E-5</v>
      </c>
      <c r="AC54" s="24">
        <f t="shared" si="3"/>
        <v>52.974146911811061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1.1368683772161603E-13</v>
      </c>
      <c r="AJ54" s="14">
        <f>AI54*VLOOKUP('Données projet'!$B$10,Paramètres!$A$1:$I$89,3,0)*VLOOKUP('Données projet'!$B$10,Paramètres!$A$1:$I$89,5,0)</f>
        <v>6.7984728957526396E-14</v>
      </c>
      <c r="AK54" s="14">
        <f t="shared" si="35"/>
        <v>1.0682447123141398E-12</v>
      </c>
      <c r="AL54" s="22">
        <f t="shared" si="4"/>
        <v>1.978932943548152E-12</v>
      </c>
      <c r="AM54" s="62">
        <f t="shared" si="5"/>
        <v>255.78388040324882</v>
      </c>
      <c r="AN54" s="62">
        <f ca="1">AVERAGE(OFFSET($AM$3,0,0,'Données projet'!$E$10+1,1))-AVERAGE(OFFSET($H$3,0,0,'Données projet'!$E$10+1,1))</f>
        <v>189.09998601768521</v>
      </c>
      <c r="AO54" s="62">
        <f t="shared" si="36"/>
        <v>458.38901659119472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35.178350940907137</v>
      </c>
      <c r="AV54" s="23">
        <f>EXP(-LN(2)/25)*AV53+(1-EXP(-LN(2)/25))/(LN(2)/25)*Calculateur!AQ54*Calculateur!AS54*VLOOKUP('Données projet'!$B$10,Paramètres!$A$1:$I$89,3,0)*0.475*44/12</f>
        <v>24.551722708487375</v>
      </c>
      <c r="AW54" s="23">
        <f>EXP(-LN(2)/2)*AW53+(1-EXP(-LN(2)/2))/(LN(2)/2)*AQ54*AT54*VLOOKUP('Données projet'!$B$10,Paramètres!$A$1:$I$89,3,0)*0.475*44/12</f>
        <v>3.0084759012165705E-2</v>
      </c>
      <c r="AX54" s="23">
        <f t="shared" si="6"/>
        <v>59.760158408406681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17.625</v>
      </c>
      <c r="BD54" s="13">
        <f>IF('Données projet'!$A$88&gt;35,BD53+BC54-BL53,IF(A54&lt;'Données projet'!$A$88,$BA$205^A54,IF(A54='Données projet'!$A$88,'Données projet'!$B$88,BD53+BC54-BL53)))</f>
        <v>304.62500000000006</v>
      </c>
      <c r="BE54" s="14">
        <f>BD54*VLOOKUP('Données projet'!$B$11,Paramètres!$A$1:$I$89,3,0)*VLOOKUP('Données projet'!$B$11,Paramètres!$A$1:$I$89,5,0)</f>
        <v>182.16575000000003</v>
      </c>
      <c r="BF54" s="14">
        <f t="shared" si="37"/>
        <v>45.803689728693968</v>
      </c>
      <c r="BG54" s="22">
        <f t="shared" si="7"/>
        <v>397.04677419414202</v>
      </c>
      <c r="BH54" s="62">
        <f t="shared" si="8"/>
        <v>652.83065459738884</v>
      </c>
      <c r="BI54" s="62">
        <f ca="1">AVERAGE(OFFSET($BH$3,0,0,'Données projet'!$E$11+1,1))-AVERAGE(OFFSET($H$3,0,0,'Données projet'!$E$11+1,1))</f>
        <v>387.37910791664007</v>
      </c>
      <c r="BJ54" s="62">
        <f t="shared" si="38"/>
        <v>311.37245656657353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8.7259202091382306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7.0770253728149324E-2</v>
      </c>
      <c r="BS54" s="24">
        <f t="shared" si="9"/>
        <v>8.7966904628663798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80.063676766746568</v>
      </c>
      <c r="T55" s="62">
        <f t="shared" si="34"/>
        <v>410.68113780291992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51.935267633087605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6.3880267729363193E-5</v>
      </c>
      <c r="AC55" s="24">
        <f t="shared" si="3"/>
        <v>51.935331513355337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1.1368683772161603E-13</v>
      </c>
      <c r="AJ55" s="14">
        <f>AI55*VLOOKUP('Données projet'!$B$10,Paramètres!$A$1:$I$89,3,0)*VLOOKUP('Données projet'!$B$10,Paramètres!$A$1:$I$89,5,0)</f>
        <v>6.7984728957526396E-14</v>
      </c>
      <c r="AK55" s="14">
        <f t="shared" si="35"/>
        <v>1.0682447123141398E-12</v>
      </c>
      <c r="AL55" s="22">
        <f t="shared" si="4"/>
        <v>1.978932943548152E-12</v>
      </c>
      <c r="AM55" s="62">
        <f t="shared" si="5"/>
        <v>256.43527946358535</v>
      </c>
      <c r="AN55" s="62">
        <f ca="1">AVERAGE(OFFSET($AM$3,0,0,'Données projet'!$E$10+1,1))-AVERAGE(OFFSET($H$3,0,0,'Données projet'!$E$10+1,1))</f>
        <v>189.09998601768521</v>
      </c>
      <c r="AO55" s="62">
        <f t="shared" si="36"/>
        <v>458.38901659119472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34.488524935631354</v>
      </c>
      <c r="AV55" s="23">
        <f>EXP(-LN(2)/25)*AV54+(1-EXP(-LN(2)/25))/(LN(2)/25)*Calculateur!AQ55*Calculateur!AS55*VLOOKUP('Données projet'!$B$10,Paramètres!$A$1:$I$89,3,0)*0.475*44/12</f>
        <v>23.880354559904806</v>
      </c>
      <c r="AW55" s="23">
        <f>EXP(-LN(2)/2)*AW54+(1-EXP(-LN(2)/2))/(LN(2)/2)*AQ55*AT55*VLOOKUP('Données projet'!$B$10,Paramètres!$A$1:$I$89,3,0)*0.475*44/12</f>
        <v>2.1273137107865471E-2</v>
      </c>
      <c r="AX55" s="23">
        <f t="shared" si="6"/>
        <v>58.390152632644032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17.625</v>
      </c>
      <c r="BD55" s="13">
        <f>IF('Données projet'!$A$88&gt;35,BD54+BC55-BL54,IF(A55&lt;'Données projet'!$A$88,$BA$205^A55,IF(A55='Données projet'!$A$88,'Données projet'!$B$88,BD54+BC55-BL54)))</f>
        <v>322.25000000000006</v>
      </c>
      <c r="BE55" s="14">
        <f>BD55*VLOOKUP('Données projet'!$B$11,Paramètres!$A$1:$I$89,3,0)*VLOOKUP('Données projet'!$B$11,Paramètres!$A$1:$I$89,5,0)</f>
        <v>192.70550000000006</v>
      </c>
      <c r="BF55" s="14">
        <f t="shared" si="37"/>
        <v>48.137607387789963</v>
      </c>
      <c r="BG55" s="22">
        <f t="shared" si="7"/>
        <v>419.46841203373424</v>
      </c>
      <c r="BH55" s="62">
        <f t="shared" si="8"/>
        <v>675.9036914973176</v>
      </c>
      <c r="BI55" s="62">
        <f ca="1">AVERAGE(OFFSET($BH$3,0,0,'Données projet'!$E$11+1,1))-AVERAGE(OFFSET($H$3,0,0,'Données projet'!$E$11+1,1))</f>
        <v>387.37910791664007</v>
      </c>
      <c r="BJ55" s="62">
        <f t="shared" si="38"/>
        <v>311.37245656657353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8.554810236122826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5.0042126317466934E-2</v>
      </c>
      <c r="BS55" s="24">
        <f t="shared" si="9"/>
        <v>8.6048523624402922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80.063676766746568</v>
      </c>
      <c r="T56" s="62">
        <f t="shared" si="34"/>
        <v>410.68113780291992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50.916848712188134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4.5170170495444893E-5</v>
      </c>
      <c r="AC56" s="24">
        <f t="shared" si="3"/>
        <v>50.916893882358629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1.1368683772161603E-13</v>
      </c>
      <c r="AJ56" s="14">
        <f>AI56*VLOOKUP('Données projet'!$B$10,Paramètres!$A$1:$I$89,3,0)*VLOOKUP('Données projet'!$B$10,Paramètres!$A$1:$I$89,5,0)</f>
        <v>6.7984728957526396E-14</v>
      </c>
      <c r="AK56" s="14">
        <f t="shared" si="35"/>
        <v>1.0682447123141398E-12</v>
      </c>
      <c r="AL56" s="22">
        <f t="shared" si="4"/>
        <v>1.978932943548152E-12</v>
      </c>
      <c r="AM56" s="62">
        <f t="shared" si="5"/>
        <v>257.07537820653522</v>
      </c>
      <c r="AN56" s="62">
        <f ca="1">AVERAGE(OFFSET($AM$3,0,0,'Données projet'!$E$10+1,1))-AVERAGE(OFFSET($H$3,0,0,'Données projet'!$E$10+1,1))</f>
        <v>189.09998601768521</v>
      </c>
      <c r="AO56" s="62">
        <f t="shared" si="36"/>
        <v>458.38901659119472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33.812225997566706</v>
      </c>
      <c r="AV56" s="23">
        <f>EXP(-LN(2)/25)*AV55+(1-EXP(-LN(2)/25))/(LN(2)/25)*Calculateur!AQ56*Calculateur!AS56*VLOOKUP('Données projet'!$B$10,Paramètres!$A$1:$I$89,3,0)*0.475*44/12</f>
        <v>23.227345008650943</v>
      </c>
      <c r="AW56" s="23">
        <f>EXP(-LN(2)/2)*AW55+(1-EXP(-LN(2)/2))/(LN(2)/2)*AQ56*AT56*VLOOKUP('Données projet'!$B$10,Paramètres!$A$1:$I$89,3,0)*0.475*44/12</f>
        <v>1.5042379506082854E-2</v>
      </c>
      <c r="AX56" s="23">
        <f t="shared" si="6"/>
        <v>57.054613385723734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17.625</v>
      </c>
      <c r="BD56" s="13">
        <f>IF('Données projet'!$A$88&gt;35,BD55+BC56-BL55,IF(A56&lt;'Données projet'!$A$88,$BA$205^A56,IF(A56='Données projet'!$A$88,'Données projet'!$B$88,BD55+BC56-BL55)))</f>
        <v>339.87500000000006</v>
      </c>
      <c r="BE56" s="14">
        <f>BD56*VLOOKUP('Données projet'!$B$11,Paramètres!$A$1:$I$89,3,0)*VLOOKUP('Données projet'!$B$11,Paramètres!$A$1:$I$89,5,0)</f>
        <v>203.24525000000006</v>
      </c>
      <c r="BF56" s="14">
        <f t="shared" si="37"/>
        <v>50.45670595349123</v>
      </c>
      <c r="BG56" s="22">
        <f t="shared" si="7"/>
        <v>441.86423995233059</v>
      </c>
      <c r="BH56" s="62">
        <f t="shared" si="8"/>
        <v>698.93961815886382</v>
      </c>
      <c r="BI56" s="62">
        <f ca="1">AVERAGE(OFFSET($BH$3,0,0,'Données projet'!$E$11+1,1))-AVERAGE(OFFSET($H$3,0,0,'Données projet'!$E$11+1,1))</f>
        <v>387.37910791664007</v>
      </c>
      <c r="BJ56" s="62">
        <f t="shared" si="38"/>
        <v>311.37245656657353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8.3870556253114739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3.5385126864074662E-2</v>
      </c>
      <c r="BS56" s="24">
        <f t="shared" si="9"/>
        <v>8.4224407521755484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80.063676766746568</v>
      </c>
      <c r="T57" s="62">
        <f t="shared" si="34"/>
        <v>410.68113780291992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49.918400365153296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3.1940133864681597E-5</v>
      </c>
      <c r="AC57" s="24">
        <f t="shared" si="3"/>
        <v>49.918432305287162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1.1368683772161603E-13</v>
      </c>
      <c r="AJ57" s="14">
        <f>AI57*VLOOKUP('Données projet'!$B$10,Paramètres!$A$1:$I$89,3,0)*VLOOKUP('Données projet'!$B$10,Paramètres!$A$1:$I$89,5,0)</f>
        <v>6.7984728957526396E-14</v>
      </c>
      <c r="AK57" s="14">
        <f t="shared" si="35"/>
        <v>1.0682447123141398E-12</v>
      </c>
      <c r="AL57" s="22">
        <f t="shared" si="4"/>
        <v>1.978932943548152E-12</v>
      </c>
      <c r="AM57" s="62">
        <f t="shared" si="5"/>
        <v>257.70437266734132</v>
      </c>
      <c r="AN57" s="62">
        <f ca="1">AVERAGE(OFFSET($AM$3,0,0,'Données projet'!$E$10+1,1))-AVERAGE(OFFSET($H$3,0,0,'Données projet'!$E$10+1,1))</f>
        <v>189.09998601768521</v>
      </c>
      <c r="AO57" s="62">
        <f t="shared" si="36"/>
        <v>458.38901659119472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33.149188869175887</v>
      </c>
      <c r="AV57" s="23">
        <f>EXP(-LN(2)/25)*AV56+(1-EXP(-LN(2)/25))/(LN(2)/25)*Calculateur!AQ57*Calculateur!AS57*VLOOKUP('Données projet'!$B$10,Paramètres!$A$1:$I$89,3,0)*0.475*44/12</f>
        <v>22.592192037916394</v>
      </c>
      <c r="AW57" s="23">
        <f>EXP(-LN(2)/2)*AW56+(1-EXP(-LN(2)/2))/(LN(2)/2)*AQ57*AT57*VLOOKUP('Données projet'!$B$10,Paramètres!$A$1:$I$89,3,0)*0.475*44/12</f>
        <v>1.0636568553932737E-2</v>
      </c>
      <c r="AX57" s="23">
        <f t="shared" si="6"/>
        <v>55.752017475646213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17.625</v>
      </c>
      <c r="BD57" s="13">
        <f>IF('Données projet'!$A$88&gt;35,BD56+BC57-BL56,IF(A57&lt;'Données projet'!$A$88,$BA$205^A57,IF(A57='Données projet'!$A$88,'Données projet'!$B$88,BD56+BC57-BL56)))</f>
        <v>357.50000000000006</v>
      </c>
      <c r="BE57" s="14">
        <f>BD57*VLOOKUP('Données projet'!$B$11,Paramètres!$A$1:$I$89,3,0)*VLOOKUP('Données projet'!$B$11,Paramètres!$A$1:$I$89,5,0)</f>
        <v>213.78500000000005</v>
      </c>
      <c r="BF57" s="14">
        <f t="shared" si="37"/>
        <v>52.761841557402377</v>
      </c>
      <c r="BG57" s="22">
        <f t="shared" si="7"/>
        <v>464.2357490458092</v>
      </c>
      <c r="BH57" s="62">
        <f t="shared" si="8"/>
        <v>721.94012171314853</v>
      </c>
      <c r="BI57" s="62">
        <f ca="1">AVERAGE(OFFSET($BH$3,0,0,'Données projet'!$E$11+1,1))-AVERAGE(OFFSET($H$3,0,0,'Données projet'!$E$11+1,1))</f>
        <v>387.37910791664007</v>
      </c>
      <c r="BJ57" s="62">
        <f t="shared" si="38"/>
        <v>311.37245656657353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8.2225905800979238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2.5021063158733467E-2</v>
      </c>
      <c r="BS57" s="24">
        <f t="shared" si="9"/>
        <v>8.2476116432566577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80.063676766746568</v>
      </c>
      <c r="T58" s="62">
        <f t="shared" si="34"/>
        <v>410.68113780291992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48.939530981210453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2.2585085247722447E-5</v>
      </c>
      <c r="AC58" s="24">
        <f t="shared" si="3"/>
        <v>48.9395535662957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1.1368683772161603E-13</v>
      </c>
      <c r="AJ58" s="14">
        <f>AI58*VLOOKUP('Données projet'!$B$10,Paramètres!$A$1:$I$89,3,0)*VLOOKUP('Données projet'!$B$10,Paramètres!$A$1:$I$89,5,0)</f>
        <v>6.7984728957526396E-14</v>
      </c>
      <c r="AK58" s="14">
        <f t="shared" si="35"/>
        <v>1.0682447123141398E-12</v>
      </c>
      <c r="AL58" s="22">
        <f t="shared" si="4"/>
        <v>1.978932943548152E-12</v>
      </c>
      <c r="AM58" s="62">
        <f t="shared" si="5"/>
        <v>258.32245548047337</v>
      </c>
      <c r="AN58" s="62">
        <f ca="1">AVERAGE(OFFSET($AM$3,0,0,'Données projet'!$E$10+1,1))-AVERAGE(OFFSET($H$3,0,0,'Données projet'!$E$10+1,1))</f>
        <v>189.09998601768521</v>
      </c>
      <c r="AO58" s="62">
        <f t="shared" si="36"/>
        <v>458.38901659119472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32.499153494460096</v>
      </c>
      <c r="AV58" s="23">
        <f>EXP(-LN(2)/25)*AV57+(1-EXP(-LN(2)/25))/(LN(2)/25)*Calculateur!AQ58*Calculateur!AS58*VLOOKUP('Données projet'!$B$10,Paramètres!$A$1:$I$89,3,0)*0.475*44/12</f>
        <v>21.974407358567827</v>
      </c>
      <c r="AW58" s="23">
        <f>EXP(-LN(2)/2)*AW57+(1-EXP(-LN(2)/2))/(LN(2)/2)*AQ58*AT58*VLOOKUP('Données projet'!$B$10,Paramètres!$A$1:$I$89,3,0)*0.475*44/12</f>
        <v>7.5211897530414289E-3</v>
      </c>
      <c r="AX58" s="23">
        <f t="shared" si="6"/>
        <v>54.481082042780962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17.625</v>
      </c>
      <c r="BD58" s="13">
        <f>IF('Données projet'!$A$88&gt;35,BD57+BC58-BL57,IF(A58&lt;'Données projet'!$A$88,$BA$205^A58,IF(A58='Données projet'!$A$88,'Données projet'!$B$88,BD57+BC58-BL57)))</f>
        <v>375.12500000000006</v>
      </c>
      <c r="BE58" s="14">
        <f>BD58*VLOOKUP('Données projet'!$B$11,Paramètres!$A$1:$I$89,3,0)*VLOOKUP('Données projet'!$B$11,Paramètres!$A$1:$I$89,5,0)</f>
        <v>224.32475000000005</v>
      </c>
      <c r="BF58" s="14">
        <f t="shared" si="37"/>
        <v>55.053781146410472</v>
      </c>
      <c r="BG58" s="22">
        <f t="shared" si="7"/>
        <v>486.58427507999835</v>
      </c>
      <c r="BH58" s="62">
        <f t="shared" si="8"/>
        <v>744.90673056046967</v>
      </c>
      <c r="BI58" s="62">
        <f ca="1">AVERAGE(OFFSET($BH$3,0,0,'Données projet'!$E$11+1,1))-AVERAGE(OFFSET($H$3,0,0,'Données projet'!$E$11+1,1))</f>
        <v>387.37910791664007</v>
      </c>
      <c r="BJ58" s="62">
        <f t="shared" si="38"/>
        <v>311.37245656657353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8.061350594107239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1.7692563432037331E-2</v>
      </c>
      <c r="BS58" s="24">
        <f t="shared" si="9"/>
        <v>8.0790431575392763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80.063676766746568</v>
      </c>
      <c r="T59" s="62">
        <f t="shared" si="34"/>
        <v>410.68113780291992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47.979856628835357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1.5970066932340798E-5</v>
      </c>
      <c r="AC59" s="24">
        <f t="shared" si="3"/>
        <v>47.97987259890229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1.1368683772161603E-13</v>
      </c>
      <c r="AJ59" s="14">
        <f>AI59*VLOOKUP('Données projet'!$B$10,Paramètres!$A$1:$I$89,3,0)*VLOOKUP('Données projet'!$B$10,Paramètres!$A$1:$I$89,5,0)</f>
        <v>6.7984728957526396E-14</v>
      </c>
      <c r="AK59" s="14">
        <f t="shared" si="35"/>
        <v>1.0682447123141398E-12</v>
      </c>
      <c r="AL59" s="22">
        <f t="shared" si="4"/>
        <v>1.978932943548152E-12</v>
      </c>
      <c r="AM59" s="62">
        <f t="shared" si="5"/>
        <v>258.92981593862373</v>
      </c>
      <c r="AN59" s="62">
        <f ca="1">AVERAGE(OFFSET($AM$3,0,0,'Données projet'!$E$10+1,1))-AVERAGE(OFFSET($H$3,0,0,'Données projet'!$E$10+1,1))</f>
        <v>189.09998601768521</v>
      </c>
      <c r="AO59" s="62">
        <f t="shared" si="36"/>
        <v>458.38901659119472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31.861864916960052</v>
      </c>
      <c r="AV59" s="23">
        <f>EXP(-LN(2)/25)*AV58+(1-EXP(-LN(2)/25))/(LN(2)/25)*Calculateur!AQ59*Calculateur!AS59*VLOOKUP('Données projet'!$B$10,Paramètres!$A$1:$I$89,3,0)*0.475*44/12</f>
        <v>21.373516033763931</v>
      </c>
      <c r="AW59" s="23">
        <f>EXP(-LN(2)/2)*AW58+(1-EXP(-LN(2)/2))/(LN(2)/2)*AQ59*AT59*VLOOKUP('Données projet'!$B$10,Paramètres!$A$1:$I$89,3,0)*0.475*44/12</f>
        <v>5.3182842769663695E-3</v>
      </c>
      <c r="AX59" s="23">
        <f t="shared" si="6"/>
        <v>53.240699235000946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17.625</v>
      </c>
      <c r="BD59" s="13">
        <f>IF('Données projet'!$A$88&gt;35,BD58+BC59-BL58,IF(A59&lt;'Données projet'!$A$88,$BA$205^A59,IF(A59='Données projet'!$A$88,'Données projet'!$B$88,BD58+BC59-BL58)))</f>
        <v>392.75000000000006</v>
      </c>
      <c r="BE59" s="14">
        <f>BD59*VLOOKUP('Données projet'!$B$11,Paramètres!$A$1:$I$89,3,0)*VLOOKUP('Données projet'!$B$11,Paramètres!$A$1:$I$89,5,0)</f>
        <v>234.86450000000002</v>
      </c>
      <c r="BF59" s="14">
        <f t="shared" si="37"/>
        <v>57.33321552572081</v>
      </c>
      <c r="BG59" s="22">
        <f t="shared" si="7"/>
        <v>508.9110212072971</v>
      </c>
      <c r="BH59" s="62">
        <f t="shared" si="8"/>
        <v>767.84083714591884</v>
      </c>
      <c r="BI59" s="62">
        <f ca="1">AVERAGE(OFFSET($BH$3,0,0,'Données projet'!$E$11+1,1))-AVERAGE(OFFSET($H$3,0,0,'Données projet'!$E$11+1,1))</f>
        <v>387.37910791664007</v>
      </c>
      <c r="BJ59" s="62">
        <f t="shared" si="38"/>
        <v>311.37245656657353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7.9032724258951514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1.2510531579366733E-2</v>
      </c>
      <c r="BS59" s="24">
        <f t="shared" si="9"/>
        <v>7.9157829574745184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80.063676766746568</v>
      </c>
      <c r="T60" s="62">
        <f t="shared" si="34"/>
        <v>410.68113780291992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47.03900090516678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1.1292542623861223E-5</v>
      </c>
      <c r="AC60" s="24">
        <f t="shared" si="3"/>
        <v>47.039012197709404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1.1368683772161603E-13</v>
      </c>
      <c r="AJ60" s="14">
        <f>AI60*VLOOKUP('Données projet'!$B$10,Paramètres!$A$1:$I$89,3,0)*VLOOKUP('Données projet'!$B$10,Paramètres!$A$1:$I$89,5,0)</f>
        <v>6.7984728957526396E-14</v>
      </c>
      <c r="AK60" s="14">
        <f t="shared" si="35"/>
        <v>1.0682447123141398E-12</v>
      </c>
      <c r="AL60" s="22">
        <f t="shared" si="4"/>
        <v>1.978932943548152E-12</v>
      </c>
      <c r="AM60" s="62">
        <f t="shared" si="5"/>
        <v>259.5266400506797</v>
      </c>
      <c r="AN60" s="62">
        <f ca="1">AVERAGE(OFFSET($AM$3,0,0,'Données projet'!$E$10+1,1))-AVERAGE(OFFSET($H$3,0,0,'Données projet'!$E$10+1,1))</f>
        <v>189.09998601768521</v>
      </c>
      <c r="AO60" s="62">
        <f t="shared" si="36"/>
        <v>458.38901659119472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31.237073179757132</v>
      </c>
      <c r="AV60" s="23">
        <f>EXP(-LN(2)/25)*AV59+(1-EXP(-LN(2)/25))/(LN(2)/25)*Calculateur!AQ60*Calculateur!AS60*VLOOKUP('Données projet'!$B$10,Paramètres!$A$1:$I$89,3,0)*0.475*44/12</f>
        <v>20.789056113836299</v>
      </c>
      <c r="AW60" s="23">
        <f>EXP(-LN(2)/2)*AW59+(1-EXP(-LN(2)/2))/(LN(2)/2)*AQ60*AT60*VLOOKUP('Données projet'!$B$10,Paramètres!$A$1:$I$89,3,0)*0.475*44/12</f>
        <v>3.7605948765207149E-3</v>
      </c>
      <c r="AX60" s="23">
        <f t="shared" si="6"/>
        <v>52.029889888469945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17.625</v>
      </c>
      <c r="BD60" s="13">
        <f>IF('Données projet'!$A$88&gt;35,BD59+BC60-BL59,IF(A60&lt;'Données projet'!$A$88,$BA$205^A60,IF(A60='Données projet'!$A$88,'Données projet'!$B$88,BD59+BC60-BL59)))</f>
        <v>410.37500000000006</v>
      </c>
      <c r="BE60" s="14">
        <f>BD60*VLOOKUP('Données projet'!$B$11,Paramètres!$A$1:$I$89,3,0)*VLOOKUP('Données projet'!$B$11,Paramètres!$A$1:$I$89,5,0)</f>
        <v>245.40425000000005</v>
      </c>
      <c r="BF60" s="14">
        <f t="shared" si="37"/>
        <v>59.60076999447687</v>
      </c>
      <c r="BG60" s="22">
        <f t="shared" si="7"/>
        <v>531.21707649038069</v>
      </c>
      <c r="BH60" s="62">
        <f t="shared" si="8"/>
        <v>790.74371654105835</v>
      </c>
      <c r="BI60" s="62">
        <f ca="1">AVERAGE(OFFSET($BH$3,0,0,'Données projet'!$E$11+1,1))-AVERAGE(OFFSET($H$3,0,0,'Données projet'!$E$11+1,1))</f>
        <v>387.37910791664007</v>
      </c>
      <c r="BJ60" s="62">
        <f t="shared" si="38"/>
        <v>311.37245656657353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7.7482940741435407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8.8462817160186655E-3</v>
      </c>
      <c r="BS60" s="24">
        <f t="shared" si="9"/>
        <v>7.7571403558595593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80.063676766746568</v>
      </c>
      <c r="T61" s="62">
        <f t="shared" si="34"/>
        <v>410.68113780291992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46.116594788374016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7.9850334661703992E-6</v>
      </c>
      <c r="AC61" s="24">
        <f t="shared" si="3"/>
        <v>46.116602773407479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1.1368683772161603E-13</v>
      </c>
      <c r="AJ61" s="14">
        <f>AI61*VLOOKUP('Données projet'!$B$10,Paramètres!$A$1:$I$89,3,0)*VLOOKUP('Données projet'!$B$10,Paramètres!$A$1:$I$89,5,0)</f>
        <v>6.7984728957526396E-14</v>
      </c>
      <c r="AK61" s="14">
        <f t="shared" si="35"/>
        <v>1.0682447123141398E-12</v>
      </c>
      <c r="AL61" s="22">
        <f t="shared" si="4"/>
        <v>1.978932943548152E-12</v>
      </c>
      <c r="AM61" s="62">
        <f t="shared" si="5"/>
        <v>260.11311059869041</v>
      </c>
      <c r="AN61" s="62">
        <f ca="1">AVERAGE(OFFSET($AM$3,0,0,'Données projet'!$E$10+1,1))-AVERAGE(OFFSET($H$3,0,0,'Données projet'!$E$10+1,1))</f>
        <v>189.09998601768521</v>
      </c>
      <c r="AO61" s="62">
        <f t="shared" si="36"/>
        <v>458.38901659119472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30.624533227435432</v>
      </c>
      <c r="AV61" s="23">
        <f>EXP(-LN(2)/25)*AV60+(1-EXP(-LN(2)/25))/(LN(2)/25)*Calculateur!AQ61*Calculateur!AS61*VLOOKUP('Données projet'!$B$10,Paramètres!$A$1:$I$89,3,0)*0.475*44/12</f>
        <v>20.220578281154499</v>
      </c>
      <c r="AW61" s="23">
        <f>EXP(-LN(2)/2)*AW60+(1-EXP(-LN(2)/2))/(LN(2)/2)*AQ61*AT61*VLOOKUP('Données projet'!$B$10,Paramètres!$A$1:$I$89,3,0)*0.475*44/12</f>
        <v>2.6591421384831852E-3</v>
      </c>
      <c r="AX61" s="23">
        <f t="shared" si="6"/>
        <v>50.847770650728414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>
        <f>VLOOKUP(A61,'Données projet'!$A$87:$I$107,2,0)</f>
        <v>428</v>
      </c>
      <c r="BB61" s="13">
        <f>VLOOKUP(A61,'Données projet'!$A$87:$I$107,9,0)</f>
        <v>17.625</v>
      </c>
      <c r="BC61" s="13">
        <f t="array" ref="BC61">INDEX(BB:BB,MIN(IF(ISNUMBER(BB61:BB257),ROW(BB61:BB257),"")))</f>
        <v>17.625</v>
      </c>
      <c r="BD61" s="13">
        <f>IF('Données projet'!$A$88&gt;35,BD60+BC61-BL60,IF(A61&lt;'Données projet'!$A$88,$BA$205^A61,IF(A61='Données projet'!$A$88,'Données projet'!$B$88,BD60+BC61-BL60)))</f>
        <v>428.00000000000006</v>
      </c>
      <c r="BE61" s="14">
        <f>BD61*VLOOKUP('Données projet'!$B$11,Paramètres!$A$1:$I$89,3,0)*VLOOKUP('Données projet'!$B$11,Paramètres!$A$1:$I$89,5,0)</f>
        <v>255.94400000000005</v>
      </c>
      <c r="BF61" s="14">
        <f t="shared" si="37"/>
        <v>61.857013102708898</v>
      </c>
      <c r="BG61" s="22">
        <f t="shared" si="7"/>
        <v>553.50343115388478</v>
      </c>
      <c r="BH61" s="62">
        <f t="shared" si="8"/>
        <v>813.6165417525732</v>
      </c>
      <c r="BI61" s="62">
        <f ca="1">AVERAGE(OFFSET($BH$3,0,0,'Données projet'!$E$11+1,1))-AVERAGE(OFFSET($H$3,0,0,'Données projet'!$E$11+1,1))</f>
        <v>387.37910791664007</v>
      </c>
      <c r="BJ61" s="62">
        <f t="shared" si="38"/>
        <v>311.37245656657353</v>
      </c>
      <c r="BK61" s="16">
        <f>IF(ISNA(VLOOKUP(A61,'Données projet'!$A$87:$I$107,3,0)),0,VLOOKUP(A61,'Données projet'!$A$87:$I$107,3,0))</f>
        <v>8</v>
      </c>
      <c r="BL61" s="16">
        <f>IF(ISNA(VLOOKUP(A61,'Données projet'!$A$87:$I$107,4,0)),0,VLOOKUP(A61,'Données projet'!$A$87:$I$107,4,0))</f>
        <v>78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7.5963547533423181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6.2552657896833667E-3</v>
      </c>
      <c r="BS61" s="24">
        <f t="shared" si="9"/>
        <v>7.6026100191320012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80.063676766746568</v>
      </c>
      <c r="T62" s="62">
        <f t="shared" si="34"/>
        <v>410.68113780291992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45.212276492919379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5.6462713119306117E-6</v>
      </c>
      <c r="AC62" s="24">
        <f t="shared" si="3"/>
        <v>45.212282139190691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1.1368683772161603E-13</v>
      </c>
      <c r="AJ62" s="14">
        <f>AI62*VLOOKUP('Données projet'!$B$10,Paramètres!$A$1:$I$89,3,0)*VLOOKUP('Données projet'!$B$10,Paramètres!$A$1:$I$89,5,0)</f>
        <v>6.7984728957526396E-14</v>
      </c>
      <c r="AK62" s="14">
        <f t="shared" si="35"/>
        <v>1.0682447123141398E-12</v>
      </c>
      <c r="AL62" s="22">
        <f t="shared" si="4"/>
        <v>1.978932943548152E-12</v>
      </c>
      <c r="AM62" s="62">
        <f t="shared" si="5"/>
        <v>260.68940719384477</v>
      </c>
      <c r="AN62" s="62">
        <f ca="1">AVERAGE(OFFSET($AM$3,0,0,'Données projet'!$E$10+1,1))-AVERAGE(OFFSET($H$3,0,0,'Données projet'!$E$10+1,1))</f>
        <v>189.09998601768521</v>
      </c>
      <c r="AO62" s="62">
        <f t="shared" si="36"/>
        <v>458.38901659119472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30.024004809966282</v>
      </c>
      <c r="AV62" s="23">
        <f>EXP(-LN(2)/25)*AV61+(1-EXP(-LN(2)/25))/(LN(2)/25)*Calculateur!AQ62*Calculateur!AS62*VLOOKUP('Données projet'!$B$10,Paramètres!$A$1:$I$89,3,0)*0.475*44/12</f>
        <v>19.667645504702332</v>
      </c>
      <c r="AW62" s="23">
        <f>EXP(-LN(2)/2)*AW61+(1-EXP(-LN(2)/2))/(LN(2)/2)*AQ62*AT62*VLOOKUP('Données projet'!$B$10,Paramètres!$A$1:$I$89,3,0)*0.475*44/12</f>
        <v>1.8802974382603579E-3</v>
      </c>
      <c r="AX62" s="23">
        <f t="shared" si="6"/>
        <v>49.693530612106876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16.625</v>
      </c>
      <c r="BD62" s="13">
        <f>IF('Données projet'!$A$88&gt;35,BD61+BC62-BL61,IF(A62&lt;'Données projet'!$A$88,$BA$205^A62,IF(A62='Données projet'!$A$88,'Données projet'!$B$88,BD61+BC62-BL61)))</f>
        <v>366.62500000000006</v>
      </c>
      <c r="BE62" s="14">
        <f>BD62*VLOOKUP('Données projet'!$B$11,Paramètres!$A$1:$I$89,3,0)*VLOOKUP('Données projet'!$B$11,Paramètres!$A$1:$I$89,5,0)</f>
        <v>219.24175000000005</v>
      </c>
      <c r="BF62" s="14">
        <f t="shared" si="37"/>
        <v>53.950050729111297</v>
      </c>
      <c r="BG62" s="22">
        <f t="shared" si="7"/>
        <v>475.80905293653558</v>
      </c>
      <c r="BH62" s="62">
        <f t="shared" si="8"/>
        <v>736.49846013037836</v>
      </c>
      <c r="BI62" s="62">
        <f ca="1">AVERAGE(OFFSET($BH$3,0,0,'Données projet'!$E$11+1,1))-AVERAGE(OFFSET($H$3,0,0,'Données projet'!$E$11+1,1))</f>
        <v>387.37910791664007</v>
      </c>
      <c r="BJ62" s="62">
        <f t="shared" si="38"/>
        <v>311.37245656657353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7.4473948699481722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4.4231408580093327E-3</v>
      </c>
      <c r="BS62" s="24">
        <f t="shared" si="9"/>
        <v>7.451818010806182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80.063676766746568</v>
      </c>
      <c r="T63" s="62">
        <f t="shared" si="34"/>
        <v>410.68113780291992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44.325691327658909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3.9925167330851996E-6</v>
      </c>
      <c r="AC63" s="24">
        <f t="shared" si="3"/>
        <v>44.32569532017564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1.1368683772161603E-13</v>
      </c>
      <c r="AJ63" s="14">
        <f>AI63*VLOOKUP('Données projet'!$B$10,Paramètres!$A$1:$I$89,3,0)*VLOOKUP('Données projet'!$B$10,Paramètres!$A$1:$I$89,5,0)</f>
        <v>6.7984728957526396E-14</v>
      </c>
      <c r="AK63" s="14">
        <f t="shared" si="35"/>
        <v>1.0682447123141398E-12</v>
      </c>
      <c r="AL63" s="22">
        <f t="shared" si="4"/>
        <v>1.978932943548152E-12</v>
      </c>
      <c r="AM63" s="62">
        <f t="shared" si="5"/>
        <v>261.25570633147947</v>
      </c>
      <c r="AN63" s="62">
        <f ca="1">AVERAGE(OFFSET($AM$3,0,0,'Données projet'!$E$10+1,1))-AVERAGE(OFFSET($H$3,0,0,'Données projet'!$E$10+1,1))</f>
        <v>189.09998601768521</v>
      </c>
      <c r="AO63" s="62">
        <f t="shared" si="36"/>
        <v>458.38901659119472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29.435252388477537</v>
      </c>
      <c r="AV63" s="23">
        <f>EXP(-LN(2)/25)*AV62+(1-EXP(-LN(2)/25))/(LN(2)/25)*Calculateur!AQ63*Calculateur!AS63*VLOOKUP('Données projet'!$B$10,Paramètres!$A$1:$I$89,3,0)*0.475*44/12</f>
        <v>19.129832704099719</v>
      </c>
      <c r="AW63" s="23">
        <f>EXP(-LN(2)/2)*AW62+(1-EXP(-LN(2)/2))/(LN(2)/2)*AQ63*AT63*VLOOKUP('Données projet'!$B$10,Paramètres!$A$1:$I$89,3,0)*0.475*44/12</f>
        <v>1.3295710692415928E-3</v>
      </c>
      <c r="AX63" s="23">
        <f t="shared" si="6"/>
        <v>48.566414663646498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16.625</v>
      </c>
      <c r="BD63" s="13">
        <f>IF('Données projet'!$A$88&gt;35,BD62+BC63-BL62,IF(A63&lt;'Données projet'!$A$88,$BA$205^A63,IF(A63='Données projet'!$A$88,'Données projet'!$B$88,BD62+BC63-BL62)))</f>
        <v>383.25000000000006</v>
      </c>
      <c r="BE63" s="14">
        <f>BD63*VLOOKUP('Données projet'!$B$11,Paramètres!$A$1:$I$89,3,0)*VLOOKUP('Données projet'!$B$11,Paramètres!$A$1:$I$89,5,0)</f>
        <v>229.18350000000007</v>
      </c>
      <c r="BF63" s="14">
        <f t="shared" si="37"/>
        <v>56.106098616839645</v>
      </c>
      <c r="BG63" s="22">
        <f t="shared" si="7"/>
        <v>496.87938425766248</v>
      </c>
      <c r="BH63" s="62">
        <f t="shared" si="8"/>
        <v>758.13509058913996</v>
      </c>
      <c r="BI63" s="62">
        <f ca="1">AVERAGE(OFFSET($BH$3,0,0,'Données projet'!$E$11+1,1))-AVERAGE(OFFSET($H$3,0,0,'Données projet'!$E$11+1,1))</f>
        <v>387.37910791664007</v>
      </c>
      <c r="BJ63" s="62">
        <f t="shared" si="38"/>
        <v>311.37245656657353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7.3013559990108288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3.1276328948416834E-3</v>
      </c>
      <c r="BS63" s="24">
        <f t="shared" si="9"/>
        <v>7.3044836319056703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80.063676766746568</v>
      </c>
      <c r="T64" s="62">
        <f t="shared" si="34"/>
        <v>410.68113780291992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43.456491556725645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2.8231356559653058E-6</v>
      </c>
      <c r="AC64" s="24">
        <f t="shared" si="3"/>
        <v>43.456494379861304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1.1368683772161603E-13</v>
      </c>
      <c r="AJ64" s="14">
        <f>AI64*VLOOKUP('Données projet'!$B$10,Paramètres!$A$1:$I$89,3,0)*VLOOKUP('Données projet'!$B$10,Paramètres!$A$1:$I$89,5,0)</f>
        <v>6.7984728957526396E-14</v>
      </c>
      <c r="AK64" s="14">
        <f t="shared" si="35"/>
        <v>1.0682447123141398E-12</v>
      </c>
      <c r="AL64" s="22">
        <f t="shared" si="4"/>
        <v>1.978932943548152E-12</v>
      </c>
      <c r="AM64" s="62">
        <f t="shared" si="5"/>
        <v>261.81218144513133</v>
      </c>
      <c r="AN64" s="62">
        <f ca="1">AVERAGE(OFFSET($AM$3,0,0,'Données projet'!$E$10+1,1))-AVERAGE(OFFSET($H$3,0,0,'Données projet'!$E$10+1,1))</f>
        <v>189.09998601768521</v>
      </c>
      <c r="AO64" s="62">
        <f t="shared" si="36"/>
        <v>458.38901659119472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28.858045042870664</v>
      </c>
      <c r="AV64" s="23">
        <f>EXP(-LN(2)/25)*AV63+(1-EXP(-LN(2)/25))/(LN(2)/25)*Calculateur!AQ64*Calculateur!AS64*VLOOKUP('Données projet'!$B$10,Paramètres!$A$1:$I$89,3,0)*0.475*44/12</f>
        <v>18.606726422811931</v>
      </c>
      <c r="AW64" s="23">
        <f>EXP(-LN(2)/2)*AW63+(1-EXP(-LN(2)/2))/(LN(2)/2)*AQ64*AT64*VLOOKUP('Données projet'!$B$10,Paramètres!$A$1:$I$89,3,0)*0.475*44/12</f>
        <v>9.4014871913017904E-4</v>
      </c>
      <c r="AX64" s="23">
        <f t="shared" si="6"/>
        <v>47.465711614401727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16.625</v>
      </c>
      <c r="BD64" s="13">
        <f>IF('Données projet'!$A$88&gt;35,BD63+BC64-BL63,IF(A64&lt;'Données projet'!$A$88,$BA$205^A64,IF(A64='Données projet'!$A$88,'Données projet'!$B$88,BD63+BC64-BL63)))</f>
        <v>399.87500000000006</v>
      </c>
      <c r="BE64" s="14">
        <f>BD64*VLOOKUP('Données projet'!$B$11,Paramètres!$A$1:$I$89,3,0)*VLOOKUP('Données projet'!$B$11,Paramètres!$A$1:$I$89,5,0)</f>
        <v>239.12525000000005</v>
      </c>
      <c r="BF64" s="14">
        <f t="shared" si="37"/>
        <v>58.251283780505084</v>
      </c>
      <c r="BG64" s="22">
        <f t="shared" si="7"/>
        <v>517.93079633437981</v>
      </c>
      <c r="BH64" s="62">
        <f t="shared" si="8"/>
        <v>779.74297777950915</v>
      </c>
      <c r="BI64" s="62">
        <f ca="1">AVERAGE(OFFSET($BH$3,0,0,'Données projet'!$E$11+1,1))-AVERAGE(OFFSET($H$3,0,0,'Données projet'!$E$11+1,1))</f>
        <v>387.37910791664007</v>
      </c>
      <c r="BJ64" s="62">
        <f t="shared" si="38"/>
        <v>311.37245656657353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7.1581808612576507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2.2115704290046664E-3</v>
      </c>
      <c r="BS64" s="24">
        <f t="shared" si="9"/>
        <v>7.1603924316866552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80.063676766746568</v>
      </c>
      <c r="T65" s="62">
        <f t="shared" si="34"/>
        <v>410.68113780291992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42.604336263140873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1.9962583665425998E-6</v>
      </c>
      <c r="AC65" s="24">
        <f t="shared" si="3"/>
        <v>42.604338259399242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1.1368683772161603E-13</v>
      </c>
      <c r="AJ65" s="14">
        <f>AI65*VLOOKUP('Données projet'!$B$10,Paramètres!$A$1:$I$89,3,0)*VLOOKUP('Données projet'!$B$10,Paramètres!$A$1:$I$89,5,0)</f>
        <v>6.7984728957526396E-14</v>
      </c>
      <c r="AK65" s="14">
        <f t="shared" si="35"/>
        <v>1.0682447123141398E-12</v>
      </c>
      <c r="AL65" s="22">
        <f t="shared" si="4"/>
        <v>1.978932943548152E-12</v>
      </c>
      <c r="AM65" s="62">
        <f t="shared" si="5"/>
        <v>262.35900295965331</v>
      </c>
      <c r="AN65" s="62">
        <f ca="1">AVERAGE(OFFSET($AM$3,0,0,'Données projet'!$E$10+1,1))-AVERAGE(OFFSET($H$3,0,0,'Données projet'!$E$10+1,1))</f>
        <v>189.09998601768521</v>
      </c>
      <c r="AO65" s="62">
        <f t="shared" si="36"/>
        <v>458.38901659119472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28.292156381249427</v>
      </c>
      <c r="AV65" s="23">
        <f>EXP(-LN(2)/25)*AV64+(1-EXP(-LN(2)/25))/(LN(2)/25)*Calculateur!AQ65*Calculateur!AS65*VLOOKUP('Données projet'!$B$10,Paramètres!$A$1:$I$89,3,0)*0.475*44/12</f>
        <v>18.097924510294924</v>
      </c>
      <c r="AW65" s="23">
        <f>EXP(-LN(2)/2)*AW64+(1-EXP(-LN(2)/2))/(LN(2)/2)*AQ65*AT65*VLOOKUP('Données projet'!$B$10,Paramètres!$A$1:$I$89,3,0)*0.475*44/12</f>
        <v>6.6478553462079651E-4</v>
      </c>
      <c r="AX65" s="23">
        <f t="shared" si="6"/>
        <v>46.390745677078968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16.625</v>
      </c>
      <c r="BD65" s="13">
        <f>IF('Données projet'!$A$88&gt;35,BD64+BC65-BL64,IF(A65&lt;'Données projet'!$A$88,$BA$205^A65,IF(A65='Données projet'!$A$88,'Données projet'!$B$88,BD64+BC65-BL64)))</f>
        <v>416.50000000000006</v>
      </c>
      <c r="BE65" s="14">
        <f>BD65*VLOOKUP('Données projet'!$B$11,Paramètres!$A$1:$I$89,3,0)*VLOOKUP('Données projet'!$B$11,Paramètres!$A$1:$I$89,5,0)</f>
        <v>249.06700000000004</v>
      </c>
      <c r="BF65" s="14">
        <f t="shared" si="37"/>
        <v>60.386109489804014</v>
      </c>
      <c r="BG65" s="22">
        <f t="shared" si="7"/>
        <v>538.96416569474195</v>
      </c>
      <c r="BH65" s="62">
        <f t="shared" si="8"/>
        <v>801.32316865439327</v>
      </c>
      <c r="BI65" s="62">
        <f ca="1">AVERAGE(OFFSET($BH$3,0,0,'Données projet'!$E$11+1,1))-AVERAGE(OFFSET($H$3,0,0,'Données projet'!$E$11+1,1))</f>
        <v>387.37910791664007</v>
      </c>
      <c r="BJ65" s="62">
        <f t="shared" si="38"/>
        <v>311.37245656657353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7.0178133006276013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1.5638164474208417E-3</v>
      </c>
      <c r="BS65" s="24">
        <f t="shared" si="9"/>
        <v>7.0193771170750221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80.063676766746568</v>
      </c>
      <c r="T66" s="62">
        <f t="shared" si="34"/>
        <v>410.68113780291992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41.768891215099892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1.4115678279826529E-6</v>
      </c>
      <c r="AC66" s="24">
        <f t="shared" si="3"/>
        <v>41.768892626667721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1.1368683772161603E-13</v>
      </c>
      <c r="AJ66" s="14">
        <f>AI66*VLOOKUP('Données projet'!$B$10,Paramètres!$A$1:$I$89,3,0)*VLOOKUP('Données projet'!$B$10,Paramètres!$A$1:$I$89,5,0)</f>
        <v>6.7984728957526396E-14</v>
      </c>
      <c r="AK66" s="14">
        <f t="shared" si="35"/>
        <v>1.0682447123141398E-12</v>
      </c>
      <c r="AL66" s="22">
        <f t="shared" si="4"/>
        <v>1.978932943548152E-12</v>
      </c>
      <c r="AM66" s="62">
        <f t="shared" si="5"/>
        <v>262.8963383434081</v>
      </c>
      <c r="AN66" s="62">
        <f ca="1">AVERAGE(OFFSET($AM$3,0,0,'Données projet'!$E$10+1,1))-AVERAGE(OFFSET($H$3,0,0,'Données projet'!$E$10+1,1))</f>
        <v>189.09998601768521</v>
      </c>
      <c r="AO66" s="62">
        <f t="shared" si="36"/>
        <v>458.38901659119472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27.737364451124581</v>
      </c>
      <c r="AV66" s="23">
        <f>EXP(-LN(2)/25)*AV65+(1-EXP(-LN(2)/25))/(LN(2)/25)*Calculateur!AQ66*Calculateur!AS66*VLOOKUP('Données projet'!$B$10,Paramètres!$A$1:$I$89,3,0)*0.475*44/12</f>
        <v>17.603035812832424</v>
      </c>
      <c r="AW66" s="23">
        <f>EXP(-LN(2)/2)*AW65+(1-EXP(-LN(2)/2))/(LN(2)/2)*AQ66*AT66*VLOOKUP('Données projet'!$B$10,Paramètres!$A$1:$I$89,3,0)*0.475*44/12</f>
        <v>4.7007435956508963E-4</v>
      </c>
      <c r="AX66" s="23">
        <f t="shared" si="6"/>
        <v>45.34087033831657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16.625</v>
      </c>
      <c r="BD66" s="13">
        <f>IF('Données projet'!$A$88&gt;35,BD65+BC66-BL65,IF(A66&lt;'Données projet'!$A$88,$BA$205^A66,IF(A66='Données projet'!$A$88,'Données projet'!$B$88,BD65+BC66-BL65)))</f>
        <v>433.12500000000006</v>
      </c>
      <c r="BE66" s="14">
        <f>BD66*VLOOKUP('Données projet'!$B$11,Paramètres!$A$1:$I$89,3,0)*VLOOKUP('Données projet'!$B$11,Paramètres!$A$1:$I$89,5,0)</f>
        <v>259.00875000000008</v>
      </c>
      <c r="BF66" s="14">
        <f t="shared" si="37"/>
        <v>62.511036563235727</v>
      </c>
      <c r="BG66" s="22">
        <f t="shared" si="7"/>
        <v>559.98029493096897</v>
      </c>
      <c r="BH66" s="62">
        <f t="shared" si="8"/>
        <v>822.87663327437508</v>
      </c>
      <c r="BI66" s="62">
        <f ca="1">AVERAGE(OFFSET($BH$3,0,0,'Données projet'!$E$11+1,1))-AVERAGE(OFFSET($H$3,0,0,'Données projet'!$E$11+1,1))</f>
        <v>387.37910791664007</v>
      </c>
      <c r="BJ66" s="62">
        <f t="shared" si="38"/>
        <v>311.37245656657353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6.8801982622457487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1.1057852145023332E-3</v>
      </c>
      <c r="BS66" s="24">
        <f t="shared" si="9"/>
        <v>6.8813040474602509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80.063676766746568</v>
      </c>
      <c r="T67" s="62">
        <f t="shared" si="34"/>
        <v>410.68113780291992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40.94982873487983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9.9812918327129989E-7</v>
      </c>
      <c r="AC67" s="24">
        <f t="shared" si="3"/>
        <v>40.949829733009011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1.1368683772161603E-13</v>
      </c>
      <c r="AJ67" s="14">
        <f>AI67*VLOOKUP('Données projet'!$B$10,Paramètres!$A$1:$I$89,3,0)*VLOOKUP('Données projet'!$B$10,Paramètres!$A$1:$I$89,5,0)</f>
        <v>6.7984728957526396E-14</v>
      </c>
      <c r="AK67" s="14">
        <f t="shared" si="35"/>
        <v>1.0682447123141398E-12</v>
      </c>
      <c r="AL67" s="22">
        <f t="shared" si="4"/>
        <v>1.978932943548152E-12</v>
      </c>
      <c r="AM67" s="62">
        <f t="shared" si="5"/>
        <v>263.42435215955675</v>
      </c>
      <c r="AN67" s="62">
        <f ca="1">AVERAGE(OFFSET($AM$3,0,0,'Données projet'!$E$10+1,1))-AVERAGE(OFFSET($H$3,0,0,'Données projet'!$E$10+1,1))</f>
        <v>189.09998601768521</v>
      </c>
      <c r="AO67" s="62">
        <f t="shared" si="36"/>
        <v>458.38901659119472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27.193451652359816</v>
      </c>
      <c r="AV67" s="23">
        <f>EXP(-LN(2)/25)*AV66+(1-EXP(-LN(2)/25))/(LN(2)/25)*Calculateur!AQ67*Calculateur!AS67*VLOOKUP('Données projet'!$B$10,Paramètres!$A$1:$I$89,3,0)*0.475*44/12</f>
        <v>17.121679872827102</v>
      </c>
      <c r="AW67" s="23">
        <f>EXP(-LN(2)/2)*AW66+(1-EXP(-LN(2)/2))/(LN(2)/2)*AQ67*AT67*VLOOKUP('Données projet'!$B$10,Paramètres!$A$1:$I$89,3,0)*0.475*44/12</f>
        <v>3.3239276731039831E-4</v>
      </c>
      <c r="AX67" s="23">
        <f t="shared" si="6"/>
        <v>44.315463917954226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16.625</v>
      </c>
      <c r="BD67" s="13">
        <f>IF('Données projet'!$A$88&gt;35,BD66+BC67-BL66,IF(A67&lt;'Données projet'!$A$88,$BA$205^A67,IF(A67='Données projet'!$A$88,'Données projet'!$B$88,BD66+BC67-BL66)))</f>
        <v>449.75000000000006</v>
      </c>
      <c r="BE67" s="14">
        <f>BD67*VLOOKUP('Données projet'!$B$11,Paramètres!$A$1:$I$89,3,0)*VLOOKUP('Données projet'!$B$11,Paramètres!$A$1:$I$89,5,0)</f>
        <v>268.95050000000009</v>
      </c>
      <c r="BF67" s="14">
        <f t="shared" si="37"/>
        <v>64.626488439895155</v>
      </c>
      <c r="BG67" s="22">
        <f t="shared" si="7"/>
        <v>580.97992153281746</v>
      </c>
      <c r="BH67" s="62">
        <f t="shared" si="8"/>
        <v>844.40427369237227</v>
      </c>
      <c r="BI67" s="62">
        <f ca="1">AVERAGE(OFFSET($BH$3,0,0,'Données projet'!$E$11+1,1))-AVERAGE(OFFSET($H$3,0,0,'Données projet'!$E$11+1,1))</f>
        <v>387.37910791664007</v>
      </c>
      <c r="BJ67" s="62">
        <f t="shared" si="38"/>
        <v>311.37245656657353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6.7452817708296786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7.8190822371042084E-4</v>
      </c>
      <c r="BS67" s="24">
        <f t="shared" si="9"/>
        <v>6.746063679053389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80.063676766746568</v>
      </c>
      <c r="T68" s="62">
        <f t="shared" si="34"/>
        <v>410.68113780291992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40.146827570318095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7.0578391399132646E-7</v>
      </c>
      <c r="AC68" s="24">
        <f t="shared" ref="AC68:AC131" si="57">SUM(Z68:AB68)</f>
        <v>40.146828276102006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1.1368683772161603E-13</v>
      </c>
      <c r="AJ68" s="14">
        <f>AI68*VLOOKUP('Données projet'!$B$10,Paramètres!$A$1:$I$89,3,0)*VLOOKUP('Données projet'!$B$10,Paramètres!$A$1:$I$89,5,0)</f>
        <v>6.7984728957526396E-14</v>
      </c>
      <c r="AK68" s="14">
        <f t="shared" si="35"/>
        <v>1.0682447123141398E-12</v>
      </c>
      <c r="AL68" s="22">
        <f t="shared" ref="AL68:AL131" si="58">(AJ68+AK68)*0.475*44/12</f>
        <v>1.978932943548152E-12</v>
      </c>
      <c r="AM68" s="62">
        <f t="shared" ref="AM68:AM131" si="59">AL68+(AD68+AE68)*44/12</f>
        <v>263.94320611645719</v>
      </c>
      <c r="AN68" s="62">
        <f ca="1">AVERAGE(OFFSET($AM$3,0,0,'Données projet'!$E$10+1,1))-AVERAGE(OFFSET($H$3,0,0,'Données projet'!$E$10+1,1))</f>
        <v>189.09998601768521</v>
      </c>
      <c r="AO68" s="62">
        <f t="shared" si="36"/>
        <v>458.38901659119472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26.660204651824781</v>
      </c>
      <c r="AV68" s="23">
        <f>EXP(-LN(2)/25)*AV67+(1-EXP(-LN(2)/25))/(LN(2)/25)*Calculateur!AQ68*Calculateur!AS68*VLOOKUP('Données projet'!$B$10,Paramètres!$A$1:$I$89,3,0)*0.475*44/12</f>
        <v>16.653486636314632</v>
      </c>
      <c r="AW68" s="23">
        <f>EXP(-LN(2)/2)*AW67+(1-EXP(-LN(2)/2))/(LN(2)/2)*AQ68*AT68*VLOOKUP('Données projet'!$B$10,Paramètres!$A$1:$I$89,3,0)*0.475*44/12</f>
        <v>2.3503717978254484E-4</v>
      </c>
      <c r="AX68" s="23">
        <f t="shared" ref="AX68:AX131" si="60">SUM(AU68:AW68)</f>
        <v>43.313926325319194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16.625</v>
      </c>
      <c r="BD68" s="13">
        <f>IF('Données projet'!$A$88&gt;35,BD67+BC68-BL67,IF(A68&lt;'Données projet'!$A$88,$BA$205^A68,IF(A68='Données projet'!$A$88,'Données projet'!$B$88,BD67+BC68-BL67)))</f>
        <v>466.37500000000006</v>
      </c>
      <c r="BE68" s="14">
        <f>BD68*VLOOKUP('Données projet'!$B$11,Paramètres!$A$1:$I$89,3,0)*VLOOKUP('Données projet'!$B$11,Paramètres!$A$1:$I$89,5,0)</f>
        <v>278.89225000000005</v>
      </c>
      <c r="BF68" s="14">
        <f t="shared" si="37"/>
        <v>66.732855480271084</v>
      </c>
      <c r="BG68" s="22">
        <f t="shared" ref="BG68:BG131" si="61">(BE68+BF68)*0.475*44/12</f>
        <v>601.96372537813886</v>
      </c>
      <c r="BH68" s="62">
        <f t="shared" ref="BH68:BH131" si="62">BG68+(AY68+AZ68)*44/12</f>
        <v>865.90693149459412</v>
      </c>
      <c r="BI68" s="62">
        <f ca="1">AVERAGE(OFFSET($BH$3,0,0,'Données projet'!$E$11+1,1))-AVERAGE(OFFSET($H$3,0,0,'Données projet'!$E$11+1,1))</f>
        <v>387.37910791664007</v>
      </c>
      <c r="BJ68" s="62">
        <f t="shared" si="38"/>
        <v>311.37245656657353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6.6130109095193434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5.5289260725116659E-4</v>
      </c>
      <c r="BS68" s="24">
        <f t="shared" ref="BS68:BS131" si="63">SUM(BP68:BR68)</f>
        <v>6.6135638021265946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80.063676766746568</v>
      </c>
      <c r="T69" s="62">
        <f t="shared" ref="T69:T132" si="88">$T$3</f>
        <v>410.68113780291992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39.35957276881107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4.9906459163564995E-7</v>
      </c>
      <c r="AC69" s="24">
        <f t="shared" si="57"/>
        <v>39.35957326787566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1.1368683772161603E-13</v>
      </c>
      <c r="AJ69" s="14">
        <f>AI69*VLOOKUP('Données projet'!$B$10,Paramètres!$A$1:$I$89,3,0)*VLOOKUP('Données projet'!$B$10,Paramètres!$A$1:$I$89,5,0)</f>
        <v>6.7984728957526396E-14</v>
      </c>
      <c r="AK69" s="14">
        <f t="shared" ref="AK69:AK132" si="89">EXP(-1.0587+0.8836*LN(AJ69)+0.284)</f>
        <v>1.0682447123141398E-12</v>
      </c>
      <c r="AL69" s="22">
        <f t="shared" si="58"/>
        <v>1.978932943548152E-12</v>
      </c>
      <c r="AM69" s="62">
        <f t="shared" si="59"/>
        <v>264.45305911718907</v>
      </c>
      <c r="AN69" s="62">
        <f ca="1">AVERAGE(OFFSET($AM$3,0,0,'Données projet'!$E$10+1,1))-AVERAGE(OFFSET($H$3,0,0,'Données projet'!$E$10+1,1))</f>
        <v>189.09998601768521</v>
      </c>
      <c r="AO69" s="62">
        <f t="shared" ref="AO69:AO132" si="90">$AO$3</f>
        <v>458.38901659119472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26.137414299721684</v>
      </c>
      <c r="AV69" s="23">
        <f>EXP(-LN(2)/25)*AV68+(1-EXP(-LN(2)/25))/(LN(2)/25)*Calculateur!AQ69*Calculateur!AS69*VLOOKUP('Données projet'!$B$10,Paramètres!$A$1:$I$89,3,0)*0.475*44/12</f>
        <v>16.198096168475807</v>
      </c>
      <c r="AW69" s="23">
        <f>EXP(-LN(2)/2)*AW68+(1-EXP(-LN(2)/2))/(LN(2)/2)*AQ69*AT69*VLOOKUP('Données projet'!$B$10,Paramètres!$A$1:$I$89,3,0)*0.475*44/12</f>
        <v>1.6619638365519918E-4</v>
      </c>
      <c r="AX69" s="23">
        <f t="shared" si="60"/>
        <v>42.335676664581143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>
        <f>VLOOKUP(A69,'Données projet'!$A$87:$I$107,2,0)</f>
        <v>483</v>
      </c>
      <c r="BB69" s="13">
        <f>VLOOKUP(A69,'Données projet'!$A$87:$I$107,9,0)</f>
        <v>16.625</v>
      </c>
      <c r="BC69" s="13">
        <f t="array" ref="BC69">INDEX(BB:BB,MIN(IF(ISNUMBER(BB69:BB265),ROW(BB69:BB265),"")))</f>
        <v>16.625</v>
      </c>
      <c r="BD69" s="13">
        <f>IF('Données projet'!$A$88&gt;35,BD68+BC69-BL68,IF(A69&lt;'Données projet'!$A$88,$BA$205^A69,IF(A69='Données projet'!$A$88,'Données projet'!$B$88,BD68+BC69-BL68)))</f>
        <v>483.00000000000006</v>
      </c>
      <c r="BE69" s="14">
        <f>BD69*VLOOKUP('Données projet'!$B$11,Paramètres!$A$1:$I$89,3,0)*VLOOKUP('Données projet'!$B$11,Paramètres!$A$1:$I$89,5,0)</f>
        <v>288.83400000000006</v>
      </c>
      <c r="BF69" s="14">
        <f t="shared" ref="BF69:BF132" si="91">EXP(-1.0587+0.8836*LN(BE69)+0.284)</f>
        <v>68.830498636563377</v>
      </c>
      <c r="BG69" s="22">
        <f t="shared" si="61"/>
        <v>622.932335125348</v>
      </c>
      <c r="BH69" s="62">
        <f t="shared" si="62"/>
        <v>887.38539424253509</v>
      </c>
      <c r="BI69" s="62">
        <f ca="1">AVERAGE(OFFSET($BH$3,0,0,'Données projet'!$E$11+1,1))-AVERAGE(OFFSET($H$3,0,0,'Données projet'!$E$11+1,1))</f>
        <v>387.37910791664007</v>
      </c>
      <c r="BJ69" s="62">
        <f t="shared" ref="BJ69:BJ132" si="92">$BJ$3</f>
        <v>311.37245656657353</v>
      </c>
      <c r="BK69" s="16">
        <f>IF(ISNA(VLOOKUP(A69,'Données projet'!$A$87:$I$107,3,0)),0,VLOOKUP(A69,'Données projet'!$A$87:$I$107,3,0))</f>
        <v>9</v>
      </c>
      <c r="BL69" s="16">
        <f>IF(ISNA(VLOOKUP(A69,'Données projet'!$A$87:$I$107,4,0)),0,VLOOKUP(A69,'Données projet'!$A$87:$I$107,4,0))</f>
        <v>65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6.483333799122045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3.9095411185521042E-4</v>
      </c>
      <c r="BS69" s="24">
        <f t="shared" si="63"/>
        <v>6.4837247532339006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80.063676766746568</v>
      </c>
      <c r="T70" s="62">
        <f t="shared" si="88"/>
        <v>410.68113780291992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38.58775555378358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3.5289195699566323E-7</v>
      </c>
      <c r="AC70" s="24">
        <f t="shared" si="57"/>
        <v>38.58775590667554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1.1368683772161603E-13</v>
      </c>
      <c r="AJ70" s="14">
        <f>AI70*VLOOKUP('Données projet'!$B$10,Paramètres!$A$1:$I$89,3,0)*VLOOKUP('Données projet'!$B$10,Paramètres!$A$1:$I$89,5,0)</f>
        <v>6.7984728957526396E-14</v>
      </c>
      <c r="AK70" s="14">
        <f t="shared" si="89"/>
        <v>1.0682447123141398E-12</v>
      </c>
      <c r="AL70" s="22">
        <f t="shared" si="58"/>
        <v>1.978932943548152E-12</v>
      </c>
      <c r="AM70" s="62">
        <f t="shared" si="59"/>
        <v>264.9540673082189</v>
      </c>
      <c r="AN70" s="62">
        <f ca="1">AVERAGE(OFFSET($AM$3,0,0,'Données projet'!$E$10+1,1))-AVERAGE(OFFSET($H$3,0,0,'Données projet'!$E$10+1,1))</f>
        <v>189.09998601768521</v>
      </c>
      <c r="AO70" s="62">
        <f t="shared" si="90"/>
        <v>458.38901659119472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25.624875547552698</v>
      </c>
      <c r="AV70" s="23">
        <f>EXP(-LN(2)/25)*AV69+(1-EXP(-LN(2)/25))/(LN(2)/25)*Calculateur!AQ70*Calculateur!AS70*VLOOKUP('Données projet'!$B$10,Paramètres!$A$1:$I$89,3,0)*0.475*44/12</f>
        <v>15.75515837692798</v>
      </c>
      <c r="AW70" s="23">
        <f>EXP(-LN(2)/2)*AW69+(1-EXP(-LN(2)/2))/(LN(2)/2)*AQ70*AT70*VLOOKUP('Données projet'!$B$10,Paramètres!$A$1:$I$89,3,0)*0.475*44/12</f>
        <v>1.1751858989127243E-4</v>
      </c>
      <c r="AX70" s="23">
        <f t="shared" si="60"/>
        <v>41.380151443070567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12.875</v>
      </c>
      <c r="BD70" s="13">
        <f>IF('Données projet'!$A$88&gt;35,BD69+BC70-BL69,IF(A70&lt;'Données projet'!$A$88,$BA$205^A70,IF(A70='Données projet'!$A$88,'Données projet'!$B$88,BD69+BC70-BL69)))</f>
        <v>430.87500000000006</v>
      </c>
      <c r="BE70" s="14">
        <f>BD70*VLOOKUP('Données projet'!$B$11,Paramètres!$A$1:$I$89,3,0)*VLOOKUP('Données projet'!$B$11,Paramètres!$A$1:$I$89,5,0)</f>
        <v>257.66325000000006</v>
      </c>
      <c r="BF70" s="14">
        <f t="shared" si="91"/>
        <v>62.224015868041043</v>
      </c>
      <c r="BG70" s="22">
        <f t="shared" si="61"/>
        <v>557.13698805350487</v>
      </c>
      <c r="BH70" s="62">
        <f t="shared" si="62"/>
        <v>822.09105536172183</v>
      </c>
      <c r="BI70" s="62">
        <f ca="1">AVERAGE(OFFSET($BH$3,0,0,'Données projet'!$E$11+1,1))-AVERAGE(OFFSET($H$3,0,0,'Données projet'!$E$11+1,1))</f>
        <v>387.37910791664007</v>
      </c>
      <c r="BJ70" s="62">
        <f t="shared" si="92"/>
        <v>311.37245656657353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6.3561995777644107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2.764463036255833E-4</v>
      </c>
      <c r="BS70" s="24">
        <f t="shared" si="63"/>
        <v>6.3564760240680362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80.063676766746568</v>
      </c>
      <c r="T71" s="62">
        <f t="shared" si="88"/>
        <v>410.68113780291992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37.831073203580765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2.4953229581782497E-7</v>
      </c>
      <c r="AC71" s="24">
        <f t="shared" si="57"/>
        <v>37.831073453113063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1.1368683772161603E-13</v>
      </c>
      <c r="AJ71" s="14">
        <f>AI71*VLOOKUP('Données projet'!$B$10,Paramètres!$A$1:$I$89,3,0)*VLOOKUP('Données projet'!$B$10,Paramètres!$A$1:$I$89,5,0)</f>
        <v>6.7984728957526396E-14</v>
      </c>
      <c r="AK71" s="14">
        <f t="shared" si="89"/>
        <v>1.0682447123141398E-12</v>
      </c>
      <c r="AL71" s="22">
        <f t="shared" si="58"/>
        <v>1.978932943548152E-12</v>
      </c>
      <c r="AM71" s="62">
        <f t="shared" si="59"/>
        <v>265.44638412722082</v>
      </c>
      <c r="AN71" s="62">
        <f ca="1">AVERAGE(OFFSET($AM$3,0,0,'Données projet'!$E$10+1,1))-AVERAGE(OFFSET($H$3,0,0,'Données projet'!$E$10+1,1))</f>
        <v>189.09998601768521</v>
      </c>
      <c r="AO71" s="62">
        <f t="shared" si="90"/>
        <v>458.38901659119472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25.122387367695975</v>
      </c>
      <c r="AV71" s="23">
        <f>EXP(-LN(2)/25)*AV70+(1-EXP(-LN(2)/25))/(LN(2)/25)*Calculateur!AQ71*Calculateur!AS71*VLOOKUP('Données projet'!$B$10,Paramètres!$A$1:$I$89,3,0)*0.475*44/12</f>
        <v>15.324332742583115</v>
      </c>
      <c r="AW71" s="23">
        <f>EXP(-LN(2)/2)*AW70+(1-EXP(-LN(2)/2))/(LN(2)/2)*AQ71*AT71*VLOOKUP('Données projet'!$B$10,Paramètres!$A$1:$I$89,3,0)*0.475*44/12</f>
        <v>8.3098191827599605E-5</v>
      </c>
      <c r="AX71" s="23">
        <f t="shared" si="60"/>
        <v>40.446803208470918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12.875</v>
      </c>
      <c r="BD71" s="13">
        <f>IF('Données projet'!$A$88&gt;35,BD70+BC71-BL70,IF(A71&lt;'Données projet'!$A$88,$BA$205^A71,IF(A71='Données projet'!$A$88,'Données projet'!$B$88,BD70+BC71-BL70)))</f>
        <v>443.75000000000006</v>
      </c>
      <c r="BE71" s="14">
        <f>BD71*VLOOKUP('Données projet'!$B$11,Paramètres!$A$1:$I$89,3,0)*VLOOKUP('Données projet'!$B$11,Paramètres!$A$1:$I$89,5,0)</f>
        <v>265.36250000000007</v>
      </c>
      <c r="BF71" s="14">
        <f t="shared" si="91"/>
        <v>63.864084559847946</v>
      </c>
      <c r="BG71" s="22">
        <f t="shared" si="61"/>
        <v>573.40296810840198</v>
      </c>
      <c r="BH71" s="62">
        <f t="shared" si="62"/>
        <v>838.84935223562081</v>
      </c>
      <c r="BI71" s="62">
        <f ca="1">AVERAGE(OFFSET($BH$3,0,0,'Données projet'!$E$11+1,1))-AVERAGE(OFFSET($H$3,0,0,'Données projet'!$E$11+1,1))</f>
        <v>387.37910791664007</v>
      </c>
      <c r="BJ71" s="62">
        <f t="shared" si="92"/>
        <v>311.37245656657353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6.2315583809433814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1.9547705592760521E-4</v>
      </c>
      <c r="BS71" s="24">
        <f t="shared" si="63"/>
        <v>6.2317538579993093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80.063676766746568</v>
      </c>
      <c r="T72" s="62">
        <f t="shared" si="88"/>
        <v>410.68113780291992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37.089228932734763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1.7644597849783161E-7</v>
      </c>
      <c r="AC72" s="24">
        <f t="shared" si="57"/>
        <v>37.089229109180742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1.1368683772161603E-13</v>
      </c>
      <c r="AJ72" s="14">
        <f>AI72*VLOOKUP('Données projet'!$B$10,Paramètres!$A$1:$I$89,3,0)*VLOOKUP('Données projet'!$B$10,Paramètres!$A$1:$I$89,5,0)</f>
        <v>6.7984728957526396E-14</v>
      </c>
      <c r="AK72" s="14">
        <f t="shared" si="89"/>
        <v>1.0682447123141398E-12</v>
      </c>
      <c r="AL72" s="22">
        <f t="shared" si="58"/>
        <v>1.978932943548152E-12</v>
      </c>
      <c r="AM72" s="62">
        <f t="shared" si="59"/>
        <v>265.93016035006855</v>
      </c>
      <c r="AN72" s="62">
        <f ca="1">AVERAGE(OFFSET($AM$3,0,0,'Données projet'!$E$10+1,1))-AVERAGE(OFFSET($H$3,0,0,'Données projet'!$E$10+1,1))</f>
        <v>189.09998601768521</v>
      </c>
      <c r="AO72" s="62">
        <f t="shared" si="90"/>
        <v>458.38901659119472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24.629752674558716</v>
      </c>
      <c r="AV72" s="23">
        <f>EXP(-LN(2)/25)*AV71+(1-EXP(-LN(2)/25))/(LN(2)/25)*Calculateur!AQ72*Calculateur!AS72*VLOOKUP('Données projet'!$B$10,Paramètres!$A$1:$I$89,3,0)*0.475*44/12</f>
        <v>14.905288057865546</v>
      </c>
      <c r="AW72" s="23">
        <f>EXP(-LN(2)/2)*AW71+(1-EXP(-LN(2)/2))/(LN(2)/2)*AQ72*AT72*VLOOKUP('Données projet'!$B$10,Paramètres!$A$1:$I$89,3,0)*0.475*44/12</f>
        <v>5.8759294945636231E-5</v>
      </c>
      <c r="AX72" s="23">
        <f t="shared" si="60"/>
        <v>39.535099491719208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12.875</v>
      </c>
      <c r="BD72" s="13">
        <f>IF('Données projet'!$A$88&gt;35,BD71+BC72-BL71,IF(A72&lt;'Données projet'!$A$88,$BA$205^A72,IF(A72='Données projet'!$A$88,'Données projet'!$B$88,BD71+BC72-BL71)))</f>
        <v>456.62500000000006</v>
      </c>
      <c r="BE72" s="14">
        <f>BD72*VLOOKUP('Données projet'!$B$11,Paramètres!$A$1:$I$89,3,0)*VLOOKUP('Données projet'!$B$11,Paramètres!$A$1:$I$89,5,0)</f>
        <v>273.06175000000007</v>
      </c>
      <c r="BF72" s="14">
        <f t="shared" si="91"/>
        <v>65.49862286970442</v>
      </c>
      <c r="BG72" s="22">
        <f t="shared" si="61"/>
        <v>589.65931608140193</v>
      </c>
      <c r="BH72" s="62">
        <f t="shared" si="62"/>
        <v>855.58947643146848</v>
      </c>
      <c r="BI72" s="62">
        <f ca="1">AVERAGE(OFFSET($BH$3,0,0,'Données projet'!$E$11+1,1))-AVERAGE(OFFSET($H$3,0,0,'Données projet'!$E$11+1,1))</f>
        <v>387.37910791664007</v>
      </c>
      <c r="BJ72" s="62">
        <f t="shared" si="92"/>
        <v>311.37245656657353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6.1093613219683887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1.3822315181279165E-4</v>
      </c>
      <c r="BS72" s="24">
        <f t="shared" si="63"/>
        <v>6.1094995451202019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80.063676766746568</v>
      </c>
      <c r="T73" s="62">
        <f t="shared" si="88"/>
        <v>410.68113780291992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36.361931775559725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1.2476614790891249E-7</v>
      </c>
      <c r="AC73" s="24">
        <f t="shared" si="57"/>
        <v>36.361931900325871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1.1368683772161603E-13</v>
      </c>
      <c r="AJ73" s="14">
        <f>AI73*VLOOKUP('Données projet'!$B$10,Paramètres!$A$1:$I$89,3,0)*VLOOKUP('Données projet'!$B$10,Paramètres!$A$1:$I$89,5,0)</f>
        <v>6.7984728957526396E-14</v>
      </c>
      <c r="AK73" s="14">
        <f t="shared" si="89"/>
        <v>1.0682447123141398E-12</v>
      </c>
      <c r="AL73" s="22">
        <f t="shared" si="58"/>
        <v>1.978932943548152E-12</v>
      </c>
      <c r="AM73" s="62">
        <f t="shared" si="59"/>
        <v>266.40554413701147</v>
      </c>
      <c r="AN73" s="62">
        <f ca="1">AVERAGE(OFFSET($AM$3,0,0,'Données projet'!$E$10+1,1))-AVERAGE(OFFSET($H$3,0,0,'Données projet'!$E$10+1,1))</f>
        <v>189.09998601768521</v>
      </c>
      <c r="AO73" s="62">
        <f t="shared" si="90"/>
        <v>458.38901659119472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24.146778247276387</v>
      </c>
      <c r="AV73" s="23">
        <f>EXP(-LN(2)/25)*AV72+(1-EXP(-LN(2)/25))/(LN(2)/25)*Calculateur!AQ73*Calculateur!AS73*VLOOKUP('Données projet'!$B$10,Paramètres!$A$1:$I$89,3,0)*0.475*44/12</f>
        <v>14.49770217208818</v>
      </c>
      <c r="AW73" s="23">
        <f>EXP(-LN(2)/2)*AW72+(1-EXP(-LN(2)/2))/(LN(2)/2)*AQ73*AT73*VLOOKUP('Données projet'!$B$10,Paramètres!$A$1:$I$89,3,0)*0.475*44/12</f>
        <v>4.1549095913799809E-5</v>
      </c>
      <c r="AX73" s="23">
        <f t="shared" si="60"/>
        <v>38.644521968460481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12.875</v>
      </c>
      <c r="BD73" s="13">
        <f>IF('Données projet'!$A$88&gt;35,BD72+BC73-BL72,IF(A73&lt;'Données projet'!$A$88,$BA$205^A73,IF(A73='Données projet'!$A$88,'Données projet'!$B$88,BD72+BC73-BL72)))</f>
        <v>469.50000000000006</v>
      </c>
      <c r="BE73" s="14">
        <f>BD73*VLOOKUP('Données projet'!$B$11,Paramètres!$A$1:$I$89,3,0)*VLOOKUP('Données projet'!$B$11,Paramètres!$A$1:$I$89,5,0)</f>
        <v>280.76100000000002</v>
      </c>
      <c r="BF73" s="14">
        <f t="shared" si="91"/>
        <v>67.12780464438184</v>
      </c>
      <c r="BG73" s="22">
        <f t="shared" si="61"/>
        <v>605.90633475563175</v>
      </c>
      <c r="BH73" s="62">
        <f t="shared" si="62"/>
        <v>872.31187889264129</v>
      </c>
      <c r="BI73" s="62">
        <f ca="1">AVERAGE(OFFSET($BH$3,0,0,'Données projet'!$E$11+1,1))-AVERAGE(OFFSET($H$3,0,0,'Données projet'!$E$11+1,1))</f>
        <v>387.37910791664007</v>
      </c>
      <c r="BJ73" s="62">
        <f t="shared" si="92"/>
        <v>311.37245656657353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5.9895604727870495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9.7738527963802605E-5</v>
      </c>
      <c r="BS73" s="24">
        <f t="shared" si="63"/>
        <v>5.989658211315013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80.063676766746568</v>
      </c>
      <c r="T74" s="62">
        <f t="shared" si="88"/>
        <v>410.68113780291992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35.648896472029428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8.8222989248915807E-8</v>
      </c>
      <c r="AC74" s="24">
        <f t="shared" si="57"/>
        <v>35.648896560252417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1.1368683772161603E-13</v>
      </c>
      <c r="AJ74" s="14">
        <f>AI74*VLOOKUP('Données projet'!$B$10,Paramètres!$A$1:$I$89,3,0)*VLOOKUP('Données projet'!$B$10,Paramètres!$A$1:$I$89,5,0)</f>
        <v>6.7984728957526396E-14</v>
      </c>
      <c r="AK74" s="14">
        <f t="shared" si="89"/>
        <v>1.0682447123141398E-12</v>
      </c>
      <c r="AL74" s="22">
        <f t="shared" si="58"/>
        <v>1.978932943548152E-12</v>
      </c>
      <c r="AM74" s="62">
        <f t="shared" si="59"/>
        <v>266.87268107804994</v>
      </c>
      <c r="AN74" s="62">
        <f ca="1">AVERAGE(OFFSET($AM$3,0,0,'Données projet'!$E$10+1,1))-AVERAGE(OFFSET($H$3,0,0,'Données projet'!$E$10+1,1))</f>
        <v>189.09998601768521</v>
      </c>
      <c r="AO74" s="62">
        <f t="shared" si="90"/>
        <v>458.38901659119472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23.673274653927752</v>
      </c>
      <c r="AV74" s="23">
        <f>EXP(-LN(2)/25)*AV73+(1-EXP(-LN(2)/25))/(LN(2)/25)*Calculateur!AQ74*Calculateur!AS74*VLOOKUP('Données projet'!$B$10,Paramètres!$A$1:$I$89,3,0)*0.475*44/12</f>
        <v>14.101261743791406</v>
      </c>
      <c r="AW74" s="23">
        <f>EXP(-LN(2)/2)*AW73+(1-EXP(-LN(2)/2))/(LN(2)/2)*AQ74*AT74*VLOOKUP('Données projet'!$B$10,Paramètres!$A$1:$I$89,3,0)*0.475*44/12</f>
        <v>2.9379647472818119E-5</v>
      </c>
      <c r="AX74" s="23">
        <f t="shared" si="60"/>
        <v>37.774565777366632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12.875</v>
      </c>
      <c r="BD74" s="13">
        <f>IF('Données projet'!$A$88&gt;35,BD73+BC74-BL73,IF(A74&lt;'Données projet'!$A$88,$BA$205^A74,IF(A74='Données projet'!$A$88,'Données projet'!$B$88,BD73+BC74-BL73)))</f>
        <v>482.37500000000006</v>
      </c>
      <c r="BE74" s="14">
        <f>BD74*VLOOKUP('Données projet'!$B$11,Paramètres!$A$1:$I$89,3,0)*VLOOKUP('Données projet'!$B$11,Paramètres!$A$1:$I$89,5,0)</f>
        <v>288.46025000000009</v>
      </c>
      <c r="BF74" s="14">
        <f t="shared" si="91"/>
        <v>68.75179365327233</v>
      </c>
      <c r="BG74" s="22">
        <f t="shared" si="61"/>
        <v>622.14430936278279</v>
      </c>
      <c r="BH74" s="62">
        <f t="shared" si="62"/>
        <v>889.0169904408308</v>
      </c>
      <c r="BI74" s="62">
        <f ca="1">AVERAGE(OFFSET($BH$3,0,0,'Données projet'!$E$11+1,1))-AVERAGE(OFFSET($H$3,0,0,'Données projet'!$E$11+1,1))</f>
        <v>387.37910791664007</v>
      </c>
      <c r="BJ74" s="62">
        <f t="shared" si="92"/>
        <v>311.37245656657353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5.8721088451868537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6.9111575906395824E-5</v>
      </c>
      <c r="BS74" s="24">
        <f t="shared" si="63"/>
        <v>5.8721779567627603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80.063676766746568</v>
      </c>
      <c r="T75" s="62">
        <f t="shared" si="88"/>
        <v>410.68113780291992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34.949843355892767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6.2383073954456243E-8</v>
      </c>
      <c r="AC75" s="24">
        <f t="shared" si="57"/>
        <v>34.94984341827584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1.1368683772161603E-13</v>
      </c>
      <c r="AJ75" s="14">
        <f>AI75*VLOOKUP('Données projet'!$B$10,Paramètres!$A$1:$I$89,3,0)*VLOOKUP('Données projet'!$B$10,Paramètres!$A$1:$I$89,5,0)</f>
        <v>6.7984728957526396E-14</v>
      </c>
      <c r="AK75" s="14">
        <f t="shared" si="89"/>
        <v>1.0682447123141398E-12</v>
      </c>
      <c r="AL75" s="22">
        <f t="shared" si="58"/>
        <v>1.978932943548152E-12</v>
      </c>
      <c r="AM75" s="62">
        <f t="shared" si="59"/>
        <v>267.3317142375231</v>
      </c>
      <c r="AN75" s="62">
        <f ca="1">AVERAGE(OFFSET($AM$3,0,0,'Données projet'!$E$10+1,1))-AVERAGE(OFFSET($H$3,0,0,'Données projet'!$E$10+1,1))</f>
        <v>189.09998601768521</v>
      </c>
      <c r="AO75" s="62">
        <f t="shared" si="90"/>
        <v>458.38901659119472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23.209056177236008</v>
      </c>
      <c r="AV75" s="23">
        <f>EXP(-LN(2)/25)*AV74+(1-EXP(-LN(2)/25))/(LN(2)/25)*Calculateur!AQ75*Calculateur!AS75*VLOOKUP('Données projet'!$B$10,Paramètres!$A$1:$I$89,3,0)*0.475*44/12</f>
        <v>13.715661999854303</v>
      </c>
      <c r="AW75" s="23">
        <f>EXP(-LN(2)/2)*AW74+(1-EXP(-LN(2)/2))/(LN(2)/2)*AQ75*AT75*VLOOKUP('Données projet'!$B$10,Paramètres!$A$1:$I$89,3,0)*0.475*44/12</f>
        <v>2.0774547956899908E-5</v>
      </c>
      <c r="AX75" s="23">
        <f t="shared" si="60"/>
        <v>36.924738951638268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12.875</v>
      </c>
      <c r="BD75" s="13">
        <f>IF('Données projet'!$A$88&gt;35,BD74+BC75-BL74,IF(A75&lt;'Données projet'!$A$88,$BA$205^A75,IF(A75='Données projet'!$A$88,'Données projet'!$B$88,BD74+BC75-BL74)))</f>
        <v>495.25000000000006</v>
      </c>
      <c r="BE75" s="14">
        <f>BD75*VLOOKUP('Données projet'!$B$11,Paramètres!$A$1:$I$89,3,0)*VLOOKUP('Données projet'!$B$11,Paramètres!$A$1:$I$89,5,0)</f>
        <v>296.15950000000004</v>
      </c>
      <c r="BF75" s="14">
        <f t="shared" si="91"/>
        <v>70.370744425720076</v>
      </c>
      <c r="BG75" s="22">
        <f t="shared" si="61"/>
        <v>638.37350904146251</v>
      </c>
      <c r="BH75" s="62">
        <f t="shared" si="62"/>
        <v>905.70522327898357</v>
      </c>
      <c r="BI75" s="62">
        <f ca="1">AVERAGE(OFFSET($BH$3,0,0,'Données projet'!$E$11+1,1))-AVERAGE(OFFSET($H$3,0,0,'Données projet'!$E$11+1,1))</f>
        <v>387.37910791664007</v>
      </c>
      <c r="BJ75" s="62">
        <f t="shared" si="92"/>
        <v>311.37245656657353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5.7569603723654783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4.8869263981901303E-5</v>
      </c>
      <c r="BS75" s="24">
        <f t="shared" si="63"/>
        <v>5.7570092416294605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80.063676766746568</v>
      </c>
      <c r="T76" s="62">
        <f t="shared" si="88"/>
        <v>410.68113780291992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34.264498244983251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4.4111494624457904E-8</v>
      </c>
      <c r="AC76" s="24">
        <f t="shared" si="57"/>
        <v>34.264498289094746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1.1368683772161603E-13</v>
      </c>
      <c r="AJ76" s="14">
        <f>AI76*VLOOKUP('Données projet'!$B$10,Paramètres!$A$1:$I$89,3,0)*VLOOKUP('Données projet'!$B$10,Paramètres!$A$1:$I$89,5,0)</f>
        <v>6.7984728957526396E-14</v>
      </c>
      <c r="AK76" s="14">
        <f t="shared" si="89"/>
        <v>1.0682447123141398E-12</v>
      </c>
      <c r="AL76" s="22">
        <f t="shared" si="58"/>
        <v>1.978932943548152E-12</v>
      </c>
      <c r="AM76" s="62">
        <f t="shared" si="59"/>
        <v>267.78278419792377</v>
      </c>
      <c r="AN76" s="62">
        <f ca="1">AVERAGE(OFFSET($AM$3,0,0,'Données projet'!$E$10+1,1))-AVERAGE(OFFSET($H$3,0,0,'Données projet'!$E$10+1,1))</f>
        <v>189.09998601768521</v>
      </c>
      <c r="AO76" s="62">
        <f t="shared" si="90"/>
        <v>458.38901659119472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22.753940741726876</v>
      </c>
      <c r="AV76" s="23">
        <f>EXP(-LN(2)/25)*AV75+(1-EXP(-LN(2)/25))/(LN(2)/25)*Calculateur!AQ76*Calculateur!AS76*VLOOKUP('Données projet'!$B$10,Paramètres!$A$1:$I$89,3,0)*0.475*44/12</f>
        <v>13.340606501192971</v>
      </c>
      <c r="AW76" s="23">
        <f>EXP(-LN(2)/2)*AW75+(1-EXP(-LN(2)/2))/(LN(2)/2)*AQ76*AT76*VLOOKUP('Données projet'!$B$10,Paramètres!$A$1:$I$89,3,0)*0.475*44/12</f>
        <v>1.4689823736409063E-5</v>
      </c>
      <c r="AX76" s="23">
        <f t="shared" si="60"/>
        <v>36.094561932743581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12.875</v>
      </c>
      <c r="BD76" s="13">
        <f>IF('Données projet'!$A$88&gt;35,BD75+BC76-BL75,IF(A76&lt;'Données projet'!$A$88,$BA$205^A76,IF(A76='Données projet'!$A$88,'Données projet'!$B$88,BD75+BC76-BL75)))</f>
        <v>508.12500000000006</v>
      </c>
      <c r="BE76" s="14">
        <f>BD76*VLOOKUP('Données projet'!$B$11,Paramètres!$A$1:$I$89,3,0)*VLOOKUP('Données projet'!$B$11,Paramètres!$A$1:$I$89,5,0)</f>
        <v>303.85875000000004</v>
      </c>
      <c r="BF76" s="14">
        <f t="shared" si="91"/>
        <v>71.984802998830631</v>
      </c>
      <c r="BG76" s="22">
        <f t="shared" si="61"/>
        <v>654.59418813963009</v>
      </c>
      <c r="BH76" s="62">
        <f t="shared" si="62"/>
        <v>922.37697233755193</v>
      </c>
      <c r="BI76" s="62">
        <f ca="1">AVERAGE(OFFSET($BH$3,0,0,'Données projet'!$E$11+1,1))-AVERAGE(OFFSET($H$3,0,0,'Données projet'!$E$11+1,1))</f>
        <v>387.37910791664007</v>
      </c>
      <c r="BJ76" s="62">
        <f t="shared" si="92"/>
        <v>311.37245656657353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5.6440698908624967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3.4555787953197912E-5</v>
      </c>
      <c r="BS76" s="24">
        <f t="shared" si="63"/>
        <v>5.6441044466504495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80.063676766746568</v>
      </c>
      <c r="T77" s="62">
        <f t="shared" si="88"/>
        <v>410.68113780291992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33.592592333679427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3.1191536977228122E-8</v>
      </c>
      <c r="AC77" s="24">
        <f t="shared" si="57"/>
        <v>33.592592364870967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1.1368683772161603E-13</v>
      </c>
      <c r="AJ77" s="14">
        <f>AI77*VLOOKUP('Données projet'!$B$10,Paramètres!$A$1:$I$89,3,0)*VLOOKUP('Données projet'!$B$10,Paramètres!$A$1:$I$89,5,0)</f>
        <v>6.7984728957526396E-14</v>
      </c>
      <c r="AK77" s="14">
        <f t="shared" si="89"/>
        <v>1.0682447123141398E-12</v>
      </c>
      <c r="AL77" s="22">
        <f t="shared" si="58"/>
        <v>1.978932943548152E-12</v>
      </c>
      <c r="AM77" s="62">
        <f t="shared" si="59"/>
        <v>268.22602910295285</v>
      </c>
      <c r="AN77" s="62">
        <f ca="1">AVERAGE(OFFSET($AM$3,0,0,'Données projet'!$E$10+1,1))-AVERAGE(OFFSET($H$3,0,0,'Données projet'!$E$10+1,1))</f>
        <v>189.09998601768521</v>
      </c>
      <c r="AO77" s="62">
        <f t="shared" si="90"/>
        <v>458.38901659119472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22.307749842315072</v>
      </c>
      <c r="AV77" s="23">
        <f>EXP(-LN(2)/25)*AV76+(1-EXP(-LN(2)/25))/(LN(2)/25)*Calculateur!AQ77*Calculateur!AS77*VLOOKUP('Données projet'!$B$10,Paramètres!$A$1:$I$89,3,0)*0.475*44/12</f>
        <v>12.975806914865844</v>
      </c>
      <c r="AW77" s="23">
        <f>EXP(-LN(2)/2)*AW76+(1-EXP(-LN(2)/2))/(LN(2)/2)*AQ77*AT77*VLOOKUP('Données projet'!$B$10,Paramètres!$A$1:$I$89,3,0)*0.475*44/12</f>
        <v>1.0387273978449956E-5</v>
      </c>
      <c r="AX77" s="23">
        <f t="shared" si="60"/>
        <v>35.283567144454899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>
        <f>VLOOKUP(A77,'Données projet'!$A$87:$I$107,2,0)</f>
        <v>521</v>
      </c>
      <c r="BB77" s="13">
        <f>VLOOKUP(A77,'Données projet'!$A$87:$I$107,9,0)</f>
        <v>12.875</v>
      </c>
      <c r="BC77" s="13">
        <f t="array" ref="BC77">INDEX(BB:BB,MIN(IF(ISNUMBER(BB77:BB273),ROW(BB77:BB273),"")))</f>
        <v>12.875</v>
      </c>
      <c r="BD77" s="13">
        <f>IF('Données projet'!$A$88&gt;35,BD76+BC77-BL76,IF(A77&lt;'Données projet'!$A$88,$BA$205^A77,IF(A77='Données projet'!$A$88,'Données projet'!$B$88,BD76+BC77-BL76)))</f>
        <v>521</v>
      </c>
      <c r="BE77" s="14">
        <f>BD77*VLOOKUP('Données projet'!$B$11,Paramètres!$A$1:$I$89,3,0)*VLOOKUP('Données projet'!$B$11,Paramètres!$A$1:$I$89,5,0)</f>
        <v>311.55799999999999</v>
      </c>
      <c r="BF77" s="14">
        <f t="shared" si="91"/>
        <v>73.594107587354372</v>
      </c>
      <c r="BG77" s="22">
        <f t="shared" si="61"/>
        <v>670.80658738130876</v>
      </c>
      <c r="BH77" s="62">
        <f t="shared" si="62"/>
        <v>939.03261648425962</v>
      </c>
      <c r="BI77" s="62">
        <f ca="1">AVERAGE(OFFSET($BH$3,0,0,'Données projet'!$E$11+1,1))-AVERAGE(OFFSET($H$3,0,0,'Données projet'!$E$11+1,1))</f>
        <v>387.37910791664007</v>
      </c>
      <c r="BJ77" s="62">
        <f t="shared" si="92"/>
        <v>311.37245656657353</v>
      </c>
      <c r="BK77" s="16">
        <f>IF(ISNA(VLOOKUP(A77,'Données projet'!$A$87:$I$107,3,0)),0,VLOOKUP(A77,'Données projet'!$A$87:$I$107,3,0))</f>
        <v>10</v>
      </c>
      <c r="BL77" s="16">
        <f>IF(ISNA(VLOOKUP(A77,'Données projet'!$A$87:$I$107,4,0)),0,VLOOKUP(A77,'Données projet'!$A$87:$I$107,4,0))</f>
        <v>37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5.5333931228453936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2.4434631990950651E-5</v>
      </c>
      <c r="BS77" s="24">
        <f t="shared" si="63"/>
        <v>5.5334175574773843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80.063676766746568</v>
      </c>
      <c r="T78" s="62">
        <f t="shared" si="88"/>
        <v>410.68113780291992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32.933862087474132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2.2055747312228952E-8</v>
      </c>
      <c r="AC78" s="24">
        <f t="shared" si="57"/>
        <v>32.933862109529876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1.1368683772161603E-13</v>
      </c>
      <c r="AJ78" s="14">
        <f>AI78*VLOOKUP('Données projet'!$B$10,Paramètres!$A$1:$I$89,3,0)*VLOOKUP('Données projet'!$B$10,Paramètres!$A$1:$I$89,5,0)</f>
        <v>6.7984728957526396E-14</v>
      </c>
      <c r="AK78" s="14">
        <f t="shared" si="89"/>
        <v>1.0682447123141398E-12</v>
      </c>
      <c r="AL78" s="22">
        <f t="shared" si="58"/>
        <v>1.978932943548152E-12</v>
      </c>
      <c r="AM78" s="62">
        <f t="shared" si="59"/>
        <v>268.66158469982679</v>
      </c>
      <c r="AN78" s="62">
        <f ca="1">AVERAGE(OFFSET($AM$3,0,0,'Données projet'!$E$10+1,1))-AVERAGE(OFFSET($H$3,0,0,'Données projet'!$E$10+1,1))</f>
        <v>189.09998601768521</v>
      </c>
      <c r="AO78" s="62">
        <f t="shared" si="90"/>
        <v>458.38901659119472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21.870308474291157</v>
      </c>
      <c r="AV78" s="23">
        <f>EXP(-LN(2)/25)*AV77+(1-EXP(-LN(2)/25))/(LN(2)/25)*Calculateur!AQ78*Calculateur!AS78*VLOOKUP('Données projet'!$B$10,Paramètres!$A$1:$I$89,3,0)*0.475*44/12</f>
        <v>12.620982792410809</v>
      </c>
      <c r="AW78" s="23">
        <f>EXP(-LN(2)/2)*AW77+(1-EXP(-LN(2)/2))/(LN(2)/2)*AQ78*AT78*VLOOKUP('Données projet'!$B$10,Paramètres!$A$1:$I$89,3,0)*0.475*44/12</f>
        <v>7.3449118682045322E-6</v>
      </c>
      <c r="AX78" s="23">
        <f t="shared" si="60"/>
        <v>34.491298611613836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8.875</v>
      </c>
      <c r="BD78" s="13">
        <f>IF('Données projet'!$A$88&gt;35,BD77+BC78-BL77,IF(A78&lt;'Données projet'!$A$88,$BA$205^A78,IF(A78='Données projet'!$A$88,'Données projet'!$B$88,BD77+BC78-BL77)))</f>
        <v>492.875</v>
      </c>
      <c r="BE78" s="14">
        <f>BD78*VLOOKUP('Données projet'!$B$11,Paramètres!$A$1:$I$89,3,0)*VLOOKUP('Données projet'!$B$11,Paramètres!$A$1:$I$89,5,0)</f>
        <v>294.73925000000003</v>
      </c>
      <c r="BF78" s="14">
        <f t="shared" si="91"/>
        <v>70.072475236035828</v>
      </c>
      <c r="BG78" s="22">
        <f t="shared" si="61"/>
        <v>635.38042145276233</v>
      </c>
      <c r="BH78" s="62">
        <f t="shared" si="62"/>
        <v>904.04200615258719</v>
      </c>
      <c r="BI78" s="62">
        <f ca="1">AVERAGE(OFFSET($BH$3,0,0,'Données projet'!$E$11+1,1))-AVERAGE(OFFSET($H$3,0,0,'Données projet'!$E$11+1,1))</f>
        <v>387.37910791664007</v>
      </c>
      <c r="BJ78" s="62">
        <f t="shared" si="92"/>
        <v>311.37245656657353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5.4248866587429436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1.7277893976598956E-5</v>
      </c>
      <c r="BS78" s="24">
        <f t="shared" si="63"/>
        <v>5.4249039366369205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80.063676766746568</v>
      </c>
      <c r="T79" s="62">
        <f t="shared" si="88"/>
        <v>410.68113780291992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32.288049139611147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1.5595768488614061E-8</v>
      </c>
      <c r="AC79" s="24">
        <f t="shared" si="57"/>
        <v>32.288049155206913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1.1368683772161603E-13</v>
      </c>
      <c r="AJ79" s="14">
        <f>AI79*VLOOKUP('Données projet'!$B$10,Paramètres!$A$1:$I$89,3,0)*VLOOKUP('Données projet'!$B$10,Paramètres!$A$1:$I$89,5,0)</f>
        <v>6.7984728957526396E-14</v>
      </c>
      <c r="AK79" s="14">
        <f t="shared" si="89"/>
        <v>1.0682447123141398E-12</v>
      </c>
      <c r="AL79" s="22">
        <f t="shared" si="58"/>
        <v>1.978932943548152E-12</v>
      </c>
      <c r="AM79" s="62">
        <f t="shared" si="59"/>
        <v>269.08958438085142</v>
      </c>
      <c r="AN79" s="62">
        <f ca="1">AVERAGE(OFFSET($AM$3,0,0,'Données projet'!$E$10+1,1))-AVERAGE(OFFSET($H$3,0,0,'Données projet'!$E$10+1,1))</f>
        <v>189.09998601768521</v>
      </c>
      <c r="AO79" s="62">
        <f t="shared" si="90"/>
        <v>458.38901659119472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21.441445064681304</v>
      </c>
      <c r="AV79" s="23">
        <f>EXP(-LN(2)/25)*AV78+(1-EXP(-LN(2)/25))/(LN(2)/25)*Calculateur!AQ79*Calculateur!AS79*VLOOKUP('Données projet'!$B$10,Paramètres!$A$1:$I$89,3,0)*0.475*44/12</f>
        <v>12.275861354243697</v>
      </c>
      <c r="AW79" s="23">
        <f>EXP(-LN(2)/2)*AW78+(1-EXP(-LN(2)/2))/(LN(2)/2)*AQ79*AT79*VLOOKUP('Données projet'!$B$10,Paramètres!$A$1:$I$89,3,0)*0.475*44/12</f>
        <v>5.1936369892249787E-6</v>
      </c>
      <c r="AX79" s="23">
        <f t="shared" si="60"/>
        <v>33.717311612561986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8.875</v>
      </c>
      <c r="BD79" s="13">
        <f>IF('Données projet'!$A$88&gt;35,BD78+BC79-BL78,IF(A79&lt;'Données projet'!$A$88,$BA$205^A79,IF(A79='Données projet'!$A$88,'Données projet'!$B$88,BD78+BC79-BL78)))</f>
        <v>501.75</v>
      </c>
      <c r="BE79" s="14">
        <f>BD79*VLOOKUP('Données projet'!$B$11,Paramètres!$A$1:$I$89,3,0)*VLOOKUP('Données projet'!$B$11,Paramètres!$A$1:$I$89,5,0)</f>
        <v>300.04650000000004</v>
      </c>
      <c r="BF79" s="14">
        <f t="shared" si="91"/>
        <v>71.186211573839699</v>
      </c>
      <c r="BG79" s="22">
        <f t="shared" si="61"/>
        <v>646.56363932443753</v>
      </c>
      <c r="BH79" s="62">
        <f t="shared" si="62"/>
        <v>915.65322370528702</v>
      </c>
      <c r="BI79" s="62">
        <f ca="1">AVERAGE(OFFSET($BH$3,0,0,'Données projet'!$E$11+1,1))-AVERAGE(OFFSET($H$3,0,0,'Données projet'!$E$11+1,1))</f>
        <v>387.37910791664007</v>
      </c>
      <c r="BJ79" s="62">
        <f t="shared" si="92"/>
        <v>311.37245656657353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5.318507940219134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1.2217315995475326E-5</v>
      </c>
      <c r="BS79" s="24">
        <f t="shared" si="63"/>
        <v>5.3185201575351293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80.063676766746568</v>
      </c>
      <c r="T80" s="62">
        <f t="shared" si="88"/>
        <v>410.68113780291992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31.654900189748748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1.1027873656114476E-8</v>
      </c>
      <c r="AC80" s="24">
        <f t="shared" si="57"/>
        <v>31.65490020077662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1.1368683772161603E-13</v>
      </c>
      <c r="AJ80" s="14">
        <f>AI80*VLOOKUP('Données projet'!$B$10,Paramètres!$A$1:$I$89,3,0)*VLOOKUP('Données projet'!$B$10,Paramètres!$A$1:$I$89,5,0)</f>
        <v>6.7984728957526396E-14</v>
      </c>
      <c r="AK80" s="14">
        <f t="shared" si="89"/>
        <v>1.0682447123141398E-12</v>
      </c>
      <c r="AL80" s="22">
        <f t="shared" si="58"/>
        <v>1.978932943548152E-12</v>
      </c>
      <c r="AM80" s="62">
        <f t="shared" si="59"/>
        <v>269.51015922427428</v>
      </c>
      <c r="AN80" s="62">
        <f ca="1">AVERAGE(OFFSET($AM$3,0,0,'Données projet'!$E$10+1,1))-AVERAGE(OFFSET($H$3,0,0,'Données projet'!$E$10+1,1))</f>
        <v>189.09998601768521</v>
      </c>
      <c r="AO80" s="62">
        <f t="shared" si="90"/>
        <v>458.38901659119472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21.020991404953048</v>
      </c>
      <c r="AV80" s="23">
        <f>EXP(-LN(2)/25)*AV79+(1-EXP(-LN(2)/25))/(LN(2)/25)*Calculateur!AQ80*Calculateur!AS80*VLOOKUP('Données projet'!$B$10,Paramètres!$A$1:$I$89,3,0)*0.475*44/12</f>
        <v>11.940177279952412</v>
      </c>
      <c r="AW80" s="23">
        <f>EXP(-LN(2)/2)*AW79+(1-EXP(-LN(2)/2))/(LN(2)/2)*AQ80*AT80*VLOOKUP('Données projet'!$B$10,Paramètres!$A$1:$I$89,3,0)*0.475*44/12</f>
        <v>3.6724559341022665E-6</v>
      </c>
      <c r="AX80" s="23">
        <f t="shared" si="60"/>
        <v>32.961172357361392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8.875</v>
      </c>
      <c r="BD80" s="13">
        <f>IF('Données projet'!$A$88&gt;35,BD79+BC80-BL79,IF(A80&lt;'Données projet'!$A$88,$BA$205^A80,IF(A80='Données projet'!$A$88,'Données projet'!$B$88,BD79+BC80-BL79)))</f>
        <v>510.625</v>
      </c>
      <c r="BE80" s="14">
        <f>BD80*VLOOKUP('Données projet'!$B$11,Paramètres!$A$1:$I$89,3,0)*VLOOKUP('Données projet'!$B$11,Paramètres!$A$1:$I$89,5,0)</f>
        <v>305.35375000000005</v>
      </c>
      <c r="BF80" s="14">
        <f t="shared" si="91"/>
        <v>72.297657079406008</v>
      </c>
      <c r="BG80" s="22">
        <f t="shared" si="61"/>
        <v>657.74286732996552</v>
      </c>
      <c r="BH80" s="62">
        <f t="shared" si="62"/>
        <v>927.25302655423775</v>
      </c>
      <c r="BI80" s="62">
        <f ca="1">AVERAGE(OFFSET($BH$3,0,0,'Données projet'!$E$11+1,1))-AVERAGE(OFFSET($H$3,0,0,'Données projet'!$E$11+1,1))</f>
        <v>387.37910791664007</v>
      </c>
      <c r="BJ80" s="62">
        <f t="shared" si="92"/>
        <v>311.37245656657353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5.2142152434809645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8.638946988299478E-6</v>
      </c>
      <c r="BS80" s="24">
        <f t="shared" si="63"/>
        <v>5.2142238824279525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80.063676766746568</v>
      </c>
      <c r="T81" s="62">
        <f t="shared" si="88"/>
        <v>410.68113780291992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31.034166904610426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7.7978842443070304E-9</v>
      </c>
      <c r="AC81" s="24">
        <f t="shared" si="57"/>
        <v>31.03416691240831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1.1368683772161603E-13</v>
      </c>
      <c r="AJ81" s="14">
        <f>AI81*VLOOKUP('Données projet'!$B$10,Paramètres!$A$1:$I$89,3,0)*VLOOKUP('Données projet'!$B$10,Paramètres!$A$1:$I$89,5,0)</f>
        <v>6.7984728957526396E-14</v>
      </c>
      <c r="AK81" s="14">
        <f t="shared" si="89"/>
        <v>1.0682447123141398E-12</v>
      </c>
      <c r="AL81" s="22">
        <f t="shared" si="58"/>
        <v>1.978932943548152E-12</v>
      </c>
      <c r="AM81" s="62">
        <f t="shared" si="59"/>
        <v>269.92343803442822</v>
      </c>
      <c r="AN81" s="62">
        <f ca="1">AVERAGE(OFFSET($AM$3,0,0,'Données projet'!$E$10+1,1))-AVERAGE(OFFSET($H$3,0,0,'Données projet'!$E$10+1,1))</f>
        <v>189.09998601768521</v>
      </c>
      <c r="AO81" s="62">
        <f t="shared" si="90"/>
        <v>458.38901659119472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20.608782585040654</v>
      </c>
      <c r="AV81" s="23">
        <f>EXP(-LN(2)/25)*AV80+(1-EXP(-LN(2)/25))/(LN(2)/25)*Calculateur!AQ81*Calculateur!AS81*VLOOKUP('Données projet'!$B$10,Paramètres!$A$1:$I$89,3,0)*0.475*44/12</f>
        <v>11.61367250432548</v>
      </c>
      <c r="AW81" s="23">
        <f>EXP(-LN(2)/2)*AW80+(1-EXP(-LN(2)/2))/(LN(2)/2)*AQ81*AT81*VLOOKUP('Données projet'!$B$10,Paramètres!$A$1:$I$89,3,0)*0.475*44/12</f>
        <v>2.5968184946124898E-6</v>
      </c>
      <c r="AX81" s="23">
        <f t="shared" si="60"/>
        <v>32.222457686184633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8.875</v>
      </c>
      <c r="BD81" s="13">
        <f>IF('Données projet'!$A$88&gt;35,BD80+BC81-BL80,IF(A81&lt;'Données projet'!$A$88,$BA$205^A81,IF(A81='Données projet'!$A$88,'Données projet'!$B$88,BD80+BC81-BL80)))</f>
        <v>519.5</v>
      </c>
      <c r="BE81" s="14">
        <f>BD81*VLOOKUP('Données projet'!$B$11,Paramètres!$A$1:$I$89,3,0)*VLOOKUP('Données projet'!$B$11,Paramètres!$A$1:$I$89,5,0)</f>
        <v>310.661</v>
      </c>
      <c r="BF81" s="14">
        <f t="shared" si="91"/>
        <v>73.406856163089444</v>
      </c>
      <c r="BG81" s="22">
        <f t="shared" si="61"/>
        <v>668.91818281738085</v>
      </c>
      <c r="BH81" s="62">
        <f t="shared" si="62"/>
        <v>938.84162085180708</v>
      </c>
      <c r="BI81" s="62">
        <f ca="1">AVERAGE(OFFSET($BH$3,0,0,'Données projet'!$E$11+1,1))-AVERAGE(OFFSET($H$3,0,0,'Données projet'!$E$11+1,1))</f>
        <v>387.37910791664007</v>
      </c>
      <c r="BJ81" s="62">
        <f t="shared" si="92"/>
        <v>311.37245656657353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5.1119676629135675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6.1086579977376628E-6</v>
      </c>
      <c r="BS81" s="24">
        <f t="shared" si="63"/>
        <v>5.1119737715715656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80.063676766746568</v>
      </c>
      <c r="T82" s="62">
        <f t="shared" si="88"/>
        <v>410.68113780291992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30.425605820583748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5.5139368280572379E-9</v>
      </c>
      <c r="AC82" s="24">
        <f t="shared" si="57"/>
        <v>30.425605826097684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1.1368683772161603E-13</v>
      </c>
      <c r="AJ82" s="14">
        <f>AI82*VLOOKUP('Données projet'!$B$10,Paramètres!$A$1:$I$89,3,0)*VLOOKUP('Données projet'!$B$10,Paramètres!$A$1:$I$89,5,0)</f>
        <v>6.7984728957526396E-14</v>
      </c>
      <c r="AK82" s="14">
        <f t="shared" si="89"/>
        <v>1.0682447123141398E-12</v>
      </c>
      <c r="AL82" s="22">
        <f t="shared" si="58"/>
        <v>1.978932943548152E-12</v>
      </c>
      <c r="AM82" s="62">
        <f t="shared" si="59"/>
        <v>270.32954738117894</v>
      </c>
      <c r="AN82" s="62">
        <f ca="1">AVERAGE(OFFSET($AM$3,0,0,'Données projet'!$E$10+1,1))-AVERAGE(OFFSET($H$3,0,0,'Données projet'!$E$10+1,1))</f>
        <v>189.09998601768521</v>
      </c>
      <c r="AO82" s="62">
        <f t="shared" si="90"/>
        <v>458.38901659119472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20.204656928664189</v>
      </c>
      <c r="AV82" s="23">
        <f>EXP(-LN(2)/25)*AV81+(1-EXP(-LN(2)/25))/(LN(2)/25)*Calculateur!AQ82*Calculateur!AS82*VLOOKUP('Données projet'!$B$10,Paramètres!$A$1:$I$89,3,0)*0.475*44/12</f>
        <v>11.296096018958206</v>
      </c>
      <c r="AW82" s="23">
        <f>EXP(-LN(2)/2)*AW81+(1-EXP(-LN(2)/2))/(LN(2)/2)*AQ82*AT82*VLOOKUP('Données projet'!$B$10,Paramètres!$A$1:$I$89,3,0)*0.475*44/12</f>
        <v>1.8362279670511337E-6</v>
      </c>
      <c r="AX82" s="23">
        <f t="shared" si="60"/>
        <v>31.500754783850361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8.875</v>
      </c>
      <c r="BD82" s="13">
        <f>IF('Données projet'!$A$88&gt;35,BD81+BC82-BL81,IF(A82&lt;'Données projet'!$A$88,$BA$205^A82,IF(A82='Données projet'!$A$88,'Données projet'!$B$88,BD81+BC82-BL81)))</f>
        <v>528.375</v>
      </c>
      <c r="BE82" s="14">
        <f>BD82*VLOOKUP('Données projet'!$B$11,Paramètres!$A$1:$I$89,3,0)*VLOOKUP('Données projet'!$B$11,Paramètres!$A$1:$I$89,5,0)</f>
        <v>315.96825000000001</v>
      </c>
      <c r="BF82" s="14">
        <f t="shared" si="91"/>
        <v>74.513851630905478</v>
      </c>
      <c r="BG82" s="22">
        <f t="shared" si="61"/>
        <v>680.08966034049365</v>
      </c>
      <c r="BH82" s="62">
        <f t="shared" si="62"/>
        <v>950.41920772167055</v>
      </c>
      <c r="BI82" s="62">
        <f ca="1">AVERAGE(OFFSET($BH$3,0,0,'Données projet'!$E$11+1,1))-AVERAGE(OFFSET($H$3,0,0,'Données projet'!$E$11+1,1))</f>
        <v>387.37910791664007</v>
      </c>
      <c r="BJ82" s="62">
        <f t="shared" si="92"/>
        <v>311.37245656657353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5.0117250950362306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4.319473494149739E-6</v>
      </c>
      <c r="BS82" s="24">
        <f t="shared" si="63"/>
        <v>5.0117294145097251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80.063676766746568</v>
      </c>
      <c r="T83" s="62">
        <f t="shared" si="88"/>
        <v>410.68113780291992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29.828978248229223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3.8989421221535152E-9</v>
      </c>
      <c r="AC83" s="24">
        <f t="shared" si="57"/>
        <v>29.828978252128167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1.1368683772161603E-13</v>
      </c>
      <c r="AJ83" s="14">
        <f>AI83*VLOOKUP('Données projet'!$B$10,Paramètres!$A$1:$I$89,3,0)*VLOOKUP('Données projet'!$B$10,Paramètres!$A$1:$I$89,5,0)</f>
        <v>6.7984728957526396E-14</v>
      </c>
      <c r="AK83" s="14">
        <f t="shared" si="89"/>
        <v>1.0682447123141398E-12</v>
      </c>
      <c r="AL83" s="22">
        <f t="shared" si="58"/>
        <v>1.978932943548152E-12</v>
      </c>
      <c r="AM83" s="62">
        <f t="shared" si="59"/>
        <v>270.72861163868811</v>
      </c>
      <c r="AN83" s="62">
        <f ca="1">AVERAGE(OFFSET($AM$3,0,0,'Données projet'!$E$10+1,1))-AVERAGE(OFFSET($H$3,0,0,'Données projet'!$E$10+1,1))</f>
        <v>189.09998601768521</v>
      </c>
      <c r="AO83" s="62">
        <f t="shared" si="90"/>
        <v>458.38901659119472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19.808455929916953</v>
      </c>
      <c r="AV83" s="23">
        <f>EXP(-LN(2)/25)*AV82+(1-EXP(-LN(2)/25))/(LN(2)/25)*Calculateur!AQ83*Calculateur!AS83*VLOOKUP('Données projet'!$B$10,Paramètres!$A$1:$I$89,3,0)*0.475*44/12</f>
        <v>10.987203679283922</v>
      </c>
      <c r="AW83" s="23">
        <f>EXP(-LN(2)/2)*AW82+(1-EXP(-LN(2)/2))/(LN(2)/2)*AQ83*AT83*VLOOKUP('Données projet'!$B$10,Paramètres!$A$1:$I$89,3,0)*0.475*44/12</f>
        <v>1.2984092473062451E-6</v>
      </c>
      <c r="AX83" s="23">
        <f t="shared" si="60"/>
        <v>30.795660907610124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8.875</v>
      </c>
      <c r="BD83" s="13">
        <f>IF('Données projet'!$A$88&gt;35,BD82+BC83-BL82,IF(A83&lt;'Données projet'!$A$88,$BA$205^A83,IF(A83='Données projet'!$A$88,'Données projet'!$B$88,BD82+BC83-BL82)))</f>
        <v>537.25</v>
      </c>
      <c r="BE83" s="14">
        <f>BD83*VLOOKUP('Données projet'!$B$11,Paramètres!$A$1:$I$89,3,0)*VLOOKUP('Données projet'!$B$11,Paramètres!$A$1:$I$89,5,0)</f>
        <v>321.27550000000002</v>
      </c>
      <c r="BF83" s="14">
        <f t="shared" si="91"/>
        <v>75.618684768443416</v>
      </c>
      <c r="BG83" s="22">
        <f t="shared" si="61"/>
        <v>691.25737180503893</v>
      </c>
      <c r="BH83" s="62">
        <f t="shared" si="62"/>
        <v>961.98598344372499</v>
      </c>
      <c r="BI83" s="62">
        <f ca="1">AVERAGE(OFFSET($BH$3,0,0,'Données projet'!$E$11+1,1))-AVERAGE(OFFSET($H$3,0,0,'Données projet'!$E$11+1,1))</f>
        <v>387.37910791664007</v>
      </c>
      <c r="BJ83" s="62">
        <f t="shared" si="92"/>
        <v>311.37245656657353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4.9134482227730389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3.0543289988688314E-6</v>
      </c>
      <c r="BS83" s="24">
        <f t="shared" si="63"/>
        <v>4.9134512771020376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80.063676766746568</v>
      </c>
      <c r="T84" s="62">
        <f t="shared" si="88"/>
        <v>410.68113780291992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29.244050178661684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2.756968414028619E-9</v>
      </c>
      <c r="AC84" s="24">
        <f t="shared" si="57"/>
        <v>29.244050181418654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1.1368683772161603E-13</v>
      </c>
      <c r="AJ84" s="14">
        <f>AI84*VLOOKUP('Données projet'!$B$10,Paramètres!$A$1:$I$89,3,0)*VLOOKUP('Données projet'!$B$10,Paramètres!$A$1:$I$89,5,0)</f>
        <v>6.7984728957526396E-14</v>
      </c>
      <c r="AK84" s="14">
        <f t="shared" si="89"/>
        <v>1.0682447123141398E-12</v>
      </c>
      <c r="AL84" s="22">
        <f t="shared" si="58"/>
        <v>1.978932943548152E-12</v>
      </c>
      <c r="AM84" s="62">
        <f t="shared" si="59"/>
        <v>271.12075302350343</v>
      </c>
      <c r="AN84" s="62">
        <f ca="1">AVERAGE(OFFSET($AM$3,0,0,'Données projet'!$E$10+1,1))-AVERAGE(OFFSET($H$3,0,0,'Données projet'!$E$10+1,1))</f>
        <v>189.09998601768521</v>
      </c>
      <c r="AO84" s="62">
        <f t="shared" si="90"/>
        <v>458.38901659119472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19.420024191096402</v>
      </c>
      <c r="AV84" s="23">
        <f>EXP(-LN(2)/25)*AV83+(1-EXP(-LN(2)/25))/(LN(2)/25)*Calculateur!AQ84*Calculateur!AS84*VLOOKUP('Données projet'!$B$10,Paramètres!$A$1:$I$89,3,0)*0.475*44/12</f>
        <v>10.686758016881974</v>
      </c>
      <c r="AW84" s="23">
        <f>EXP(-LN(2)/2)*AW83+(1-EXP(-LN(2)/2))/(LN(2)/2)*AQ84*AT84*VLOOKUP('Données projet'!$B$10,Paramètres!$A$1:$I$89,3,0)*0.475*44/12</f>
        <v>9.1811398352556695E-7</v>
      </c>
      <c r="AX84" s="23">
        <f t="shared" si="60"/>
        <v>30.10678312609236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8.875</v>
      </c>
      <c r="BD84" s="13">
        <f>IF('Données projet'!$A$88&gt;35,BD83+BC84-BL83,IF(A84&lt;'Données projet'!$A$88,$BA$205^A84,IF(A84='Données projet'!$A$88,'Données projet'!$B$88,BD83+BC84-BL83)))</f>
        <v>546.125</v>
      </c>
      <c r="BE84" s="14">
        <f>BD84*VLOOKUP('Données projet'!$B$11,Paramètres!$A$1:$I$89,3,0)*VLOOKUP('Données projet'!$B$11,Paramètres!$A$1:$I$89,5,0)</f>
        <v>326.58275000000003</v>
      </c>
      <c r="BF84" s="14">
        <f t="shared" si="91"/>
        <v>76.72139541907876</v>
      </c>
      <c r="BG84" s="22">
        <f t="shared" si="61"/>
        <v>702.42138660489547</v>
      </c>
      <c r="BH84" s="62">
        <f t="shared" si="62"/>
        <v>973.54213962839685</v>
      </c>
      <c r="BI84" s="62">
        <f ca="1">AVERAGE(OFFSET($BH$3,0,0,'Données projet'!$E$11+1,1))-AVERAGE(OFFSET($H$3,0,0,'Données projet'!$E$11+1,1))</f>
        <v>387.37910791664007</v>
      </c>
      <c r="BJ84" s="62">
        <f t="shared" si="92"/>
        <v>311.37245656657353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4.8170985000319559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2.1597367470748695E-6</v>
      </c>
      <c r="BS84" s="24">
        <f t="shared" si="63"/>
        <v>4.8171006597687027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80.063676766746568</v>
      </c>
      <c r="T85" s="62">
        <f t="shared" si="88"/>
        <v>410.68113780291992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28.670592191767469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1.9494710610767576E-9</v>
      </c>
      <c r="AC85" s="24">
        <f t="shared" si="57"/>
        <v>28.670592193716939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1.1368683772161603E-13</v>
      </c>
      <c r="AJ85" s="14">
        <f>AI85*VLOOKUP('Données projet'!$B$10,Paramètres!$A$1:$I$89,3,0)*VLOOKUP('Données projet'!$B$10,Paramètres!$A$1:$I$89,5,0)</f>
        <v>6.7984728957526396E-14</v>
      </c>
      <c r="AK85" s="14">
        <f t="shared" si="89"/>
        <v>1.0682447123141398E-12</v>
      </c>
      <c r="AL85" s="22">
        <f t="shared" si="58"/>
        <v>1.978932943548152E-12</v>
      </c>
      <c r="AM85" s="62">
        <f t="shared" si="59"/>
        <v>271.50609163198902</v>
      </c>
      <c r="AN85" s="62">
        <f ca="1">AVERAGE(OFFSET($AM$3,0,0,'Données projet'!$E$10+1,1))-AVERAGE(OFFSET($H$3,0,0,'Données projet'!$E$10+1,1))</f>
        <v>189.09998601768521</v>
      </c>
      <c r="AO85" s="62">
        <f t="shared" si="90"/>
        <v>458.38901659119472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19.039209361754157</v>
      </c>
      <c r="AV85" s="23">
        <f>EXP(-LN(2)/25)*AV84+(1-EXP(-LN(2)/25))/(LN(2)/25)*Calculateur!AQ85*Calculateur!AS85*VLOOKUP('Données projet'!$B$10,Paramètres!$A$1:$I$89,3,0)*0.475*44/12</f>
        <v>10.394528056918157</v>
      </c>
      <c r="AW85" s="23">
        <f>EXP(-LN(2)/2)*AW84+(1-EXP(-LN(2)/2))/(LN(2)/2)*AQ85*AT85*VLOOKUP('Données projet'!$B$10,Paramètres!$A$1:$I$89,3,0)*0.475*44/12</f>
        <v>6.4920462365312265E-7</v>
      </c>
      <c r="AX85" s="23">
        <f t="shared" si="60"/>
        <v>29.433738067876938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>
        <f>VLOOKUP(A85,'Données projet'!$A$87:$I$107,2,0)</f>
        <v>555</v>
      </c>
      <c r="BB85" s="13">
        <f>VLOOKUP(A85,'Données projet'!$A$87:$I$107,9,0)</f>
        <v>8.875</v>
      </c>
      <c r="BC85" s="13">
        <f t="array" ref="BC85">INDEX(BB:BB,MIN(IF(ISNUMBER(BB85:BB281),ROW(BB85:BB281),"")))</f>
        <v>8.875</v>
      </c>
      <c r="BD85" s="13">
        <f>IF('Données projet'!$A$88&gt;35,BD84+BC85-BL84,IF(A85&lt;'Données projet'!$A$88,$BA$205^A85,IF(A85='Données projet'!$A$88,'Données projet'!$B$88,BD84+BC85-BL84)))</f>
        <v>555</v>
      </c>
      <c r="BE85" s="14">
        <f>BD85*VLOOKUP('Données projet'!$B$11,Paramètres!$A$1:$I$89,3,0)*VLOOKUP('Données projet'!$B$11,Paramètres!$A$1:$I$89,5,0)</f>
        <v>331.89000000000004</v>
      </c>
      <c r="BF85" s="14">
        <f t="shared" si="91"/>
        <v>77.822022056956186</v>
      </c>
      <c r="BG85" s="22">
        <f t="shared" si="61"/>
        <v>713.58177174919865</v>
      </c>
      <c r="BH85" s="62">
        <f t="shared" si="62"/>
        <v>985.08786338118568</v>
      </c>
      <c r="BI85" s="62">
        <f ca="1">AVERAGE(OFFSET($BH$3,0,0,'Données projet'!$E$11+1,1))-AVERAGE(OFFSET($H$3,0,0,'Données projet'!$E$11+1,1))</f>
        <v>387.37910791664007</v>
      </c>
      <c r="BJ85" s="62">
        <f t="shared" si="92"/>
        <v>311.37245656657353</v>
      </c>
      <c r="BK85" s="16">
        <f>IF(ISNA(VLOOKUP(A85,'Données projet'!$A$87:$I$107,3,0)),0,VLOOKUP(A85,'Données projet'!$A$87:$I$107,3,0))</f>
        <v>11</v>
      </c>
      <c r="BL85" s="16">
        <f>IF(ISNA(VLOOKUP(A85,'Données projet'!$A$87:$I$107,4,0)),0,VLOOKUP(A85,'Données projet'!$A$87:$I$107,4,0))</f>
        <v>555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4.7226381365862968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1.5271644994344157E-6</v>
      </c>
      <c r="BS85" s="24">
        <f t="shared" si="63"/>
        <v>4.7226396637507966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80.063676766746568</v>
      </c>
      <c r="T86" s="62">
        <f t="shared" si="88"/>
        <v>410.68113780291992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28.108379366221413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1.3784842070143095E-9</v>
      </c>
      <c r="AC86" s="24">
        <f t="shared" si="57"/>
        <v>28.108379367599898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1.1368683772161603E-13</v>
      </c>
      <c r="AJ86" s="14">
        <f>AI86*VLOOKUP('Données projet'!$B$10,Paramètres!$A$1:$I$89,3,0)*VLOOKUP('Données projet'!$B$10,Paramètres!$A$1:$I$89,5,0)</f>
        <v>6.7984728957526396E-14</v>
      </c>
      <c r="AK86" s="14">
        <f t="shared" si="89"/>
        <v>1.0682447123141398E-12</v>
      </c>
      <c r="AL86" s="22">
        <f t="shared" si="58"/>
        <v>1.978932943548152E-12</v>
      </c>
      <c r="AM86" s="62">
        <f t="shared" si="59"/>
        <v>271.88474547710547</v>
      </c>
      <c r="AN86" s="62">
        <f ca="1">AVERAGE(OFFSET($AM$3,0,0,'Données projet'!$E$10+1,1))-AVERAGE(OFFSET($H$3,0,0,'Données projet'!$E$10+1,1))</f>
        <v>189.09998601768521</v>
      </c>
      <c r="AO86" s="62">
        <f t="shared" si="90"/>
        <v>458.38901659119472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18.665862078941203</v>
      </c>
      <c r="AV86" s="23">
        <f>EXP(-LN(2)/25)*AV85+(1-EXP(-LN(2)/25))/(LN(2)/25)*Calculateur!AQ86*Calculateur!AS86*VLOOKUP('Données projet'!$B$10,Paramètres!$A$1:$I$89,3,0)*0.475*44/12</f>
        <v>10.110289140577256</v>
      </c>
      <c r="AW86" s="23">
        <f>EXP(-LN(2)/2)*AW85+(1-EXP(-LN(2)/2))/(LN(2)/2)*AQ86*AT86*VLOOKUP('Données projet'!$B$10,Paramètres!$A$1:$I$89,3,0)*0.475*44/12</f>
        <v>4.5905699176278358E-7</v>
      </c>
      <c r="AX86" s="23">
        <f t="shared" si="60"/>
        <v>28.776151678575452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>
        <f>BD86*VLOOKUP('Données projet'!$B$11,Paramètres!$A$1:$I$89,3,0)*VLOOKUP('Données projet'!$B$11,Paramètres!$A$1:$I$89,5,0)</f>
        <v>0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387.37910791664007</v>
      </c>
      <c r="BJ86" s="62">
        <f t="shared" si="92"/>
        <v>311.37245656657353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4.6300300832526746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1.0798683735374348E-6</v>
      </c>
      <c r="BS86" s="24">
        <f t="shared" si="63"/>
        <v>4.630031163121048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80.063676766746568</v>
      </c>
      <c r="T87" s="62">
        <f t="shared" si="88"/>
        <v>410.68113780291992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27.557191191268355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9.747355305383788E-10</v>
      </c>
      <c r="AC87" s="24">
        <f t="shared" si="57"/>
        <v>27.557191192243092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1.1368683772161603E-13</v>
      </c>
      <c r="AJ87" s="14">
        <f>AI87*VLOOKUP('Données projet'!$B$10,Paramètres!$A$1:$I$89,3,0)*VLOOKUP('Données projet'!$B$10,Paramètres!$A$1:$I$89,5,0)</f>
        <v>6.7984728957526396E-14</v>
      </c>
      <c r="AK87" s="14">
        <f t="shared" si="89"/>
        <v>1.0682447123141398E-12</v>
      </c>
      <c r="AL87" s="22">
        <f t="shared" si="58"/>
        <v>1.978932943548152E-12</v>
      </c>
      <c r="AM87" s="62">
        <f t="shared" si="59"/>
        <v>272.2568305245523</v>
      </c>
      <c r="AN87" s="62">
        <f ca="1">AVERAGE(OFFSET($AM$3,0,0,'Données projet'!$E$10+1,1))-AVERAGE(OFFSET($H$3,0,0,'Données projet'!$E$10+1,1))</f>
        <v>189.09998601768521</v>
      </c>
      <c r="AO87" s="62">
        <f t="shared" si="90"/>
        <v>458.38901659119472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18.299835908624853</v>
      </c>
      <c r="AV87" s="23">
        <f>EXP(-LN(2)/25)*AV86+(1-EXP(-LN(2)/25))/(LN(2)/25)*Calculateur!AQ87*Calculateur!AS87*VLOOKUP('Données projet'!$B$10,Paramètres!$A$1:$I$89,3,0)*0.475*44/12</f>
        <v>9.833822752351173</v>
      </c>
      <c r="AW87" s="23">
        <f>EXP(-LN(2)/2)*AW86+(1-EXP(-LN(2)/2))/(LN(2)/2)*AQ87*AT87*VLOOKUP('Données projet'!$B$10,Paramètres!$A$1:$I$89,3,0)*0.475*44/12</f>
        <v>3.2460231182656138E-7</v>
      </c>
      <c r="AX87" s="23">
        <f t="shared" si="60"/>
        <v>28.133658985578336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>
        <f>BD87*VLOOKUP('Données projet'!$B$11,Paramètres!$A$1:$I$89,3,0)*VLOOKUP('Données projet'!$B$11,Paramètres!$A$1:$I$89,5,0)</f>
        <v>0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387.37910791664007</v>
      </c>
      <c r="BJ87" s="62">
        <f t="shared" si="92"/>
        <v>311.37245656657353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4.5392380173595894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7.6358224971720785E-7</v>
      </c>
      <c r="BS87" s="24">
        <f t="shared" si="63"/>
        <v>4.5392387809418393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80.063676766746568</v>
      </c>
      <c r="T88" s="62">
        <f t="shared" si="88"/>
        <v>410.68113780291992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27.016811480234534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6.8924210350715474E-10</v>
      </c>
      <c r="AC88" s="24">
        <f t="shared" si="57"/>
        <v>27.016811480923774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1.1368683772161603E-13</v>
      </c>
      <c r="AJ88" s="14">
        <f>AI88*VLOOKUP('Données projet'!$B$10,Paramètres!$A$1:$I$89,3,0)*VLOOKUP('Données projet'!$B$10,Paramètres!$A$1:$I$89,5,0)</f>
        <v>6.7984728957526396E-14</v>
      </c>
      <c r="AK88" s="14">
        <f t="shared" si="89"/>
        <v>1.0682447123141398E-12</v>
      </c>
      <c r="AL88" s="22">
        <f t="shared" si="58"/>
        <v>1.978932943548152E-12</v>
      </c>
      <c r="AM88" s="62">
        <f t="shared" si="59"/>
        <v>272.6224607282835</v>
      </c>
      <c r="AN88" s="62">
        <f ca="1">AVERAGE(OFFSET($AM$3,0,0,'Données projet'!$E$10+1,1))-AVERAGE(OFFSET($H$3,0,0,'Données projet'!$E$10+1,1))</f>
        <v>189.09998601768521</v>
      </c>
      <c r="AO88" s="62">
        <f t="shared" si="90"/>
        <v>458.38901659119472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17.940987288254487</v>
      </c>
      <c r="AV88" s="23">
        <f>EXP(-LN(2)/25)*AV87+(1-EXP(-LN(2)/25))/(LN(2)/25)*Calculateur!AQ88*Calculateur!AS88*VLOOKUP('Données projet'!$B$10,Paramètres!$A$1:$I$89,3,0)*0.475*44/12</f>
        <v>9.5649163520498668</v>
      </c>
      <c r="AW88" s="23">
        <f>EXP(-LN(2)/2)*AW87+(1-EXP(-LN(2)/2))/(LN(2)/2)*AQ88*AT88*VLOOKUP('Données projet'!$B$10,Paramètres!$A$1:$I$89,3,0)*0.475*44/12</f>
        <v>2.2952849588139182E-7</v>
      </c>
      <c r="AX88" s="23">
        <f t="shared" si="60"/>
        <v>27.505903869832849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>
        <f>BD88*VLOOKUP('Données projet'!$B$11,Paramètres!$A$1:$I$89,3,0)*VLOOKUP('Données projet'!$B$11,Paramètres!$A$1:$I$89,5,0)</f>
        <v>0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387.37910791664007</v>
      </c>
      <c r="BJ88" s="62">
        <f t="shared" si="92"/>
        <v>311.37245656657353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4.4502263285009755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5.3993418676871738E-7</v>
      </c>
      <c r="BS88" s="24">
        <f t="shared" si="63"/>
        <v>4.4502268684351627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80.063676766746568</v>
      </c>
      <c r="T89" s="62">
        <f t="shared" si="88"/>
        <v>410.68113780291992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26.487028285735008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4.873677652691894E-10</v>
      </c>
      <c r="AC89" s="24">
        <f t="shared" si="57"/>
        <v>26.487028286222376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1.1368683772161603E-13</v>
      </c>
      <c r="AJ89" s="14">
        <f>AI89*VLOOKUP('Données projet'!$B$10,Paramètres!$A$1:$I$89,3,0)*VLOOKUP('Données projet'!$B$10,Paramètres!$A$1:$I$89,5,0)</f>
        <v>6.7984728957526396E-14</v>
      </c>
      <c r="AK89" s="14">
        <f t="shared" si="89"/>
        <v>1.0682447123141398E-12</v>
      </c>
      <c r="AL89" s="22">
        <f t="shared" si="58"/>
        <v>1.978932943548152E-12</v>
      </c>
      <c r="AM89" s="62">
        <f t="shared" si="59"/>
        <v>272.98174806540669</v>
      </c>
      <c r="AN89" s="62">
        <f ca="1">AVERAGE(OFFSET($AM$3,0,0,'Données projet'!$E$10+1,1))-AVERAGE(OFFSET($H$3,0,0,'Données projet'!$E$10+1,1))</f>
        <v>189.09998601768521</v>
      </c>
      <c r="AO89" s="62">
        <f t="shared" si="90"/>
        <v>458.38901659119472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17.589175470453537</v>
      </c>
      <c r="AV89" s="23">
        <f>EXP(-LN(2)/25)*AV88+(1-EXP(-LN(2)/25))/(LN(2)/25)*Calculateur!AQ89*Calculateur!AS89*VLOOKUP('Données projet'!$B$10,Paramètres!$A$1:$I$89,3,0)*0.475*44/12</f>
        <v>9.3033632114059728</v>
      </c>
      <c r="AW89" s="23">
        <f>EXP(-LN(2)/2)*AW88+(1-EXP(-LN(2)/2))/(LN(2)/2)*AQ89*AT89*VLOOKUP('Données projet'!$B$10,Paramètres!$A$1:$I$89,3,0)*0.475*44/12</f>
        <v>1.6230115591328072E-7</v>
      </c>
      <c r="AX89" s="23">
        <f t="shared" si="60"/>
        <v>26.892538844160665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>
        <f>BD89*VLOOKUP('Données projet'!$B$11,Paramètres!$A$1:$I$89,3,0)*VLOOKUP('Données projet'!$B$11,Paramètres!$A$1:$I$89,5,0)</f>
        <v>0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387.37910791664007</v>
      </c>
      <c r="BJ89" s="62">
        <f t="shared" si="92"/>
        <v>311.37245656657353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4.36296010456911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3.8179112485860393E-7</v>
      </c>
      <c r="BS89" s="24">
        <f t="shared" si="63"/>
        <v>4.3629604863602349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80.063676766746568</v>
      </c>
      <c r="T90" s="62">
        <f t="shared" si="88"/>
        <v>410.68113780291992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25.967633816543778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3.4462105175357737E-10</v>
      </c>
      <c r="AC90" s="24">
        <f t="shared" si="57"/>
        <v>25.967633816888398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1.1368683772161603E-13</v>
      </c>
      <c r="AJ90" s="14">
        <f>AI90*VLOOKUP('Données projet'!$B$10,Paramètres!$A$1:$I$89,3,0)*VLOOKUP('Données projet'!$B$10,Paramètres!$A$1:$I$89,5,0)</f>
        <v>6.7984728957526396E-14</v>
      </c>
      <c r="AK90" s="14">
        <f t="shared" si="89"/>
        <v>1.0682447123141398E-12</v>
      </c>
      <c r="AL90" s="22">
        <f t="shared" si="58"/>
        <v>1.978932943548152E-12</v>
      </c>
      <c r="AM90" s="62">
        <f t="shared" si="59"/>
        <v>273.33480257047682</v>
      </c>
      <c r="AN90" s="62">
        <f ca="1">AVERAGE(OFFSET($AM$3,0,0,'Données projet'!$E$10+1,1))-AVERAGE(OFFSET($H$3,0,0,'Données projet'!$E$10+1,1))</f>
        <v>189.09998601768521</v>
      </c>
      <c r="AO90" s="62">
        <f t="shared" si="90"/>
        <v>458.38901659119472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17.244262467815645</v>
      </c>
      <c r="AV90" s="23">
        <f>EXP(-LN(2)/25)*AV89+(1-EXP(-LN(2)/25))/(LN(2)/25)*Calculateur!AQ90*Calculateur!AS90*VLOOKUP('Données projet'!$B$10,Paramètres!$A$1:$I$89,3,0)*0.475*44/12</f>
        <v>9.0489622551474689</v>
      </c>
      <c r="AW90" s="23">
        <f>EXP(-LN(2)/2)*AW89+(1-EXP(-LN(2)/2))/(LN(2)/2)*AQ90*AT90*VLOOKUP('Données projet'!$B$10,Paramètres!$A$1:$I$89,3,0)*0.475*44/12</f>
        <v>1.1476424794069594E-7</v>
      </c>
      <c r="AX90" s="23">
        <f t="shared" si="60"/>
        <v>26.293224837727362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>
        <f>BD90*VLOOKUP('Données projet'!$B$11,Paramètres!$A$1:$I$89,3,0)*VLOOKUP('Données projet'!$B$11,Paramètres!$A$1:$I$89,5,0)</f>
        <v>0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387.37910791664007</v>
      </c>
      <c r="BJ90" s="62">
        <f t="shared" si="92"/>
        <v>311.37245656657353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4.2774051180614077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2.6996709338435869E-7</v>
      </c>
      <c r="BS90" s="24">
        <f t="shared" si="63"/>
        <v>4.2774053880285008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80.063676766746568</v>
      </c>
      <c r="T91" s="62">
        <f t="shared" si="88"/>
        <v>410.68113780291992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25.458424356094042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2.436838826345947E-10</v>
      </c>
      <c r="AC91" s="24">
        <f t="shared" si="57"/>
        <v>25.458424356337726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1.1368683772161603E-13</v>
      </c>
      <c r="AJ91" s="14">
        <f>AI91*VLOOKUP('Données projet'!$B$10,Paramètres!$A$1:$I$89,3,0)*VLOOKUP('Données projet'!$B$10,Paramètres!$A$1:$I$89,5,0)</f>
        <v>6.7984728957526396E-14</v>
      </c>
      <c r="AK91" s="14">
        <f t="shared" si="89"/>
        <v>1.0682447123141398E-12</v>
      </c>
      <c r="AL91" s="22">
        <f t="shared" si="58"/>
        <v>1.978932943548152E-12</v>
      </c>
      <c r="AM91" s="62">
        <f t="shared" si="59"/>
        <v>273.68173236919569</v>
      </c>
      <c r="AN91" s="62">
        <f ca="1">AVERAGE(OFFSET($AM$3,0,0,'Données projet'!$E$10+1,1))-AVERAGE(OFFSET($H$3,0,0,'Données projet'!$E$10+1,1))</f>
        <v>189.09998601768521</v>
      </c>
      <c r="AO91" s="62">
        <f t="shared" si="90"/>
        <v>458.38901659119472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16.906112998783325</v>
      </c>
      <c r="AV91" s="23">
        <f>EXP(-LN(2)/25)*AV90+(1-EXP(-LN(2)/25))/(LN(2)/25)*Calculateur!AQ91*Calculateur!AS91*VLOOKUP('Données projet'!$B$10,Paramètres!$A$1:$I$89,3,0)*0.475*44/12</f>
        <v>8.8015179064162172</v>
      </c>
      <c r="AW91" s="23">
        <f>EXP(-LN(2)/2)*AW90+(1-EXP(-LN(2)/2))/(LN(2)/2)*AQ91*AT91*VLOOKUP('Données projet'!$B$10,Paramètres!$A$1:$I$89,3,0)*0.475*44/12</f>
        <v>8.1150577956640371E-8</v>
      </c>
      <c r="AX91" s="23">
        <f t="shared" si="60"/>
        <v>25.707630986350122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>
        <f>BD91*VLOOKUP('Données projet'!$B$11,Paramètres!$A$1:$I$89,3,0)*VLOOKUP('Données projet'!$B$11,Paramètres!$A$1:$I$89,5,0)</f>
        <v>0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387.37910791664007</v>
      </c>
      <c r="BJ91" s="62">
        <f t="shared" si="92"/>
        <v>311.37245656657353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4.1935278126557325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1.9089556242930196E-7</v>
      </c>
      <c r="BS91" s="24">
        <f t="shared" si="63"/>
        <v>4.193528003551295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80.063676766746568</v>
      </c>
      <c r="T92" s="62">
        <f t="shared" si="88"/>
        <v>410.68113780291992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24.959200182576623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1.7231052587678869E-10</v>
      </c>
      <c r="AC92" s="24">
        <f t="shared" si="57"/>
        <v>24.959200182748933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1.1368683772161603E-13</v>
      </c>
      <c r="AJ92" s="14">
        <f>AI92*VLOOKUP('Données projet'!$B$10,Paramètres!$A$1:$I$89,3,0)*VLOOKUP('Données projet'!$B$10,Paramètres!$A$1:$I$89,5,0)</f>
        <v>6.7984728957526396E-14</v>
      </c>
      <c r="AK92" s="14">
        <f t="shared" si="89"/>
        <v>1.0682447123141398E-12</v>
      </c>
      <c r="AL92" s="22">
        <f t="shared" si="58"/>
        <v>1.978932943548152E-12</v>
      </c>
      <c r="AM92" s="62">
        <f t="shared" si="59"/>
        <v>274.02264371152557</v>
      </c>
      <c r="AN92" s="62">
        <f ca="1">AVERAGE(OFFSET($AM$3,0,0,'Données projet'!$E$10+1,1))-AVERAGE(OFFSET($H$3,0,0,'Données projet'!$E$10+1,1))</f>
        <v>189.09998601768521</v>
      </c>
      <c r="AO92" s="62">
        <f t="shared" si="90"/>
        <v>458.38901659119472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16.574594434587915</v>
      </c>
      <c r="AV92" s="23">
        <f>EXP(-LN(2)/25)*AV91+(1-EXP(-LN(2)/25))/(LN(2)/25)*Calculateur!AQ92*Calculateur!AS92*VLOOKUP('Données projet'!$B$10,Paramètres!$A$1:$I$89,3,0)*0.475*44/12</f>
        <v>8.5608399364135543</v>
      </c>
      <c r="AW92" s="23">
        <f>EXP(-LN(2)/2)*AW91+(1-EXP(-LN(2)/2))/(LN(2)/2)*AQ92*AT92*VLOOKUP('Données projet'!$B$10,Paramètres!$A$1:$I$89,3,0)*0.475*44/12</f>
        <v>5.7382123970347974E-8</v>
      </c>
      <c r="AX92" s="23">
        <f t="shared" si="60"/>
        <v>25.135434428383594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>
        <f>BD92*VLOOKUP('Données projet'!$B$11,Paramètres!$A$1:$I$89,3,0)*VLOOKUP('Données projet'!$B$11,Paramètres!$A$1:$I$89,5,0)</f>
        <v>0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387.37910791664007</v>
      </c>
      <c r="BJ92" s="62">
        <f t="shared" si="92"/>
        <v>311.37245656657353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4.1112952900489574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1.3498354669217934E-7</v>
      </c>
      <c r="BS92" s="24">
        <f t="shared" si="63"/>
        <v>4.1112954250325044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80.063676766746568</v>
      </c>
      <c r="T93" s="62">
        <f t="shared" si="88"/>
        <v>410.68113780291992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24.469765490605202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1.2184194131729735E-10</v>
      </c>
      <c r="AC93" s="24">
        <f t="shared" si="57"/>
        <v>24.469765490727042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1.1368683772161603E-13</v>
      </c>
      <c r="AJ93" s="14">
        <f>AI93*VLOOKUP('Données projet'!$B$10,Paramètres!$A$1:$I$89,3,0)*VLOOKUP('Données projet'!$B$10,Paramètres!$A$1:$I$89,5,0)</f>
        <v>6.7984728957526396E-14</v>
      </c>
      <c r="AK93" s="14">
        <f t="shared" si="89"/>
        <v>1.0682447123141398E-12</v>
      </c>
      <c r="AL93" s="22">
        <f t="shared" si="58"/>
        <v>1.978932943548152E-12</v>
      </c>
      <c r="AM93" s="62">
        <f t="shared" si="59"/>
        <v>274.35764100422966</v>
      </c>
      <c r="AN93" s="62">
        <f ca="1">AVERAGE(OFFSET($AM$3,0,0,'Données projet'!$E$10+1,1))-AVERAGE(OFFSET($H$3,0,0,'Données projet'!$E$10+1,1))</f>
        <v>189.09998601768521</v>
      </c>
      <c r="AO93" s="62">
        <f t="shared" si="90"/>
        <v>458.38901659119472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16.249576747230019</v>
      </c>
      <c r="AV93" s="23">
        <f>EXP(-LN(2)/25)*AV92+(1-EXP(-LN(2)/25))/(LN(2)/25)*Calculateur!AQ93*Calculateur!AS93*VLOOKUP('Données projet'!$B$10,Paramètres!$A$1:$I$89,3,0)*0.475*44/12</f>
        <v>8.3267433181573196</v>
      </c>
      <c r="AW93" s="23">
        <f>EXP(-LN(2)/2)*AW92+(1-EXP(-LN(2)/2))/(LN(2)/2)*AQ93*AT93*VLOOKUP('Données projet'!$B$10,Paramètres!$A$1:$I$89,3,0)*0.475*44/12</f>
        <v>4.0575288978320192E-8</v>
      </c>
      <c r="AX93" s="23">
        <f t="shared" si="60"/>
        <v>24.57632010596263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>
        <f>BD93*VLOOKUP('Données projet'!$B$11,Paramètres!$A$1:$I$89,3,0)*VLOOKUP('Données projet'!$B$11,Paramètres!$A$1:$I$89,5,0)</f>
        <v>0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387.37910791664007</v>
      </c>
      <c r="BJ93" s="62">
        <f t="shared" si="92"/>
        <v>311.37245656657353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4.030675297053615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9.5447781214650982E-8</v>
      </c>
      <c r="BS93" s="24">
        <f t="shared" si="63"/>
        <v>4.0306753925013963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80.063676766746568</v>
      </c>
      <c r="T94" s="62">
        <f t="shared" si="88"/>
        <v>410.68113780291992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23.989928314417654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8.6155262938394343E-11</v>
      </c>
      <c r="AC94" s="24">
        <f t="shared" si="57"/>
        <v>23.98992831450381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1.1368683772161603E-13</v>
      </c>
      <c r="AJ94" s="14">
        <f>AI94*VLOOKUP('Données projet'!$B$10,Paramètres!$A$1:$I$89,3,0)*VLOOKUP('Données projet'!$B$10,Paramètres!$A$1:$I$89,5,0)</f>
        <v>6.7984728957526396E-14</v>
      </c>
      <c r="AK94" s="14">
        <f t="shared" si="89"/>
        <v>1.0682447123141398E-12</v>
      </c>
      <c r="AL94" s="22">
        <f t="shared" si="58"/>
        <v>1.978932943548152E-12</v>
      </c>
      <c r="AM94" s="62">
        <f t="shared" si="59"/>
        <v>274.68682684284704</v>
      </c>
      <c r="AN94" s="62">
        <f ca="1">AVERAGE(OFFSET($AM$3,0,0,'Données projet'!$E$10+1,1))-AVERAGE(OFFSET($H$3,0,0,'Données projet'!$E$10+1,1))</f>
        <v>189.09998601768521</v>
      </c>
      <c r="AO94" s="62">
        <f t="shared" si="90"/>
        <v>458.38901659119472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15.930932458479999</v>
      </c>
      <c r="AV94" s="23">
        <f>EXP(-LN(2)/25)*AV93+(1-EXP(-LN(2)/25))/(LN(2)/25)*Calculateur!AQ94*Calculateur!AS94*VLOOKUP('Données projet'!$B$10,Paramètres!$A$1:$I$89,3,0)*0.475*44/12</f>
        <v>8.0990480842379071</v>
      </c>
      <c r="AW94" s="23">
        <f>EXP(-LN(2)/2)*AW93+(1-EXP(-LN(2)/2))/(LN(2)/2)*AQ94*AT94*VLOOKUP('Données projet'!$B$10,Paramètres!$A$1:$I$89,3,0)*0.475*44/12</f>
        <v>2.869106198517399E-8</v>
      </c>
      <c r="AX94" s="23">
        <f t="shared" si="60"/>
        <v>24.02998057140897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>
        <f>BD94*VLOOKUP('Données projet'!$B$11,Paramètres!$A$1:$I$89,3,0)*VLOOKUP('Données projet'!$B$11,Paramètres!$A$1:$I$89,5,0)</f>
        <v>0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387.37910791664007</v>
      </c>
      <c r="BJ94" s="62">
        <f t="shared" si="92"/>
        <v>311.37245656657353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3.9516362129475713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6.7491773346089672E-8</v>
      </c>
      <c r="BS94" s="24">
        <f t="shared" si="63"/>
        <v>3.9516362804393448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80.063676766746568</v>
      </c>
      <c r="T95" s="62">
        <f t="shared" si="88"/>
        <v>410.68113780291992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23.519500452583365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6.0920970658648675E-11</v>
      </c>
      <c r="AC95" s="24">
        <f t="shared" si="57"/>
        <v>23.519500452644287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1.1368683772161603E-13</v>
      </c>
      <c r="AJ95" s="14">
        <f>AI95*VLOOKUP('Données projet'!$B$10,Paramètres!$A$1:$I$89,3,0)*VLOOKUP('Données projet'!$B$10,Paramètres!$A$1:$I$89,5,0)</f>
        <v>6.7984728957526396E-14</v>
      </c>
      <c r="AK95" s="14">
        <f t="shared" si="89"/>
        <v>1.0682447123141398E-12</v>
      </c>
      <c r="AL95" s="22">
        <f t="shared" si="58"/>
        <v>1.978932943548152E-12</v>
      </c>
      <c r="AM95" s="62">
        <f t="shared" si="59"/>
        <v>275.01030204311371</v>
      </c>
      <c r="AN95" s="62">
        <f ca="1">AVERAGE(OFFSET($AM$3,0,0,'Données projet'!$E$10+1,1))-AVERAGE(OFFSET($H$3,0,0,'Données projet'!$E$10+1,1))</f>
        <v>189.09998601768521</v>
      </c>
      <c r="AO95" s="62">
        <f t="shared" si="90"/>
        <v>458.38901659119472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15.618536589878541</v>
      </c>
      <c r="AV95" s="23">
        <f>EXP(-LN(2)/25)*AV94+(1-EXP(-LN(2)/25))/(LN(2)/25)*Calculateur!AQ95*Calculateur!AS95*VLOOKUP('Données projet'!$B$10,Paramètres!$A$1:$I$89,3,0)*0.475*44/12</f>
        <v>7.8775791884639936</v>
      </c>
      <c r="AW95" s="23">
        <f>EXP(-LN(2)/2)*AW94+(1-EXP(-LN(2)/2))/(LN(2)/2)*AQ95*AT95*VLOOKUP('Données projet'!$B$10,Paramètres!$A$1:$I$89,3,0)*0.475*44/12</f>
        <v>2.0287644489160099E-8</v>
      </c>
      <c r="AX95" s="23">
        <f t="shared" si="60"/>
        <v>23.496115798630179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>
        <f>BD95*VLOOKUP('Données projet'!$B$11,Paramètres!$A$1:$I$89,3,0)*VLOOKUP('Données projet'!$B$11,Paramètres!$A$1:$I$89,5,0)</f>
        <v>0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387.37910791664007</v>
      </c>
      <c r="BJ95" s="62">
        <f t="shared" si="92"/>
        <v>311.37245656657353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3.8741470370717659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4.7723890607325491E-8</v>
      </c>
      <c r="BS95" s="24">
        <f t="shared" si="63"/>
        <v>3.8741470847956565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80.063676766746568</v>
      </c>
      <c r="T96" s="62">
        <f t="shared" si="88"/>
        <v>410.68113780291992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23.058297394186983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4.3077631469197171E-11</v>
      </c>
      <c r="AC96" s="24">
        <f t="shared" si="57"/>
        <v>23.05829739423006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1.1368683772161603E-13</v>
      </c>
      <c r="AJ96" s="14">
        <f>AI96*VLOOKUP('Données projet'!$B$10,Paramètres!$A$1:$I$89,3,0)*VLOOKUP('Données projet'!$B$10,Paramètres!$A$1:$I$89,5,0)</f>
        <v>6.7984728957526396E-14</v>
      </c>
      <c r="AK96" s="14">
        <f t="shared" si="89"/>
        <v>1.0682447123141398E-12</v>
      </c>
      <c r="AL96" s="22">
        <f t="shared" si="58"/>
        <v>1.978932943548152E-12</v>
      </c>
      <c r="AM96" s="62">
        <f t="shared" si="59"/>
        <v>275.32816567183795</v>
      </c>
      <c r="AN96" s="62">
        <f ca="1">AVERAGE(OFFSET($AM$3,0,0,'Données projet'!$E$10+1,1))-AVERAGE(OFFSET($H$3,0,0,'Données projet'!$E$10+1,1))</f>
        <v>189.09998601768521</v>
      </c>
      <c r="AO96" s="62">
        <f t="shared" si="90"/>
        <v>458.38901659119472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15.312266613717693</v>
      </c>
      <c r="AV96" s="23">
        <f>EXP(-LN(2)/25)*AV95+(1-EXP(-LN(2)/25))/(LN(2)/25)*Calculateur!AQ96*Calculateur!AS96*VLOOKUP('Données projet'!$B$10,Paramètres!$A$1:$I$89,3,0)*0.475*44/12</f>
        <v>7.6621663712915611</v>
      </c>
      <c r="AW96" s="23">
        <f>EXP(-LN(2)/2)*AW95+(1-EXP(-LN(2)/2))/(LN(2)/2)*AQ96*AT96*VLOOKUP('Données projet'!$B$10,Paramètres!$A$1:$I$89,3,0)*0.475*44/12</f>
        <v>1.4345530992586999E-8</v>
      </c>
      <c r="AX96" s="23">
        <f t="shared" si="60"/>
        <v>22.974432999354786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>
        <f>BD96*VLOOKUP('Données projet'!$B$11,Paramètres!$A$1:$I$89,3,0)*VLOOKUP('Données projet'!$B$11,Paramètres!$A$1:$I$89,5,0)</f>
        <v>0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387.37910791664007</v>
      </c>
      <c r="BJ96" s="62">
        <f t="shared" si="92"/>
        <v>311.37245656657353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3.7981773766711546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3.3745886673044836E-8</v>
      </c>
      <c r="BS96" s="24">
        <f t="shared" si="63"/>
        <v>3.7981774104170412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80.063676766746568</v>
      </c>
      <c r="T97" s="62">
        <f t="shared" si="88"/>
        <v>410.68113780291992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22.606138246459665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3.0460485329324338E-11</v>
      </c>
      <c r="AC97" s="24">
        <f t="shared" si="57"/>
        <v>22.606138246490126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1.1368683772161603E-13</v>
      </c>
      <c r="AJ97" s="14">
        <f>AI97*VLOOKUP('Données projet'!$B$10,Paramètres!$A$1:$I$89,3,0)*VLOOKUP('Données projet'!$B$10,Paramètres!$A$1:$I$89,5,0)</f>
        <v>6.7984728957526396E-14</v>
      </c>
      <c r="AK97" s="14">
        <f t="shared" si="89"/>
        <v>1.0682447123141398E-12</v>
      </c>
      <c r="AL97" s="22">
        <f t="shared" si="58"/>
        <v>1.978932943548152E-12</v>
      </c>
      <c r="AM97" s="62">
        <f t="shared" si="59"/>
        <v>275.64051507724048</v>
      </c>
      <c r="AN97" s="62">
        <f ca="1">AVERAGE(OFFSET($AM$3,0,0,'Données projet'!$E$10+1,1))-AVERAGE(OFFSET($H$3,0,0,'Données projet'!$E$10+1,1))</f>
        <v>189.09998601768521</v>
      </c>
      <c r="AO97" s="62">
        <f t="shared" si="90"/>
        <v>458.38901659119472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15.012002404983118</v>
      </c>
      <c r="AV97" s="23">
        <f>EXP(-LN(2)/25)*AV96+(1-EXP(-LN(2)/25))/(LN(2)/25)*Calculateur!AQ97*Calculateur!AS97*VLOOKUP('Données projet'!$B$10,Paramètres!$A$1:$I$89,3,0)*0.475*44/12</f>
        <v>7.4526440289327756</v>
      </c>
      <c r="AW97" s="23">
        <f>EXP(-LN(2)/2)*AW96+(1-EXP(-LN(2)/2))/(LN(2)/2)*AQ97*AT97*VLOOKUP('Données projet'!$B$10,Paramètres!$A$1:$I$89,3,0)*0.475*44/12</f>
        <v>1.0143822244580051E-8</v>
      </c>
      <c r="AX97" s="23">
        <f t="shared" si="60"/>
        <v>22.464646444059717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>
        <f>BD97*VLOOKUP('Données projet'!$B$11,Paramètres!$A$1:$I$89,3,0)*VLOOKUP('Données projet'!$B$11,Paramètres!$A$1:$I$89,5,0)</f>
        <v>0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387.37910791664007</v>
      </c>
      <c r="BJ97" s="62">
        <f t="shared" si="92"/>
        <v>311.37245656657353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3.7236974349740821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2.3861945303662745E-8</v>
      </c>
      <c r="BS97" s="24">
        <f t="shared" si="63"/>
        <v>3.7236974588360274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80.063676766746568</v>
      </c>
      <c r="T98" s="62">
        <f t="shared" si="88"/>
        <v>410.68113780291992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22.162845663829433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2.1538815734598586E-11</v>
      </c>
      <c r="AC98" s="24">
        <f t="shared" si="57"/>
        <v>22.162845663850973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1.1368683772161603E-13</v>
      </c>
      <c r="AJ98" s="14">
        <f>AI98*VLOOKUP('Données projet'!$B$10,Paramètres!$A$1:$I$89,3,0)*VLOOKUP('Données projet'!$B$10,Paramètres!$A$1:$I$89,5,0)</f>
        <v>6.7984728957526396E-14</v>
      </c>
      <c r="AK98" s="14">
        <f t="shared" si="89"/>
        <v>1.0682447123141398E-12</v>
      </c>
      <c r="AL98" s="22">
        <f t="shared" si="58"/>
        <v>1.978932943548152E-12</v>
      </c>
      <c r="AM98" s="62">
        <f t="shared" si="59"/>
        <v>275.94744591876793</v>
      </c>
      <c r="AN98" s="62">
        <f ca="1">AVERAGE(OFFSET($AM$3,0,0,'Données projet'!$E$10+1,1))-AVERAGE(OFFSET($H$3,0,0,'Données projet'!$E$10+1,1))</f>
        <v>189.09998601768521</v>
      </c>
      <c r="AO98" s="62">
        <f t="shared" si="90"/>
        <v>458.38901659119472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14.717626194238745</v>
      </c>
      <c r="AV98" s="23">
        <f>EXP(-LN(2)/25)*AV97+(1-EXP(-LN(2)/25))/(LN(2)/25)*Calculateur!AQ98*Calculateur!AS98*VLOOKUP('Données projet'!$B$10,Paramètres!$A$1:$I$89,3,0)*0.475*44/12</f>
        <v>7.2488510860440929</v>
      </c>
      <c r="AW98" s="23">
        <f>EXP(-LN(2)/2)*AW97+(1-EXP(-LN(2)/2))/(LN(2)/2)*AQ98*AT98*VLOOKUP('Données projet'!$B$10,Paramètres!$A$1:$I$89,3,0)*0.475*44/12</f>
        <v>7.1727654962935001E-9</v>
      </c>
      <c r="AX98" s="23">
        <f t="shared" si="60"/>
        <v>21.966477287455604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>
        <f>BD98*VLOOKUP('Données projet'!$B$11,Paramètres!$A$1:$I$89,3,0)*VLOOKUP('Données projet'!$B$11,Paramètres!$A$1:$I$89,5,0)</f>
        <v>0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387.37910791664007</v>
      </c>
      <c r="BJ98" s="62">
        <f t="shared" si="92"/>
        <v>311.37245656657353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3.6506779995054104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1.6872943336522418E-8</v>
      </c>
      <c r="BS98" s="24">
        <f t="shared" si="63"/>
        <v>3.6506780163783539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80.063676766746568</v>
      </c>
      <c r="T99" s="62">
        <f t="shared" si="88"/>
        <v>410.68113780291992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21.728245778362801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1.5230242664662169E-11</v>
      </c>
      <c r="AC99" s="24">
        <f t="shared" si="57"/>
        <v>21.728245778378032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1.1368683772161603E-13</v>
      </c>
      <c r="AJ99" s="14">
        <f>AI99*VLOOKUP('Données projet'!$B$10,Paramètres!$A$1:$I$89,3,0)*VLOOKUP('Données projet'!$B$10,Paramètres!$A$1:$I$89,5,0)</f>
        <v>6.7984728957526396E-14</v>
      </c>
      <c r="AK99" s="14">
        <f t="shared" si="89"/>
        <v>1.0682447123141398E-12</v>
      </c>
      <c r="AL99" s="22">
        <f t="shared" si="58"/>
        <v>1.978932943548152E-12</v>
      </c>
      <c r="AM99" s="62">
        <f t="shared" si="59"/>
        <v>276.24905219638941</v>
      </c>
      <c r="AN99" s="62">
        <f ca="1">AVERAGE(OFFSET($AM$3,0,0,'Données projet'!$E$10+1,1))-AVERAGE(OFFSET($H$3,0,0,'Données projet'!$E$10+1,1))</f>
        <v>189.09998601768521</v>
      </c>
      <c r="AO99" s="62">
        <f t="shared" si="90"/>
        <v>458.38901659119472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14.429022521435311</v>
      </c>
      <c r="AV99" s="23">
        <f>EXP(-LN(2)/25)*AV98+(1-EXP(-LN(2)/25))/(LN(2)/25)*Calculateur!AQ99*Calculateur!AS99*VLOOKUP('Données projet'!$B$10,Paramètres!$A$1:$I$89,3,0)*0.475*44/12</f>
        <v>7.0506308718957058</v>
      </c>
      <c r="AW99" s="23">
        <f>EXP(-LN(2)/2)*AW98+(1-EXP(-LN(2)/2))/(LN(2)/2)*AQ99*AT99*VLOOKUP('Données projet'!$B$10,Paramètres!$A$1:$I$89,3,0)*0.475*44/12</f>
        <v>5.0719111222900265E-9</v>
      </c>
      <c r="AX99" s="23">
        <f t="shared" si="60"/>
        <v>21.479653398402927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>
        <f>BD99*VLOOKUP('Données projet'!$B$11,Paramètres!$A$1:$I$89,3,0)*VLOOKUP('Données projet'!$B$11,Paramètres!$A$1:$I$89,5,0)</f>
        <v>0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387.37910791664007</v>
      </c>
      <c r="BJ99" s="62">
        <f t="shared" si="92"/>
        <v>311.37245656657353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3.5790904306288214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1.1930972651831373E-8</v>
      </c>
      <c r="BS99" s="24">
        <f t="shared" si="63"/>
        <v>3.579090442559794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80.063676766746568</v>
      </c>
      <c r="T100" s="62">
        <f t="shared" si="88"/>
        <v>410.68113780291992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21.302168131570415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1.0769407867299293E-11</v>
      </c>
      <c r="AC100" s="24">
        <f t="shared" si="57"/>
        <v>21.302168131581183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1.1368683772161603E-13</v>
      </c>
      <c r="AJ100" s="14">
        <f>AI100*VLOOKUP('Données projet'!$B$10,Paramètres!$A$1:$I$89,3,0)*VLOOKUP('Données projet'!$B$10,Paramètres!$A$1:$I$89,5,0)</f>
        <v>6.7984728957526396E-14</v>
      </c>
      <c r="AK100" s="14">
        <f t="shared" si="89"/>
        <v>1.0682447123141398E-12</v>
      </c>
      <c r="AL100" s="22">
        <f t="shared" si="58"/>
        <v>1.978932943548152E-12</v>
      </c>
      <c r="AM100" s="62">
        <f t="shared" si="59"/>
        <v>276.5454262793848</v>
      </c>
      <c r="AN100" s="62">
        <f ca="1">AVERAGE(OFFSET($AM$3,0,0,'Données projet'!$E$10+1,1))-AVERAGE(OFFSET($H$3,0,0,'Données projet'!$E$10+1,1))</f>
        <v>189.09998601768521</v>
      </c>
      <c r="AO100" s="62">
        <f t="shared" si="90"/>
        <v>458.38901659119472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14.146078190624692</v>
      </c>
      <c r="AV100" s="23">
        <f>EXP(-LN(2)/25)*AV99+(1-EXP(-LN(2)/25))/(LN(2)/25)*Calculateur!AQ100*Calculateur!AS100*VLOOKUP('Données projet'!$B$10,Paramètres!$A$1:$I$89,3,0)*0.475*44/12</f>
        <v>6.8578309999271543</v>
      </c>
      <c r="AW100" s="23">
        <f>EXP(-LN(2)/2)*AW99+(1-EXP(-LN(2)/2))/(LN(2)/2)*AQ100*AT100*VLOOKUP('Données projet'!$B$10,Paramètres!$A$1:$I$89,3,0)*0.475*44/12</f>
        <v>3.5863827481467509E-9</v>
      </c>
      <c r="AX100" s="23">
        <f t="shared" si="60"/>
        <v>21.003909194138227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>
        <f>BD100*VLOOKUP('Données projet'!$B$11,Paramètres!$A$1:$I$89,3,0)*VLOOKUP('Données projet'!$B$11,Paramètres!$A$1:$I$89,5,0)</f>
        <v>0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387.37910791664007</v>
      </c>
      <c r="BJ100" s="62">
        <f t="shared" si="92"/>
        <v>311.37245656657353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3.5089066503137967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8.436471668261209E-9</v>
      </c>
      <c r="BS100" s="24">
        <f t="shared" si="63"/>
        <v>3.5089066587502682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80.063676766746568</v>
      </c>
      <c r="T101" s="62">
        <f t="shared" si="88"/>
        <v>410.68113780291992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20.884445607549925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7.6151213323310844E-12</v>
      </c>
      <c r="AC101" s="24">
        <f t="shared" si="57"/>
        <v>20.884445607557538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1.1368683772161603E-13</v>
      </c>
      <c r="AJ101" s="14">
        <f>AI101*VLOOKUP('Données projet'!$B$10,Paramètres!$A$1:$I$89,3,0)*VLOOKUP('Données projet'!$B$10,Paramètres!$A$1:$I$89,5,0)</f>
        <v>6.7984728957526396E-14</v>
      </c>
      <c r="AK101" s="14">
        <f t="shared" si="89"/>
        <v>1.0682447123141398E-12</v>
      </c>
      <c r="AL101" s="22">
        <f t="shared" si="58"/>
        <v>1.978932943548152E-12</v>
      </c>
      <c r="AM101" s="62">
        <f t="shared" si="59"/>
        <v>276.83665893463336</v>
      </c>
      <c r="AN101" s="62">
        <f ca="1">AVERAGE(OFFSET($AM$3,0,0,'Données projet'!$E$10+1,1))-AVERAGE(OFFSET($H$3,0,0,'Données projet'!$E$10+1,1))</f>
        <v>189.09998601768521</v>
      </c>
      <c r="AO101" s="62">
        <f t="shared" si="90"/>
        <v>458.38901659119472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13.868682225562269</v>
      </c>
      <c r="AV101" s="23">
        <f>EXP(-LN(2)/25)*AV100+(1-EXP(-LN(2)/25))/(LN(2)/25)*Calculateur!AQ101*Calculateur!AS101*VLOOKUP('Données projet'!$B$10,Paramètres!$A$1:$I$89,3,0)*0.475*44/12</f>
        <v>6.6703032505964881</v>
      </c>
      <c r="AW101" s="23">
        <f>EXP(-LN(2)/2)*AW100+(1-EXP(-LN(2)/2))/(LN(2)/2)*AQ101*AT101*VLOOKUP('Données projet'!$B$10,Paramètres!$A$1:$I$89,3,0)*0.475*44/12</f>
        <v>2.5359555611450137E-9</v>
      </c>
      <c r="AX101" s="23">
        <f t="shared" si="60"/>
        <v>20.538985478694713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>
        <f>BD101*VLOOKUP('Données projet'!$B$11,Paramètres!$A$1:$I$89,3,0)*VLOOKUP('Données projet'!$B$11,Paramètres!$A$1:$I$89,5,0)</f>
        <v>0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387.37910791664007</v>
      </c>
      <c r="BJ101" s="62">
        <f t="shared" si="92"/>
        <v>311.37245656657353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3.4400991311228704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5.9654863259156864E-9</v>
      </c>
      <c r="BS101" s="24">
        <f t="shared" si="63"/>
        <v>3.4400991370883567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80.063676766746568</v>
      </c>
      <c r="T102" s="62">
        <f t="shared" si="88"/>
        <v>410.68113780291992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20.474914367439894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5.3847039336496464E-12</v>
      </c>
      <c r="AC102" s="24">
        <f t="shared" si="57"/>
        <v>20.47491436744528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1.1368683772161603E-13</v>
      </c>
      <c r="AJ102" s="14">
        <f>AI102*VLOOKUP('Données projet'!$B$10,Paramètres!$A$1:$I$89,3,0)*VLOOKUP('Données projet'!$B$10,Paramètres!$A$1:$I$89,5,0)</f>
        <v>6.7984728957526396E-14</v>
      </c>
      <c r="AK102" s="14">
        <f t="shared" si="89"/>
        <v>1.0682447123141398E-12</v>
      </c>
      <c r="AL102" s="22">
        <f t="shared" si="58"/>
        <v>1.978932943548152E-12</v>
      </c>
      <c r="AM102" s="62">
        <f t="shared" si="59"/>
        <v>277.12283935441212</v>
      </c>
      <c r="AN102" s="62">
        <f ca="1">AVERAGE(OFFSET($AM$3,0,0,'Données projet'!$E$10+1,1))-AVERAGE(OFFSET($H$3,0,0,'Données projet'!$E$10+1,1))</f>
        <v>189.09998601768521</v>
      </c>
      <c r="AO102" s="62">
        <f t="shared" si="90"/>
        <v>458.38901659119472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13.596725826179888</v>
      </c>
      <c r="AV102" s="23">
        <f>EXP(-LN(2)/25)*AV101+(1-EXP(-LN(2)/25))/(LN(2)/25)*Calculateur!AQ102*Calculateur!AS102*VLOOKUP('Données projet'!$B$10,Paramètres!$A$1:$I$89,3,0)*0.475*44/12</f>
        <v>6.4879034574329246</v>
      </c>
      <c r="AW102" s="23">
        <f>EXP(-LN(2)/2)*AW101+(1-EXP(-LN(2)/2))/(LN(2)/2)*AQ102*AT102*VLOOKUP('Données projet'!$B$10,Paramètres!$A$1:$I$89,3,0)*0.475*44/12</f>
        <v>1.7931913740733756E-9</v>
      </c>
      <c r="AX102" s="23">
        <f t="shared" si="60"/>
        <v>20.084629285406006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>
        <f>BD102*VLOOKUP('Données projet'!$B$11,Paramètres!$A$1:$I$89,3,0)*VLOOKUP('Données projet'!$B$11,Paramètres!$A$1:$I$89,5,0)</f>
        <v>0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387.37910791664007</v>
      </c>
      <c r="BJ102" s="62">
        <f t="shared" si="92"/>
        <v>311.37245656657353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3.3726408854148358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4.2182358341306045E-9</v>
      </c>
      <c r="BS102" s="24">
        <f t="shared" si="63"/>
        <v>3.3726408896330717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80.063676766746568</v>
      </c>
      <c r="T103" s="62">
        <f t="shared" si="88"/>
        <v>410.68113780291992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20.07341378515903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3.8075606661655422E-12</v>
      </c>
      <c r="AC103" s="24">
        <f t="shared" si="57"/>
        <v>20.073413785162838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1.1368683772161603E-13</v>
      </c>
      <c r="AJ103" s="14">
        <f>AI103*VLOOKUP('Données projet'!$B$10,Paramètres!$A$1:$I$89,3,0)*VLOOKUP('Données projet'!$B$10,Paramètres!$A$1:$I$89,5,0)</f>
        <v>6.7984728957526396E-14</v>
      </c>
      <c r="AK103" s="14">
        <f t="shared" si="89"/>
        <v>1.0682447123141398E-12</v>
      </c>
      <c r="AL103" s="22">
        <f t="shared" si="58"/>
        <v>1.978932943548152E-12</v>
      </c>
      <c r="AM103" s="62">
        <f t="shared" si="59"/>
        <v>277.40405518371119</v>
      </c>
      <c r="AN103" s="62">
        <f ca="1">AVERAGE(OFFSET($AM$3,0,0,'Données projet'!$E$10+1,1))-AVERAGE(OFFSET($H$3,0,0,'Données projet'!$E$10+1,1))</f>
        <v>189.09998601768521</v>
      </c>
      <c r="AO103" s="62">
        <f t="shared" si="90"/>
        <v>458.38901659119472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13.330102325912371</v>
      </c>
      <c r="AV103" s="23">
        <f>EXP(-LN(2)/25)*AV102+(1-EXP(-LN(2)/25))/(LN(2)/25)*Calculateur!AQ103*Calculateur!AS103*VLOOKUP('Données projet'!$B$10,Paramètres!$A$1:$I$89,3,0)*0.475*44/12</f>
        <v>6.310491396205407</v>
      </c>
      <c r="AW103" s="23">
        <f>EXP(-LN(2)/2)*AW102+(1-EXP(-LN(2)/2))/(LN(2)/2)*AQ103*AT103*VLOOKUP('Données projet'!$B$10,Paramètres!$A$1:$I$89,3,0)*0.475*44/12</f>
        <v>1.267977780572507E-9</v>
      </c>
      <c r="AX103" s="23">
        <f t="shared" si="60"/>
        <v>19.640593723385756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>
        <f>BD103*VLOOKUP('Données projet'!$B$11,Paramètres!$A$1:$I$89,3,0)*VLOOKUP('Données projet'!$B$11,Paramètres!$A$1:$I$89,5,0)</f>
        <v>0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387.37910791664007</v>
      </c>
      <c r="BJ103" s="62">
        <f t="shared" si="92"/>
        <v>311.37245656657353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3.3065054547596686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2.9827431629578432E-9</v>
      </c>
      <c r="BS103" s="24">
        <f t="shared" si="63"/>
        <v>3.3065054577424116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80.063676766746568</v>
      </c>
      <c r="T104" s="62">
        <f t="shared" si="88"/>
        <v>410.68113780291992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19.679786384405517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2.6923519668248232E-12</v>
      </c>
      <c r="AC104" s="24">
        <f t="shared" si="57"/>
        <v>19.67978638440821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1.1368683772161603E-13</v>
      </c>
      <c r="AJ104" s="14">
        <f>AI104*VLOOKUP('Données projet'!$B$10,Paramètres!$A$1:$I$89,3,0)*VLOOKUP('Données projet'!$B$10,Paramètres!$A$1:$I$89,5,0)</f>
        <v>6.7984728957526396E-14</v>
      </c>
      <c r="AK104" s="14">
        <f t="shared" si="89"/>
        <v>1.0682447123141398E-12</v>
      </c>
      <c r="AL104" s="22">
        <f t="shared" si="58"/>
        <v>1.978932943548152E-12</v>
      </c>
      <c r="AM104" s="62">
        <f t="shared" si="59"/>
        <v>277.68039254707639</v>
      </c>
      <c r="AN104" s="62">
        <f ca="1">AVERAGE(OFFSET($AM$3,0,0,'Données projet'!$E$10+1,1))-AVERAGE(OFFSET($H$3,0,0,'Données projet'!$E$10+1,1))</f>
        <v>189.09998601768521</v>
      </c>
      <c r="AO104" s="62">
        <f t="shared" si="90"/>
        <v>458.38901659119472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13.068707149860822</v>
      </c>
      <c r="AV104" s="23">
        <f>EXP(-LN(2)/25)*AV103+(1-EXP(-LN(2)/25))/(LN(2)/25)*Calculateur!AQ104*Calculateur!AS104*VLOOKUP('Données projet'!$B$10,Paramètres!$A$1:$I$89,3,0)*0.475*44/12</f>
        <v>6.13793067712185</v>
      </c>
      <c r="AW104" s="23">
        <f>EXP(-LN(2)/2)*AW103+(1-EXP(-LN(2)/2))/(LN(2)/2)*AQ104*AT104*VLOOKUP('Données projet'!$B$10,Paramètres!$A$1:$I$89,3,0)*0.475*44/12</f>
        <v>8.9659568703668793E-10</v>
      </c>
      <c r="AX104" s="23">
        <f t="shared" si="60"/>
        <v>19.206637827879266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>
        <f>BD104*VLOOKUP('Données projet'!$B$11,Paramètres!$A$1:$I$89,3,0)*VLOOKUP('Données projet'!$B$11,Paramètres!$A$1:$I$89,5,0)</f>
        <v>0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387.37910791664007</v>
      </c>
      <c r="BJ104" s="62">
        <f t="shared" si="92"/>
        <v>311.37245656657353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3.2416668995610194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2.1091179170653022E-9</v>
      </c>
      <c r="BS104" s="24">
        <f t="shared" si="63"/>
        <v>3.2416669016701372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80.063676766746568</v>
      </c>
      <c r="T105" s="62">
        <f t="shared" si="88"/>
        <v>410.68113780291992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19.293877776891772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1.9037803330827711E-12</v>
      </c>
      <c r="AC105" s="24">
        <f t="shared" si="57"/>
        <v>19.293877776893677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1.1368683772161603E-13</v>
      </c>
      <c r="AJ105" s="14">
        <f>AI105*VLOOKUP('Données projet'!$B$10,Paramètres!$A$1:$I$89,3,0)*VLOOKUP('Données projet'!$B$10,Paramètres!$A$1:$I$89,5,0)</f>
        <v>6.7984728957526396E-14</v>
      </c>
      <c r="AK105" s="14">
        <f t="shared" si="89"/>
        <v>1.0682447123141398E-12</v>
      </c>
      <c r="AL105" s="22">
        <f t="shared" si="58"/>
        <v>1.978932943548152E-12</v>
      </c>
      <c r="AM105" s="62">
        <f t="shared" si="59"/>
        <v>277.95193607498493</v>
      </c>
      <c r="AN105" s="62">
        <f ca="1">AVERAGE(OFFSET($AM$3,0,0,'Données projet'!$E$10+1,1))-AVERAGE(OFFSET($H$3,0,0,'Données projet'!$E$10+1,1))</f>
        <v>189.09998601768521</v>
      </c>
      <c r="AO105" s="62">
        <f t="shared" si="90"/>
        <v>458.38901659119472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12.812437773776329</v>
      </c>
      <c r="AV105" s="23">
        <f>EXP(-LN(2)/25)*AV104+(1-EXP(-LN(2)/25))/(LN(2)/25)*Calculateur!AQ105*Calculateur!AS105*VLOOKUP('Données projet'!$B$10,Paramètres!$A$1:$I$89,3,0)*0.475*44/12</f>
        <v>5.9700886399762068</v>
      </c>
      <c r="AW105" s="23">
        <f>EXP(-LN(2)/2)*AW104+(1-EXP(-LN(2)/2))/(LN(2)/2)*AQ105*AT105*VLOOKUP('Données projet'!$B$10,Paramètres!$A$1:$I$89,3,0)*0.475*44/12</f>
        <v>6.3398889028625362E-10</v>
      </c>
      <c r="AX105" s="23">
        <f t="shared" si="60"/>
        <v>18.782526414386524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>
        <f>BD105*VLOOKUP('Données projet'!$B$11,Paramètres!$A$1:$I$89,3,0)*VLOOKUP('Données projet'!$B$11,Paramètres!$A$1:$I$89,5,0)</f>
        <v>0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387.37910791664007</v>
      </c>
      <c r="BJ105" s="62">
        <f t="shared" si="92"/>
        <v>311.37245656657353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3.1780997888822022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1.4913715814789216E-9</v>
      </c>
      <c r="BS105" s="24">
        <f t="shared" si="63"/>
        <v>3.1780997903735737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80.063676766746568</v>
      </c>
      <c r="T106" s="62">
        <f t="shared" si="88"/>
        <v>410.68113780291992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18.915536601790365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1.3461759834124116E-12</v>
      </c>
      <c r="AC106" s="24">
        <f t="shared" si="57"/>
        <v>18.915536601791711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1.1368683772161603E-13</v>
      </c>
      <c r="AJ106" s="14">
        <f>AI106*VLOOKUP('Données projet'!$B$10,Paramètres!$A$1:$I$89,3,0)*VLOOKUP('Données projet'!$B$10,Paramètres!$A$1:$I$89,5,0)</f>
        <v>6.7984728957526396E-14</v>
      </c>
      <c r="AK106" s="14">
        <f t="shared" si="89"/>
        <v>1.0682447123141398E-12</v>
      </c>
      <c r="AL106" s="22">
        <f t="shared" si="58"/>
        <v>1.978932943548152E-12</v>
      </c>
      <c r="AM106" s="62">
        <f t="shared" si="59"/>
        <v>278.21876892976468</v>
      </c>
      <c r="AN106" s="62">
        <f ca="1">AVERAGE(OFFSET($AM$3,0,0,'Données projet'!$E$10+1,1))-AVERAGE(OFFSET($H$3,0,0,'Données projet'!$E$10+1,1))</f>
        <v>189.09998601768521</v>
      </c>
      <c r="AO106" s="62">
        <f t="shared" si="90"/>
        <v>458.38901659119472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12.561193683847968</v>
      </c>
      <c r="AV106" s="23">
        <f>EXP(-LN(2)/25)*AV105+(1-EXP(-LN(2)/25))/(LN(2)/25)*Calculateur!AQ106*Calculateur!AS106*VLOOKUP('Données projet'!$B$10,Paramètres!$A$1:$I$89,3,0)*0.475*44/12</f>
        <v>5.806836252162741</v>
      </c>
      <c r="AW106" s="23">
        <f>EXP(-LN(2)/2)*AW105+(1-EXP(-LN(2)/2))/(LN(2)/2)*AQ106*AT106*VLOOKUP('Données projet'!$B$10,Paramètres!$A$1:$I$89,3,0)*0.475*44/12</f>
        <v>4.4829784351834407E-10</v>
      </c>
      <c r="AX106" s="23">
        <f t="shared" si="60"/>
        <v>18.368029936459006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>
        <f>BD106*VLOOKUP('Données projet'!$B$11,Paramètres!$A$1:$I$89,3,0)*VLOOKUP('Données projet'!$B$11,Paramètres!$A$1:$I$89,5,0)</f>
        <v>0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387.37910791664007</v>
      </c>
      <c r="BJ106" s="62">
        <f t="shared" si="92"/>
        <v>311.37245656657353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3.1157791904716876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1.0545589585326511E-9</v>
      </c>
      <c r="BS106" s="24">
        <f t="shared" si="63"/>
        <v>3.1157791915262467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80.063676766746568</v>
      </c>
      <c r="T107" s="62">
        <f t="shared" si="88"/>
        <v>410.68113780291992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18.544614466367364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9.5189016654138555E-13</v>
      </c>
      <c r="AC107" s="24">
        <f t="shared" si="57"/>
        <v>18.544614466368316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1.1368683772161603E-13</v>
      </c>
      <c r="AJ107" s="14">
        <f>AI107*VLOOKUP('Données projet'!$B$10,Paramètres!$A$1:$I$89,3,0)*VLOOKUP('Données projet'!$B$10,Paramètres!$A$1:$I$89,5,0)</f>
        <v>6.7984728957526396E-14</v>
      </c>
      <c r="AK107" s="14">
        <f t="shared" si="89"/>
        <v>1.0682447123141398E-12</v>
      </c>
      <c r="AL107" s="22">
        <f t="shared" si="58"/>
        <v>1.978932943548152E-12</v>
      </c>
      <c r="AM107" s="62">
        <f t="shared" si="59"/>
        <v>278.4809728310629</v>
      </c>
      <c r="AN107" s="62">
        <f ca="1">AVERAGE(OFFSET($AM$3,0,0,'Données projet'!$E$10+1,1))-AVERAGE(OFFSET($H$3,0,0,'Données projet'!$E$10+1,1))</f>
        <v>189.09998601768521</v>
      </c>
      <c r="AO107" s="62">
        <f t="shared" si="90"/>
        <v>458.38901659119472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12.314876337279339</v>
      </c>
      <c r="AV107" s="23">
        <f>EXP(-LN(2)/25)*AV106+(1-EXP(-LN(2)/25))/(LN(2)/25)*Calculateur!AQ107*Calculateur!AS107*VLOOKUP('Données projet'!$B$10,Paramètres!$A$1:$I$89,3,0)*0.475*44/12</f>
        <v>5.6480480094791039</v>
      </c>
      <c r="AW107" s="23">
        <f>EXP(-LN(2)/2)*AW106+(1-EXP(-LN(2)/2))/(LN(2)/2)*AQ107*AT107*VLOOKUP('Données projet'!$B$10,Paramètres!$A$1:$I$89,3,0)*0.475*44/12</f>
        <v>3.1699444514312686E-10</v>
      </c>
      <c r="AX107" s="23">
        <f t="shared" si="60"/>
        <v>17.962924347075436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>
        <f>BD107*VLOOKUP('Données projet'!$B$11,Paramètres!$A$1:$I$89,3,0)*VLOOKUP('Données projet'!$B$11,Paramètres!$A$1:$I$89,5,0)</f>
        <v>0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387.37910791664007</v>
      </c>
      <c r="BJ107" s="62">
        <f t="shared" si="92"/>
        <v>311.37245656657353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3.0546806609841912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7.456857907394608E-10</v>
      </c>
      <c r="BS107" s="24">
        <f t="shared" si="63"/>
        <v>3.054680661729877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80.063676766746568</v>
      </c>
      <c r="T108" s="62">
        <f t="shared" si="88"/>
        <v>410.68113780291992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18.180965887779845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6.730879917062058E-13</v>
      </c>
      <c r="AC108" s="24">
        <f t="shared" si="57"/>
        <v>18.180965887780516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1.1368683772161603E-13</v>
      </c>
      <c r="AJ108" s="14">
        <f>AI108*VLOOKUP('Données projet'!$B$10,Paramètres!$A$1:$I$89,3,0)*VLOOKUP('Données projet'!$B$10,Paramètres!$A$1:$I$89,5,0)</f>
        <v>6.7984728957526396E-14</v>
      </c>
      <c r="AK108" s="14">
        <f t="shared" si="89"/>
        <v>1.0682447123141398E-12</v>
      </c>
      <c r="AL108" s="22">
        <f t="shared" si="58"/>
        <v>1.978932943548152E-12</v>
      </c>
      <c r="AM108" s="62">
        <f t="shared" si="59"/>
        <v>278.73862808087375</v>
      </c>
      <c r="AN108" s="62">
        <f ca="1">AVERAGE(OFFSET($AM$3,0,0,'Données projet'!$E$10+1,1))-AVERAGE(OFFSET($H$3,0,0,'Données projet'!$E$10+1,1))</f>
        <v>189.09998601768521</v>
      </c>
      <c r="AO108" s="62">
        <f t="shared" si="90"/>
        <v>458.38901659119472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12.073389123638174</v>
      </c>
      <c r="AV108" s="23">
        <f>EXP(-LN(2)/25)*AV107+(1-EXP(-LN(2)/25))/(LN(2)/25)*Calculateur!AQ108*Calculateur!AS108*VLOOKUP('Données projet'!$B$10,Paramètres!$A$1:$I$89,3,0)*0.475*44/12</f>
        <v>5.4936018396419621</v>
      </c>
      <c r="AW108" s="23">
        <f>EXP(-LN(2)/2)*AW107+(1-EXP(-LN(2)/2))/(LN(2)/2)*AQ108*AT108*VLOOKUP('Données projet'!$B$10,Paramètres!$A$1:$I$89,3,0)*0.475*44/12</f>
        <v>2.2414892175917206E-10</v>
      </c>
      <c r="AX108" s="23">
        <f t="shared" si="60"/>
        <v>17.566990963504285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>
        <f>BD108*VLOOKUP('Données projet'!$B$11,Paramètres!$A$1:$I$89,3,0)*VLOOKUP('Données projet'!$B$11,Paramètres!$A$1:$I$89,5,0)</f>
        <v>0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387.37910791664007</v>
      </c>
      <c r="BJ108" s="62">
        <f t="shared" si="92"/>
        <v>311.37245656657353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2.9947802363935216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5.2727947926632556E-10</v>
      </c>
      <c r="BS108" s="24">
        <f t="shared" si="63"/>
        <v>2.9947802369208012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80.063676766746568</v>
      </c>
      <c r="T109" s="62">
        <f t="shared" si="88"/>
        <v>410.68113780291992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17.824448236014696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4.7594508327069277E-13</v>
      </c>
      <c r="AC109" s="24">
        <f t="shared" si="57"/>
        <v>17.824448236015172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1.1368683772161603E-13</v>
      </c>
      <c r="AJ109" s="14">
        <f>AI109*VLOOKUP('Données projet'!$B$10,Paramètres!$A$1:$I$89,3,0)*VLOOKUP('Données projet'!$B$10,Paramètres!$A$1:$I$89,5,0)</f>
        <v>6.7984728957526396E-14</v>
      </c>
      <c r="AK109" s="14">
        <f t="shared" si="89"/>
        <v>1.0682447123141398E-12</v>
      </c>
      <c r="AL109" s="22">
        <f t="shared" si="58"/>
        <v>1.978932943548152E-12</v>
      </c>
      <c r="AM109" s="62">
        <f t="shared" si="59"/>
        <v>278.99181358813109</v>
      </c>
      <c r="AN109" s="62">
        <f ca="1">AVERAGE(OFFSET($AM$3,0,0,'Données projet'!$E$10+1,1))-AVERAGE(OFFSET($H$3,0,0,'Données projet'!$E$10+1,1))</f>
        <v>189.09998601768521</v>
      </c>
      <c r="AO109" s="62">
        <f t="shared" si="90"/>
        <v>458.38901659119472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11.836637326963857</v>
      </c>
      <c r="AV109" s="23">
        <f>EXP(-LN(2)/25)*AV108+(1-EXP(-LN(2)/25))/(LN(2)/25)*Calculateur!AQ109*Calculateur!AS109*VLOOKUP('Données projet'!$B$10,Paramètres!$A$1:$I$89,3,0)*0.475*44/12</f>
        <v>5.343379008440988</v>
      </c>
      <c r="AW109" s="23">
        <f>EXP(-LN(2)/2)*AW108+(1-EXP(-LN(2)/2))/(LN(2)/2)*AQ109*AT109*VLOOKUP('Données projet'!$B$10,Paramètres!$A$1:$I$89,3,0)*0.475*44/12</f>
        <v>1.5849722257156346E-10</v>
      </c>
      <c r="AX109" s="23">
        <f t="shared" si="60"/>
        <v>17.180016335563341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>
        <f>BD109*VLOOKUP('Données projet'!$B$11,Paramètres!$A$1:$I$89,3,0)*VLOOKUP('Données projet'!$B$11,Paramètres!$A$1:$I$89,5,0)</f>
        <v>0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387.37910791664007</v>
      </c>
      <c r="BJ109" s="62">
        <f t="shared" si="92"/>
        <v>311.37245656657353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2.9360544225934238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3.728428953697304E-10</v>
      </c>
      <c r="BS109" s="24">
        <f t="shared" si="63"/>
        <v>2.9360544229662668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80.063676766746568</v>
      </c>
      <c r="T110" s="62">
        <f t="shared" si="88"/>
        <v>410.68113780291992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17.474921677946366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3.365439958531029E-13</v>
      </c>
      <c r="AC110" s="24">
        <f t="shared" si="57"/>
        <v>17.474921677946703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1.1368683772161603E-13</v>
      </c>
      <c r="AJ110" s="14">
        <f>AI110*VLOOKUP('Données projet'!$B$10,Paramètres!$A$1:$I$89,3,0)*VLOOKUP('Données projet'!$B$10,Paramètres!$A$1:$I$89,5,0)</f>
        <v>6.7984728957526396E-14</v>
      </c>
      <c r="AK110" s="14">
        <f t="shared" si="89"/>
        <v>1.0682447123141398E-12</v>
      </c>
      <c r="AL110" s="22">
        <f t="shared" si="58"/>
        <v>1.978932943548152E-12</v>
      </c>
      <c r="AM110" s="62">
        <f t="shared" si="59"/>
        <v>279.24060689287563</v>
      </c>
      <c r="AN110" s="62">
        <f ca="1">AVERAGE(OFFSET($AM$3,0,0,'Données projet'!$E$10+1,1))-AVERAGE(OFFSET($H$3,0,0,'Données projet'!$E$10+1,1))</f>
        <v>189.09998601768521</v>
      </c>
      <c r="AO110" s="62">
        <f t="shared" si="90"/>
        <v>458.38901659119472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11.604528088617984</v>
      </c>
      <c r="AV110" s="23">
        <f>EXP(-LN(2)/25)*AV109+(1-EXP(-LN(2)/25))/(LN(2)/25)*Calculateur!AQ110*Calculateur!AS110*VLOOKUP('Données projet'!$B$10,Paramètres!$A$1:$I$89,3,0)*0.475*44/12</f>
        <v>5.1972640284590792</v>
      </c>
      <c r="AW110" s="23">
        <f>EXP(-LN(2)/2)*AW109+(1-EXP(-LN(2)/2))/(LN(2)/2)*AQ110*AT110*VLOOKUP('Données projet'!$B$10,Paramètres!$A$1:$I$89,3,0)*0.475*44/12</f>
        <v>1.1207446087958606E-10</v>
      </c>
      <c r="AX110" s="23">
        <f t="shared" si="60"/>
        <v>16.801792117189137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>
        <f>BD110*VLOOKUP('Données projet'!$B$11,Paramètres!$A$1:$I$89,3,0)*VLOOKUP('Données projet'!$B$11,Paramètres!$A$1:$I$89,5,0)</f>
        <v>0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387.37910791664007</v>
      </c>
      <c r="BJ110" s="62">
        <f t="shared" si="92"/>
        <v>311.37245656657353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2.878480186182736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2.6363973963316278E-10</v>
      </c>
      <c r="BS110" s="24">
        <f t="shared" si="63"/>
        <v>2.8784801864463758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80.063676766746568</v>
      </c>
      <c r="T111" s="62">
        <f t="shared" si="88"/>
        <v>410.68113780291992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17.132249122491608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2.3797254163534639E-13</v>
      </c>
      <c r="AC111" s="24">
        <f t="shared" si="57"/>
        <v>17.132249122491846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1.1368683772161603E-13</v>
      </c>
      <c r="AJ111" s="14">
        <f>AI111*VLOOKUP('Données projet'!$B$10,Paramètres!$A$1:$I$89,3,0)*VLOOKUP('Données projet'!$B$10,Paramètres!$A$1:$I$89,5,0)</f>
        <v>6.7984728957526396E-14</v>
      </c>
      <c r="AK111" s="14">
        <f t="shared" si="89"/>
        <v>1.0682447123141398E-12</v>
      </c>
      <c r="AL111" s="22">
        <f t="shared" si="58"/>
        <v>1.978932943548152E-12</v>
      </c>
      <c r="AM111" s="62">
        <f t="shared" si="59"/>
        <v>279.48508419000132</v>
      </c>
      <c r="AN111" s="62">
        <f ca="1">AVERAGE(OFFSET($AM$3,0,0,'Données projet'!$E$10+1,1))-AVERAGE(OFFSET($H$3,0,0,'Données projet'!$E$10+1,1))</f>
        <v>189.09998601768521</v>
      </c>
      <c r="AO111" s="62">
        <f t="shared" si="90"/>
        <v>458.38901659119472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11.376970370863418</v>
      </c>
      <c r="AV111" s="23">
        <f>EXP(-LN(2)/25)*AV110+(1-EXP(-LN(2)/25))/(LN(2)/25)*Calculateur!AQ111*Calculateur!AS111*VLOOKUP('Données projet'!$B$10,Paramètres!$A$1:$I$89,3,0)*0.475*44/12</f>
        <v>5.0551445702886291</v>
      </c>
      <c r="AW111" s="23">
        <f>EXP(-LN(2)/2)*AW110+(1-EXP(-LN(2)/2))/(LN(2)/2)*AQ111*AT111*VLOOKUP('Données projet'!$B$10,Paramètres!$A$1:$I$89,3,0)*0.475*44/12</f>
        <v>7.9248611285781742E-11</v>
      </c>
      <c r="AX111" s="23">
        <f t="shared" si="60"/>
        <v>16.432114941231298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>
        <f>BD111*VLOOKUP('Données projet'!$B$11,Paramètres!$A$1:$I$89,3,0)*VLOOKUP('Données projet'!$B$11,Paramètres!$A$1:$I$89,5,0)</f>
        <v>0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387.37910791664007</v>
      </c>
      <c r="BJ111" s="62">
        <f t="shared" si="92"/>
        <v>311.37245656657353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2.8220349454312452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1.864214476848652E-10</v>
      </c>
      <c r="BS111" s="24">
        <f t="shared" si="63"/>
        <v>2.8220349456176668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80.063676766746568</v>
      </c>
      <c r="T112" s="62">
        <f t="shared" si="88"/>
        <v>410.68113780291992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16.796296166839696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1.6827199792655145E-13</v>
      </c>
      <c r="AC112" s="24">
        <f t="shared" si="57"/>
        <v>16.796296166839863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1.1368683772161603E-13</v>
      </c>
      <c r="AJ112" s="14">
        <f>AI112*VLOOKUP('Données projet'!$B$10,Paramètres!$A$1:$I$89,3,0)*VLOOKUP('Données projet'!$B$10,Paramètres!$A$1:$I$89,5,0)</f>
        <v>6.7984728957526396E-14</v>
      </c>
      <c r="AK112" s="14">
        <f t="shared" si="89"/>
        <v>1.0682447123141398E-12</v>
      </c>
      <c r="AL112" s="22">
        <f t="shared" si="58"/>
        <v>1.978932943548152E-12</v>
      </c>
      <c r="AM112" s="62">
        <f t="shared" si="59"/>
        <v>279.72532035259127</v>
      </c>
      <c r="AN112" s="62">
        <f ca="1">AVERAGE(OFFSET($AM$3,0,0,'Données projet'!$E$10+1,1))-AVERAGE(OFFSET($H$3,0,0,'Données projet'!$E$10+1,1))</f>
        <v>189.09998601768521</v>
      </c>
      <c r="AO112" s="62">
        <f t="shared" si="90"/>
        <v>458.38901659119472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11.153874921157517</v>
      </c>
      <c r="AV112" s="23">
        <f>EXP(-LN(2)/25)*AV111+(1-EXP(-LN(2)/25))/(LN(2)/25)*Calculateur!AQ112*Calculateur!AS112*VLOOKUP('Données projet'!$B$10,Paramètres!$A$1:$I$89,3,0)*0.475*44/12</f>
        <v>4.9169113761755874</v>
      </c>
      <c r="AW112" s="23">
        <f>EXP(-LN(2)/2)*AW111+(1-EXP(-LN(2)/2))/(LN(2)/2)*AQ112*AT112*VLOOKUP('Données projet'!$B$10,Paramètres!$A$1:$I$89,3,0)*0.475*44/12</f>
        <v>5.6037230439793034E-11</v>
      </c>
      <c r="AX112" s="23">
        <f t="shared" si="60"/>
        <v>16.070786297389141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>
        <f>BD112*VLOOKUP('Données projet'!$B$11,Paramètres!$A$1:$I$89,3,0)*VLOOKUP('Données projet'!$B$11,Paramètres!$A$1:$I$89,5,0)</f>
        <v>0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387.37910791664007</v>
      </c>
      <c r="BJ112" s="62">
        <f t="shared" si="92"/>
        <v>311.37245656657353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2.7666965614226937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1.3181986981658139E-10</v>
      </c>
      <c r="BS112" s="24">
        <f t="shared" si="63"/>
        <v>2.7666965615545136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80.063676766746568</v>
      </c>
      <c r="T113" s="62">
        <f t="shared" si="88"/>
        <v>410.68113780291992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16.466931043737048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1.1898627081767319E-13</v>
      </c>
      <c r="AC113" s="24">
        <f t="shared" si="57"/>
        <v>16.466931043737166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1.1368683772161603E-13</v>
      </c>
      <c r="AJ113" s="14">
        <f>AI113*VLOOKUP('Données projet'!$B$10,Paramètres!$A$1:$I$89,3,0)*VLOOKUP('Données projet'!$B$10,Paramètres!$A$1:$I$89,5,0)</f>
        <v>6.7984728957526396E-14</v>
      </c>
      <c r="AK113" s="14">
        <f t="shared" si="89"/>
        <v>1.0682447123141398E-12</v>
      </c>
      <c r="AL113" s="22">
        <f t="shared" si="58"/>
        <v>1.978932943548152E-12</v>
      </c>
      <c r="AM113" s="62">
        <f t="shared" si="59"/>
        <v>279.96138895484785</v>
      </c>
      <c r="AN113" s="62">
        <f ca="1">AVERAGE(OFFSET($AM$3,0,0,'Données projet'!$E$10+1,1))-AVERAGE(OFFSET($H$3,0,0,'Données projet'!$E$10+1,1))</f>
        <v>189.09998601768521</v>
      </c>
      <c r="AO113" s="62">
        <f t="shared" si="90"/>
        <v>458.38901659119472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10.935154237145561</v>
      </c>
      <c r="AV113" s="23">
        <f>EXP(-LN(2)/25)*AV112+(1-EXP(-LN(2)/25))/(LN(2)/25)*Calculateur!AQ113*Calculateur!AS113*VLOOKUP('Données projet'!$B$10,Paramètres!$A$1:$I$89,3,0)*0.475*44/12</f>
        <v>4.7824581760249343</v>
      </c>
      <c r="AW113" s="23">
        <f>EXP(-LN(2)/2)*AW112+(1-EXP(-LN(2)/2))/(LN(2)/2)*AQ113*AT113*VLOOKUP('Données projet'!$B$10,Paramètres!$A$1:$I$89,3,0)*0.475*44/12</f>
        <v>3.9624305642890877E-11</v>
      </c>
      <c r="AX113" s="23">
        <f t="shared" si="60"/>
        <v>15.717612413210121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>
        <f>BD113*VLOOKUP('Données projet'!$B$11,Paramètres!$A$1:$I$89,3,0)*VLOOKUP('Données projet'!$B$11,Paramètres!$A$1:$I$89,5,0)</f>
        <v>0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387.37910791664007</v>
      </c>
      <c r="BJ113" s="62">
        <f t="shared" si="92"/>
        <v>311.37245656657353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2.7124433293714687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9.3210723842432599E-11</v>
      </c>
      <c r="BS113" s="24">
        <f t="shared" si="63"/>
        <v>2.7124433294646795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80.063676766746568</v>
      </c>
      <c r="T114" s="62">
        <f t="shared" si="88"/>
        <v>410.68113780291992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16.144024569805556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8.4135998963275725E-14</v>
      </c>
      <c r="AC114" s="24">
        <f t="shared" si="57"/>
        <v>16.144024569805641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1.1368683772161603E-13</v>
      </c>
      <c r="AJ114" s="14">
        <f>AI114*VLOOKUP('Données projet'!$B$10,Paramètres!$A$1:$I$89,3,0)*VLOOKUP('Données projet'!$B$10,Paramètres!$A$1:$I$89,5,0)</f>
        <v>6.7984728957526396E-14</v>
      </c>
      <c r="AK114" s="14">
        <f t="shared" si="89"/>
        <v>1.0682447123141398E-12</v>
      </c>
      <c r="AL114" s="22">
        <f t="shared" si="58"/>
        <v>1.978932943548152E-12</v>
      </c>
      <c r="AM114" s="62">
        <f t="shared" si="59"/>
        <v>280.19336229462556</v>
      </c>
      <c r="AN114" s="62">
        <f ca="1">AVERAGE(OFFSET($AM$3,0,0,'Données projet'!$E$10+1,1))-AVERAGE(OFFSET($H$3,0,0,'Données projet'!$E$10+1,1))</f>
        <v>189.09998601768521</v>
      </c>
      <c r="AO114" s="62">
        <f t="shared" si="90"/>
        <v>458.38901659119472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10.720722532340634</v>
      </c>
      <c r="AV114" s="23">
        <f>EXP(-LN(2)/25)*AV113+(1-EXP(-LN(2)/25))/(LN(2)/25)*Calculateur!AQ114*Calculateur!AS114*VLOOKUP('Données projet'!$B$10,Paramètres!$A$1:$I$89,3,0)*0.475*44/12</f>
        <v>4.6516816057029873</v>
      </c>
      <c r="AW114" s="23">
        <f>EXP(-LN(2)/2)*AW113+(1-EXP(-LN(2)/2))/(LN(2)/2)*AQ114*AT114*VLOOKUP('Données projet'!$B$10,Paramètres!$A$1:$I$89,3,0)*0.475*44/12</f>
        <v>2.801861521989652E-11</v>
      </c>
      <c r="AX114" s="23">
        <f t="shared" si="60"/>
        <v>15.372404138071639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>
        <f>BD114*VLOOKUP('Données projet'!$B$11,Paramètres!$A$1:$I$89,3,0)*VLOOKUP('Données projet'!$B$11,Paramètres!$A$1:$I$89,5,0)</f>
        <v>0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387.37910791664007</v>
      </c>
      <c r="BJ114" s="62">
        <f t="shared" si="92"/>
        <v>311.37245656657353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2.6592539701095639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6.5909934908290695E-11</v>
      </c>
      <c r="BS114" s="24">
        <f t="shared" si="63"/>
        <v>2.6592539701754738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80.063676766746568</v>
      </c>
      <c r="T115" s="62">
        <f t="shared" si="88"/>
        <v>410.68113780291992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15.827450094874358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5.9493135408836597E-14</v>
      </c>
      <c r="AC115" s="24">
        <f t="shared" si="57"/>
        <v>15.827450094874417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1.1368683772161603E-13</v>
      </c>
      <c r="AJ115" s="14">
        <f>AI115*VLOOKUP('Données projet'!$B$10,Paramètres!$A$1:$I$89,3,0)*VLOOKUP('Données projet'!$B$10,Paramètres!$A$1:$I$89,5,0)</f>
        <v>6.7984728957526396E-14</v>
      </c>
      <c r="AK115" s="14">
        <f t="shared" si="89"/>
        <v>1.0682447123141398E-12</v>
      </c>
      <c r="AL115" s="22">
        <f t="shared" si="58"/>
        <v>1.978932943548152E-12</v>
      </c>
      <c r="AM115" s="62">
        <f t="shared" si="59"/>
        <v>280.42131141557286</v>
      </c>
      <c r="AN115" s="62">
        <f ca="1">AVERAGE(OFFSET($AM$3,0,0,'Données projet'!$E$10+1,1))-AVERAGE(OFFSET($H$3,0,0,'Données projet'!$E$10+1,1))</f>
        <v>189.09998601768521</v>
      </c>
      <c r="AO115" s="62">
        <f t="shared" si="90"/>
        <v>458.38901659119472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10.510495702476506</v>
      </c>
      <c r="AV115" s="23">
        <f>EXP(-LN(2)/25)*AV114+(1-EXP(-LN(2)/25))/(LN(2)/25)*Calculateur!AQ115*Calculateur!AS115*VLOOKUP('Données projet'!$B$10,Paramètres!$A$1:$I$89,3,0)*0.475*44/12</f>
        <v>4.5244811275737353</v>
      </c>
      <c r="AW115" s="23">
        <f>EXP(-LN(2)/2)*AW114+(1-EXP(-LN(2)/2))/(LN(2)/2)*AQ115*AT115*VLOOKUP('Données projet'!$B$10,Paramètres!$A$1:$I$89,3,0)*0.475*44/12</f>
        <v>1.9812152821445439E-11</v>
      </c>
      <c r="AX115" s="23">
        <f t="shared" si="60"/>
        <v>15.034976830070052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>
        <f>BD115*VLOOKUP('Données projet'!$B$11,Paramètres!$A$1:$I$89,3,0)*VLOOKUP('Données projet'!$B$11,Paramètres!$A$1:$I$89,5,0)</f>
        <v>0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387.37910791664007</v>
      </c>
      <c r="BJ115" s="62">
        <f t="shared" si="92"/>
        <v>311.37245656657353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2.6071076217404796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4.66053619212163E-11</v>
      </c>
      <c r="BS115" s="24">
        <f t="shared" si="63"/>
        <v>2.607107621787085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80.063676766746568</v>
      </c>
      <c r="T116" s="62">
        <f t="shared" si="88"/>
        <v>410.68113780291992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15.517083452305197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4.2067999481637863E-14</v>
      </c>
      <c r="AC116" s="24">
        <f t="shared" si="57"/>
        <v>15.51708345230524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1.1368683772161603E-13</v>
      </c>
      <c r="AJ116" s="14">
        <f>AI116*VLOOKUP('Données projet'!$B$10,Paramètres!$A$1:$I$89,3,0)*VLOOKUP('Données projet'!$B$10,Paramètres!$A$1:$I$89,5,0)</f>
        <v>6.7984728957526396E-14</v>
      </c>
      <c r="AK116" s="14">
        <f t="shared" si="89"/>
        <v>1.0682447123141398E-12</v>
      </c>
      <c r="AL116" s="22">
        <f t="shared" si="58"/>
        <v>1.978932943548152E-12</v>
      </c>
      <c r="AM116" s="62">
        <f t="shared" si="59"/>
        <v>280.64530612888962</v>
      </c>
      <c r="AN116" s="62">
        <f ca="1">AVERAGE(OFFSET($AM$3,0,0,'Données projet'!$E$10+1,1))-AVERAGE(OFFSET($H$3,0,0,'Données projet'!$E$10+1,1))</f>
        <v>189.09998601768521</v>
      </c>
      <c r="AO116" s="62">
        <f t="shared" si="90"/>
        <v>458.38901659119472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10.304391292520309</v>
      </c>
      <c r="AV116" s="23">
        <f>EXP(-LN(2)/25)*AV115+(1-EXP(-LN(2)/25))/(LN(2)/25)*Calculateur!AQ116*Calculateur!AS116*VLOOKUP('Données projet'!$B$10,Paramètres!$A$1:$I$89,3,0)*0.475*44/12</f>
        <v>4.4007589532081095</v>
      </c>
      <c r="AW116" s="23">
        <f>EXP(-LN(2)/2)*AW115+(1-EXP(-LN(2)/2))/(LN(2)/2)*AQ116*AT116*VLOOKUP('Données projet'!$B$10,Paramètres!$A$1:$I$89,3,0)*0.475*44/12</f>
        <v>1.400930760994826E-11</v>
      </c>
      <c r="AX116" s="23">
        <f t="shared" si="60"/>
        <v>14.705150245742429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>
        <f>BD116*VLOOKUP('Données projet'!$B$11,Paramètres!$A$1:$I$89,3,0)*VLOOKUP('Données projet'!$B$11,Paramètres!$A$1:$I$89,5,0)</f>
        <v>0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387.37910791664007</v>
      </c>
      <c r="BJ116" s="62">
        <f t="shared" si="92"/>
        <v>311.37245656657353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2.5559838314567811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3.2954967454145348E-11</v>
      </c>
      <c r="BS116" s="24">
        <f t="shared" si="63"/>
        <v>2.5559838314897361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80.063676766746568</v>
      </c>
      <c r="T117" s="62">
        <f t="shared" si="88"/>
        <v>410.68113780291992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15.212802910291858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2.9746567704418298E-14</v>
      </c>
      <c r="AC117" s="24">
        <f t="shared" si="57"/>
        <v>15.212802910291888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1.1368683772161603E-13</v>
      </c>
      <c r="AJ117" s="14">
        <f>AI117*VLOOKUP('Données projet'!$B$10,Paramètres!$A$1:$I$89,3,0)*VLOOKUP('Données projet'!$B$10,Paramètres!$A$1:$I$89,5,0)</f>
        <v>6.7984728957526396E-14</v>
      </c>
      <c r="AK117" s="14">
        <f t="shared" si="89"/>
        <v>1.0682447123141398E-12</v>
      </c>
      <c r="AL117" s="22">
        <f t="shared" si="58"/>
        <v>1.978932943548152E-12</v>
      </c>
      <c r="AM117" s="62">
        <f t="shared" si="59"/>
        <v>280.86541503470744</v>
      </c>
      <c r="AN117" s="62">
        <f ca="1">AVERAGE(OFFSET($AM$3,0,0,'Données projet'!$E$10+1,1))-AVERAGE(OFFSET($H$3,0,0,'Données projet'!$E$10+1,1))</f>
        <v>189.09998601768521</v>
      </c>
      <c r="AO117" s="62">
        <f t="shared" si="90"/>
        <v>458.38901659119472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10.102328464332077</v>
      </c>
      <c r="AV117" s="23">
        <f>EXP(-LN(2)/25)*AV116+(1-EXP(-LN(2)/25))/(LN(2)/25)*Calculateur!AQ117*Calculateur!AS117*VLOOKUP('Données projet'!$B$10,Paramètres!$A$1:$I$89,3,0)*0.475*44/12</f>
        <v>4.2804199682067781</v>
      </c>
      <c r="AW117" s="23">
        <f>EXP(-LN(2)/2)*AW116+(1-EXP(-LN(2)/2))/(LN(2)/2)*AQ117*AT117*VLOOKUP('Données projet'!$B$10,Paramètres!$A$1:$I$89,3,0)*0.475*44/12</f>
        <v>9.9060764107227193E-12</v>
      </c>
      <c r="AX117" s="23">
        <f t="shared" si="60"/>
        <v>14.382748432548761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>
        <f>BD117*VLOOKUP('Données projet'!$B$11,Paramètres!$A$1:$I$89,3,0)*VLOOKUP('Données projet'!$B$11,Paramètres!$A$1:$I$89,5,0)</f>
        <v>0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387.37910791664007</v>
      </c>
      <c r="BJ117" s="62">
        <f t="shared" si="92"/>
        <v>311.37245656657353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2.5058625475181127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2.330268096060815E-11</v>
      </c>
      <c r="BS117" s="24">
        <f t="shared" si="63"/>
        <v>2.5058625475414154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80.063676766746568</v>
      </c>
      <c r="T118" s="62">
        <f t="shared" si="88"/>
        <v>410.68113780291992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14.914489124114596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2.1033999740818931E-14</v>
      </c>
      <c r="AC118" s="24">
        <f t="shared" si="57"/>
        <v>14.914489124114617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1.1368683772161603E-13</v>
      </c>
      <c r="AJ118" s="14">
        <f>AI118*VLOOKUP('Données projet'!$B$10,Paramètres!$A$1:$I$89,3,0)*VLOOKUP('Données projet'!$B$10,Paramètres!$A$1:$I$89,5,0)</f>
        <v>6.7984728957526396E-14</v>
      </c>
      <c r="AK118" s="14">
        <f t="shared" si="89"/>
        <v>1.0682447123141398E-12</v>
      </c>
      <c r="AL118" s="22">
        <f t="shared" si="58"/>
        <v>1.978932943548152E-12</v>
      </c>
      <c r="AM118" s="62">
        <f t="shared" si="59"/>
        <v>281.08170554309925</v>
      </c>
      <c r="AN118" s="62">
        <f ca="1">AVERAGE(OFFSET($AM$3,0,0,'Données projet'!$E$10+1,1))-AVERAGE(OFFSET($H$3,0,0,'Données projet'!$E$10+1,1))</f>
        <v>189.09998601768521</v>
      </c>
      <c r="AO118" s="62">
        <f t="shared" si="90"/>
        <v>458.38901659119472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9.9042279649584604</v>
      </c>
      <c r="AV118" s="23">
        <f>EXP(-LN(2)/25)*AV117+(1-EXP(-LN(2)/25))/(LN(2)/25)*Calculateur!AQ118*Calculateur!AS118*VLOOKUP('Données projet'!$B$10,Paramètres!$A$1:$I$89,3,0)*0.475*44/12</f>
        <v>4.1633716590786607</v>
      </c>
      <c r="AW118" s="23">
        <f>EXP(-LN(2)/2)*AW117+(1-EXP(-LN(2)/2))/(LN(2)/2)*AQ118*AT118*VLOOKUP('Données projet'!$B$10,Paramètres!$A$1:$I$89,3,0)*0.475*44/12</f>
        <v>7.0046538049741301E-12</v>
      </c>
      <c r="AX118" s="23">
        <f t="shared" si="60"/>
        <v>14.067599624044126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>
        <f>BD118*VLOOKUP('Données projet'!$B$11,Paramètres!$A$1:$I$89,3,0)*VLOOKUP('Données projet'!$B$11,Paramètres!$A$1:$I$89,5,0)</f>
        <v>0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387.37910791664007</v>
      </c>
      <c r="BJ118" s="62">
        <f t="shared" si="92"/>
        <v>311.37245656657353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2.4567241113865168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1.6477483727072674E-11</v>
      </c>
      <c r="BS118" s="24">
        <f t="shared" si="63"/>
        <v>2.4567241114029943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80.063676766746568</v>
      </c>
      <c r="T119" s="62">
        <f t="shared" si="88"/>
        <v>410.68113780291992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14.622025089330826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1.4873283852209149E-14</v>
      </c>
      <c r="AC119" s="24">
        <f t="shared" si="57"/>
        <v>14.62202508933084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1.1368683772161603E-13</v>
      </c>
      <c r="AJ119" s="14">
        <f>AI119*VLOOKUP('Données projet'!$B$10,Paramètres!$A$1:$I$89,3,0)*VLOOKUP('Données projet'!$B$10,Paramètres!$A$1:$I$89,5,0)</f>
        <v>6.7984728957526396E-14</v>
      </c>
      <c r="AK119" s="14">
        <f t="shared" si="89"/>
        <v>1.0682447123141398E-12</v>
      </c>
      <c r="AL119" s="22">
        <f t="shared" si="58"/>
        <v>1.978932943548152E-12</v>
      </c>
      <c r="AM119" s="62">
        <f t="shared" si="59"/>
        <v>281.29424389472348</v>
      </c>
      <c r="AN119" s="62">
        <f ca="1">AVERAGE(OFFSET($AM$3,0,0,'Données projet'!$E$10+1,1))-AVERAGE(OFFSET($H$3,0,0,'Données projet'!$E$10+1,1))</f>
        <v>189.09998601768521</v>
      </c>
      <c r="AO119" s="62">
        <f t="shared" si="90"/>
        <v>458.38901659119472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9.7100120955481852</v>
      </c>
      <c r="AV119" s="23">
        <f>EXP(-LN(2)/25)*AV118+(1-EXP(-LN(2)/25))/(LN(2)/25)*Calculateur!AQ119*Calculateur!AS119*VLOOKUP('Données projet'!$B$10,Paramètres!$A$1:$I$89,3,0)*0.475*44/12</f>
        <v>4.0495240421189544</v>
      </c>
      <c r="AW119" s="23">
        <f>EXP(-LN(2)/2)*AW118+(1-EXP(-LN(2)/2))/(LN(2)/2)*AQ119*AT119*VLOOKUP('Données projet'!$B$10,Paramètres!$A$1:$I$89,3,0)*0.475*44/12</f>
        <v>4.9530382053613597E-12</v>
      </c>
      <c r="AX119" s="23">
        <f t="shared" si="60"/>
        <v>13.759536137672093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>
        <f>BD119*VLOOKUP('Données projet'!$B$11,Paramètres!$A$1:$I$89,3,0)*VLOOKUP('Données projet'!$B$11,Paramètres!$A$1:$I$89,5,0)</f>
        <v>0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387.37910791664007</v>
      </c>
      <c r="BJ119" s="62">
        <f t="shared" si="92"/>
        <v>311.37245656657353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2.4085492500159753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1.1651340480304075E-11</v>
      </c>
      <c r="BS119" s="24">
        <f t="shared" si="63"/>
        <v>2.4085492500276264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80.063676766746568</v>
      </c>
      <c r="T120" s="62">
        <f t="shared" si="88"/>
        <v>410.68113780291992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14.335296095883718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1.0516999870409466E-14</v>
      </c>
      <c r="AC120" s="24">
        <f t="shared" si="57"/>
        <v>14.335296095883729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1.1368683772161603E-13</v>
      </c>
      <c r="AJ120" s="14">
        <f>AI120*VLOOKUP('Données projet'!$B$10,Paramètres!$A$1:$I$89,3,0)*VLOOKUP('Données projet'!$B$10,Paramètres!$A$1:$I$89,5,0)</f>
        <v>6.7984728957526396E-14</v>
      </c>
      <c r="AK120" s="14">
        <f t="shared" si="89"/>
        <v>1.0682447123141398E-12</v>
      </c>
      <c r="AL120" s="22">
        <f t="shared" si="58"/>
        <v>1.978932943548152E-12</v>
      </c>
      <c r="AM120" s="62">
        <f t="shared" si="59"/>
        <v>281.50309518111163</v>
      </c>
      <c r="AN120" s="62">
        <f ca="1">AVERAGE(OFFSET($AM$3,0,0,'Données projet'!$E$10+1,1))-AVERAGE(OFFSET($H$3,0,0,'Données projet'!$E$10+1,1))</f>
        <v>189.09998601768521</v>
      </c>
      <c r="AO120" s="62">
        <f t="shared" si="90"/>
        <v>458.38901659119472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9.5196046808770625</v>
      </c>
      <c r="AV120" s="23">
        <f>EXP(-LN(2)/25)*AV119+(1-EXP(-LN(2)/25))/(LN(2)/25)*Calculateur!AQ120*Calculateur!AS120*VLOOKUP('Données projet'!$B$10,Paramètres!$A$1:$I$89,3,0)*0.475*44/12</f>
        <v>3.9387895942319977</v>
      </c>
      <c r="AW120" s="23">
        <f>EXP(-LN(2)/2)*AW119+(1-EXP(-LN(2)/2))/(LN(2)/2)*AQ120*AT120*VLOOKUP('Données projet'!$B$10,Paramètres!$A$1:$I$89,3,0)*0.475*44/12</f>
        <v>3.502326902487065E-12</v>
      </c>
      <c r="AX120" s="23">
        <f t="shared" si="60"/>
        <v>13.458394275112564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>
        <f>BD120*VLOOKUP('Données projet'!$B$11,Paramètres!$A$1:$I$89,3,0)*VLOOKUP('Données projet'!$B$11,Paramètres!$A$1:$I$89,5,0)</f>
        <v>0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387.37910791664007</v>
      </c>
      <c r="BJ120" s="62">
        <f t="shared" si="92"/>
        <v>311.37245656657353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2.3613190682931458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8.2387418635363369E-12</v>
      </c>
      <c r="BS120" s="24">
        <f t="shared" si="63"/>
        <v>2.3613190683013845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80.063676766746568</v>
      </c>
      <c r="T121" s="62">
        <f t="shared" si="88"/>
        <v>410.68113780291992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14.054189683110692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7.4366419261045746E-15</v>
      </c>
      <c r="AC121" s="24">
        <f t="shared" si="57"/>
        <v>14.0541896831107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1.1368683772161603E-13</v>
      </c>
      <c r="AJ121" s="14">
        <f>AI121*VLOOKUP('Données projet'!$B$10,Paramètres!$A$1:$I$89,3,0)*VLOOKUP('Données projet'!$B$10,Paramètres!$A$1:$I$89,5,0)</f>
        <v>6.7984728957526396E-14</v>
      </c>
      <c r="AK121" s="14">
        <f t="shared" si="89"/>
        <v>1.0682447123141398E-12</v>
      </c>
      <c r="AL121" s="22">
        <f t="shared" si="58"/>
        <v>1.978932943548152E-12</v>
      </c>
      <c r="AM121" s="62">
        <f t="shared" si="59"/>
        <v>281.70832336460239</v>
      </c>
      <c r="AN121" s="62">
        <f ca="1">AVERAGE(OFFSET($AM$3,0,0,'Données projet'!$E$10+1,1))-AVERAGE(OFFSET($H$3,0,0,'Données projet'!$E$10+1,1))</f>
        <v>189.09998601768521</v>
      </c>
      <c r="AO121" s="62">
        <f t="shared" si="90"/>
        <v>458.38901659119472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9.3329310394705853</v>
      </c>
      <c r="AV121" s="23">
        <f>EXP(-LN(2)/25)*AV120+(1-EXP(-LN(2)/25))/(LN(2)/25)*Calculateur!AQ121*Calculateur!AS121*VLOOKUP('Données projet'!$B$10,Paramètres!$A$1:$I$89,3,0)*0.475*44/12</f>
        <v>3.831083185645781</v>
      </c>
      <c r="AW121" s="23">
        <f>EXP(-LN(2)/2)*AW120+(1-EXP(-LN(2)/2))/(LN(2)/2)*AQ121*AT121*VLOOKUP('Données projet'!$B$10,Paramètres!$A$1:$I$89,3,0)*0.475*44/12</f>
        <v>2.4765191026806798E-12</v>
      </c>
      <c r="AX121" s="23">
        <f t="shared" si="60"/>
        <v>13.164014225118843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>
        <f>BD121*VLOOKUP('Données projet'!$B$11,Paramètres!$A$1:$I$89,3,0)*VLOOKUP('Données projet'!$B$11,Paramètres!$A$1:$I$89,5,0)</f>
        <v>0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387.37910791664007</v>
      </c>
      <c r="BJ121" s="62">
        <f t="shared" si="92"/>
        <v>311.37245656657353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2.3150150416263346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5.8256702401520375E-12</v>
      </c>
      <c r="BS121" s="24">
        <f t="shared" si="63"/>
        <v>2.3150150416321602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80.063676766746568</v>
      </c>
      <c r="T122" s="62">
        <f t="shared" si="88"/>
        <v>410.68113780291992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13.778595595634163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5.2584999352047328E-15</v>
      </c>
      <c r="AC122" s="24">
        <f t="shared" si="57"/>
        <v>13.778595595634169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1.1368683772161603E-13</v>
      </c>
      <c r="AJ122" s="14">
        <f>AI122*VLOOKUP('Données projet'!$B$10,Paramètres!$A$1:$I$89,3,0)*VLOOKUP('Données projet'!$B$10,Paramètres!$A$1:$I$89,5,0)</f>
        <v>6.7984728957526396E-14</v>
      </c>
      <c r="AK122" s="14">
        <f t="shared" si="89"/>
        <v>1.0682447123141398E-12</v>
      </c>
      <c r="AL122" s="22">
        <f t="shared" si="58"/>
        <v>1.978932943548152E-12</v>
      </c>
      <c r="AM122" s="62">
        <f t="shared" si="59"/>
        <v>281.90999129793113</v>
      </c>
      <c r="AN122" s="62">
        <f ca="1">AVERAGE(OFFSET($AM$3,0,0,'Données projet'!$E$10+1,1))-AVERAGE(OFFSET($H$3,0,0,'Données projet'!$E$10+1,1))</f>
        <v>189.09998601768521</v>
      </c>
      <c r="AO122" s="62">
        <f t="shared" si="90"/>
        <v>458.38901659119472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9.1499179543124107</v>
      </c>
      <c r="AV122" s="23">
        <f>EXP(-LN(2)/25)*AV121+(1-EXP(-LN(2)/25))/(LN(2)/25)*Calculateur!AQ122*Calculateur!AS122*VLOOKUP('Données projet'!$B$10,Paramètres!$A$1:$I$89,3,0)*0.475*44/12</f>
        <v>3.7263220144663882</v>
      </c>
      <c r="AW122" s="23">
        <f>EXP(-LN(2)/2)*AW121+(1-EXP(-LN(2)/2))/(LN(2)/2)*AQ122*AT122*VLOOKUP('Données projet'!$B$10,Paramètres!$A$1:$I$89,3,0)*0.475*44/12</f>
        <v>1.7511634512435325E-12</v>
      </c>
      <c r="AX122" s="23">
        <f t="shared" si="60"/>
        <v>12.876239968780551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>
        <f>BD122*VLOOKUP('Données projet'!$B$11,Paramètres!$A$1:$I$89,3,0)*VLOOKUP('Données projet'!$B$11,Paramètres!$A$1:$I$89,5,0)</f>
        <v>0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387.37910791664007</v>
      </c>
      <c r="BJ122" s="62">
        <f t="shared" si="92"/>
        <v>311.37245656657353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2.269619008679792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4.1193709317681685E-12</v>
      </c>
      <c r="BS122" s="24">
        <f t="shared" si="63"/>
        <v>2.2696190086839114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80.063676766746568</v>
      </c>
      <c r="T123" s="62">
        <f t="shared" si="88"/>
        <v>410.68113780291992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13.508405740117254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3.7183209630522873E-15</v>
      </c>
      <c r="AC123" s="24">
        <f t="shared" si="57"/>
        <v>13.508405740117258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1.1368683772161603E-13</v>
      </c>
      <c r="AJ123" s="14">
        <f>AI123*VLOOKUP('Données projet'!$B$10,Paramètres!$A$1:$I$89,3,0)*VLOOKUP('Données projet'!$B$10,Paramètres!$A$1:$I$89,5,0)</f>
        <v>6.7984728957526396E-14</v>
      </c>
      <c r="AK123" s="14">
        <f t="shared" si="89"/>
        <v>1.0682447123141398E-12</v>
      </c>
      <c r="AL123" s="22">
        <f t="shared" si="58"/>
        <v>1.978932943548152E-12</v>
      </c>
      <c r="AM123" s="62">
        <f t="shared" si="59"/>
        <v>282.10816074347861</v>
      </c>
      <c r="AN123" s="62">
        <f ca="1">AVERAGE(OFFSET($AM$3,0,0,'Données projet'!$E$10+1,1))-AVERAGE(OFFSET($H$3,0,0,'Données projet'!$E$10+1,1))</f>
        <v>189.09998601768521</v>
      </c>
      <c r="AO123" s="62">
        <f t="shared" si="90"/>
        <v>458.38901659119472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8.9704936441272292</v>
      </c>
      <c r="AV123" s="23">
        <f>EXP(-LN(2)/25)*AV122+(1-EXP(-LN(2)/25))/(LN(2)/25)*Calculateur!AQ123*Calculateur!AS123*VLOOKUP('Données projet'!$B$10,Paramètres!$A$1:$I$89,3,0)*0.475*44/12</f>
        <v>3.6244255430220469</v>
      </c>
      <c r="AW123" s="23">
        <f>EXP(-LN(2)/2)*AW122+(1-EXP(-LN(2)/2))/(LN(2)/2)*AQ123*AT123*VLOOKUP('Données projet'!$B$10,Paramètres!$A$1:$I$89,3,0)*0.475*44/12</f>
        <v>1.2382595513403399E-12</v>
      </c>
      <c r="AX123" s="23">
        <f t="shared" si="60"/>
        <v>12.594919187150515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>
        <f>BD123*VLOOKUP('Données projet'!$B$11,Paramètres!$A$1:$I$89,3,0)*VLOOKUP('Données projet'!$B$11,Paramètres!$A$1:$I$89,5,0)</f>
        <v>0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387.37910791664007</v>
      </c>
      <c r="BJ123" s="62">
        <f t="shared" si="92"/>
        <v>311.37245656657353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2.2251131642504851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2.9128351200760187E-12</v>
      </c>
      <c r="BS123" s="24">
        <f t="shared" si="63"/>
        <v>2.2251131642533979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80.063676766746568</v>
      </c>
      <c r="T124" s="62">
        <f t="shared" si="88"/>
        <v>410.68113780291992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13.243514142867491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2.6292499676023664E-15</v>
      </c>
      <c r="AC124" s="24">
        <f t="shared" si="57"/>
        <v>13.243514142867493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1.1368683772161603E-13</v>
      </c>
      <c r="AJ124" s="14">
        <f>AI124*VLOOKUP('Données projet'!$B$10,Paramètres!$A$1:$I$89,3,0)*VLOOKUP('Données projet'!$B$10,Paramètres!$A$1:$I$89,5,0)</f>
        <v>6.7984728957526396E-14</v>
      </c>
      <c r="AK124" s="14">
        <f t="shared" si="89"/>
        <v>1.0682447123141398E-12</v>
      </c>
      <c r="AL124" s="22">
        <f t="shared" si="58"/>
        <v>1.978932943548152E-12</v>
      </c>
      <c r="AM124" s="62">
        <f t="shared" si="59"/>
        <v>282.30289239218638</v>
      </c>
      <c r="AN124" s="62">
        <f ca="1">AVERAGE(OFFSET($AM$3,0,0,'Données projet'!$E$10+1,1))-AVERAGE(OFFSET($H$3,0,0,'Données projet'!$E$10+1,1))</f>
        <v>189.09998601768521</v>
      </c>
      <c r="AO124" s="62">
        <f t="shared" si="90"/>
        <v>458.38901659119472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8.7945877352267559</v>
      </c>
      <c r="AV124" s="23">
        <f>EXP(-LN(2)/25)*AV123+(1-EXP(-LN(2)/25))/(LN(2)/25)*Calculateur!AQ124*Calculateur!AS124*VLOOKUP('Données projet'!$B$10,Paramètres!$A$1:$I$89,3,0)*0.475*44/12</f>
        <v>3.5253154359478533</v>
      </c>
      <c r="AW124" s="23">
        <f>EXP(-LN(2)/2)*AW123+(1-EXP(-LN(2)/2))/(LN(2)/2)*AQ124*AT124*VLOOKUP('Données projet'!$B$10,Paramètres!$A$1:$I$89,3,0)*0.475*44/12</f>
        <v>8.7558172562176626E-13</v>
      </c>
      <c r="AX124" s="23">
        <f t="shared" si="60"/>
        <v>12.319903171175485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>
        <f>BD124*VLOOKUP('Données projet'!$B$11,Paramètres!$A$1:$I$89,3,0)*VLOOKUP('Données projet'!$B$11,Paramètres!$A$1:$I$89,5,0)</f>
        <v>0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387.37910791664007</v>
      </c>
      <c r="BJ124" s="62">
        <f t="shared" si="92"/>
        <v>311.37245656657353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2.1814800522845523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2.0596854658840842E-12</v>
      </c>
      <c r="BS124" s="24">
        <f t="shared" si="63"/>
        <v>2.181480052286612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80.063676766746568</v>
      </c>
      <c r="T125" s="62">
        <f t="shared" si="88"/>
        <v>410.68113780291992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12.983816908271876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1.8591604815261437E-15</v>
      </c>
      <c r="AC125" s="24">
        <f t="shared" si="57"/>
        <v>12.983816908271878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1.1368683772161603E-13</v>
      </c>
      <c r="AJ125" s="14">
        <f>AI125*VLOOKUP('Données projet'!$B$10,Paramètres!$A$1:$I$89,3,0)*VLOOKUP('Données projet'!$B$10,Paramètres!$A$1:$I$89,5,0)</f>
        <v>6.7984728957526396E-14</v>
      </c>
      <c r="AK125" s="14">
        <f t="shared" si="89"/>
        <v>1.0682447123141398E-12</v>
      </c>
      <c r="AL125" s="22">
        <f t="shared" si="58"/>
        <v>1.978932943548152E-12</v>
      </c>
      <c r="AM125" s="62">
        <f t="shared" si="59"/>
        <v>282.49424588214379</v>
      </c>
      <c r="AN125" s="62">
        <f ca="1">AVERAGE(OFFSET($AM$3,0,0,'Données projet'!$E$10+1,1))-AVERAGE(OFFSET($H$3,0,0,'Données projet'!$E$10+1,1))</f>
        <v>189.09998601768521</v>
      </c>
      <c r="AO125" s="62">
        <f t="shared" si="90"/>
        <v>458.38901659119472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8.62213123390781</v>
      </c>
      <c r="AV125" s="23">
        <f>EXP(-LN(2)/25)*AV124+(1-EXP(-LN(2)/25))/(LN(2)/25)*Calculateur!AQ125*Calculateur!AS125*VLOOKUP('Données projet'!$B$10,Paramètres!$A$1:$I$89,3,0)*0.475*44/12</f>
        <v>3.4289154999635776</v>
      </c>
      <c r="AW125" s="23">
        <f>EXP(-LN(2)/2)*AW124+(1-EXP(-LN(2)/2))/(LN(2)/2)*AQ125*AT125*VLOOKUP('Données projet'!$B$10,Paramètres!$A$1:$I$89,3,0)*0.475*44/12</f>
        <v>6.1912977567016996E-13</v>
      </c>
      <c r="AX125" s="23">
        <f t="shared" si="60"/>
        <v>12.051046733872008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>
        <f>BD125*VLOOKUP('Données projet'!$B$11,Paramètres!$A$1:$I$89,3,0)*VLOOKUP('Données projet'!$B$11,Paramètres!$A$1:$I$89,5,0)</f>
        <v>0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387.37910791664007</v>
      </c>
      <c r="BJ125" s="62">
        <f t="shared" si="92"/>
        <v>311.37245656657353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2.1387025590307012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1.4564175600380094E-12</v>
      </c>
      <c r="BS125" s="24">
        <f t="shared" si="63"/>
        <v>2.1387025590321578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80.063676766746568</v>
      </c>
      <c r="T126" s="62">
        <f t="shared" si="88"/>
        <v>410.68113780291992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12.729212178047009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1.3146249838011832E-15</v>
      </c>
      <c r="AC126" s="24">
        <f t="shared" si="57"/>
        <v>12.72921217804701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1.1368683772161603E-13</v>
      </c>
      <c r="AJ126" s="14">
        <f>AI126*VLOOKUP('Données projet'!$B$10,Paramètres!$A$1:$I$89,3,0)*VLOOKUP('Données projet'!$B$10,Paramètres!$A$1:$I$89,5,0)</f>
        <v>6.7984728957526396E-14</v>
      </c>
      <c r="AK126" s="14">
        <f t="shared" si="89"/>
        <v>1.0682447123141398E-12</v>
      </c>
      <c r="AL126" s="22">
        <f t="shared" si="58"/>
        <v>1.978932943548152E-12</v>
      </c>
      <c r="AM126" s="62">
        <f t="shared" si="59"/>
        <v>282.68227981685266</v>
      </c>
      <c r="AN126" s="62">
        <f ca="1">AVERAGE(OFFSET($AM$3,0,0,'Données projet'!$E$10+1,1))-AVERAGE(OFFSET($H$3,0,0,'Données projet'!$E$10+1,1))</f>
        <v>189.09998601768521</v>
      </c>
      <c r="AO126" s="62">
        <f t="shared" si="90"/>
        <v>458.38901659119472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8.4530564993916499</v>
      </c>
      <c r="AV126" s="23">
        <f>EXP(-LN(2)/25)*AV125+(1-EXP(-LN(2)/25))/(LN(2)/25)*Calculateur!AQ126*Calculateur!AS126*VLOOKUP('Données projet'!$B$10,Paramètres!$A$1:$I$89,3,0)*0.475*44/12</f>
        <v>3.3351516252982445</v>
      </c>
      <c r="AW126" s="23">
        <f>EXP(-LN(2)/2)*AW125+(1-EXP(-LN(2)/2))/(LN(2)/2)*AQ126*AT126*VLOOKUP('Données projet'!$B$10,Paramètres!$A$1:$I$89,3,0)*0.475*44/12</f>
        <v>4.3779086281088313E-13</v>
      </c>
      <c r="AX126" s="23">
        <f t="shared" si="60"/>
        <v>11.788208124690332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>
        <f>BD126*VLOOKUP('Données projet'!$B$11,Paramètres!$A$1:$I$89,3,0)*VLOOKUP('Données projet'!$B$11,Paramètres!$A$1:$I$89,5,0)</f>
        <v>0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387.37910791664007</v>
      </c>
      <c r="BJ126" s="62">
        <f t="shared" si="92"/>
        <v>311.37245656657353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2.0967639063278636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1.0298427329420421E-12</v>
      </c>
      <c r="BS126" s="24">
        <f t="shared" si="63"/>
        <v>2.0967639063288934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80.063676766746568</v>
      </c>
      <c r="T127" s="62">
        <f t="shared" si="88"/>
        <v>410.68113780291992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12.479600091288299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9.2958024076307183E-16</v>
      </c>
      <c r="AC127" s="24">
        <f t="shared" si="57"/>
        <v>12.479600091288301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1.1368683772161603E-13</v>
      </c>
      <c r="AJ127" s="14">
        <f>AI127*VLOOKUP('Données projet'!$B$10,Paramètres!$A$1:$I$89,3,0)*VLOOKUP('Données projet'!$B$10,Paramètres!$A$1:$I$89,5,0)</f>
        <v>6.7984728957526396E-14</v>
      </c>
      <c r="AK127" s="14">
        <f t="shared" si="89"/>
        <v>1.0682447123141398E-12</v>
      </c>
      <c r="AL127" s="22">
        <f t="shared" si="58"/>
        <v>1.978932943548152E-12</v>
      </c>
      <c r="AM127" s="62">
        <f t="shared" si="59"/>
        <v>282.86705178317533</v>
      </c>
      <c r="AN127" s="62">
        <f ca="1">AVERAGE(OFFSET($AM$3,0,0,'Données projet'!$E$10+1,1))-AVERAGE(OFFSET($H$3,0,0,'Données projet'!$E$10+1,1))</f>
        <v>189.09998601768521</v>
      </c>
      <c r="AO127" s="62">
        <f t="shared" si="90"/>
        <v>458.38901659119472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8.2872972172939452</v>
      </c>
      <c r="AV127" s="23">
        <f>EXP(-LN(2)/25)*AV126+(1-EXP(-LN(2)/25))/(LN(2)/25)*Calculateur!AQ127*Calculateur!AS127*VLOOKUP('Données projet'!$B$10,Paramètres!$A$1:$I$89,3,0)*0.475*44/12</f>
        <v>3.2439517287164628</v>
      </c>
      <c r="AW127" s="23">
        <f>EXP(-LN(2)/2)*AW126+(1-EXP(-LN(2)/2))/(LN(2)/2)*AQ127*AT127*VLOOKUP('Données projet'!$B$10,Paramètres!$A$1:$I$89,3,0)*0.475*44/12</f>
        <v>3.0956488783508498E-13</v>
      </c>
      <c r="AX127" s="23">
        <f t="shared" si="60"/>
        <v>11.531248946010717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>
        <f>BD127*VLOOKUP('Données projet'!$B$11,Paramètres!$A$1:$I$89,3,0)*VLOOKUP('Données projet'!$B$11,Paramètres!$A$1:$I$89,5,0)</f>
        <v>0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387.37910791664007</v>
      </c>
      <c r="BJ127" s="62">
        <f t="shared" si="92"/>
        <v>311.37245656657353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2.0556476450244761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7.2820878001900468E-13</v>
      </c>
      <c r="BS127" s="24">
        <f t="shared" si="63"/>
        <v>2.0556476450252044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80.063676766746568</v>
      </c>
      <c r="T128" s="62">
        <f t="shared" si="88"/>
        <v>410.68113780291992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12.234882745302588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6.573124919005916E-16</v>
      </c>
      <c r="AC128" s="24">
        <f t="shared" si="57"/>
        <v>12.234882745302588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1.1368683772161603E-13</v>
      </c>
      <c r="AJ128" s="14">
        <f>AI128*VLOOKUP('Données projet'!$B$10,Paramètres!$A$1:$I$89,3,0)*VLOOKUP('Données projet'!$B$10,Paramètres!$A$1:$I$89,5,0)</f>
        <v>6.7984728957526396E-14</v>
      </c>
      <c r="AK128" s="14">
        <f t="shared" si="89"/>
        <v>1.0682447123141398E-12</v>
      </c>
      <c r="AL128" s="22">
        <f t="shared" si="58"/>
        <v>1.978932943548152E-12</v>
      </c>
      <c r="AM128" s="62">
        <f t="shared" si="59"/>
        <v>283.04861836897049</v>
      </c>
      <c r="AN128" s="62">
        <f ca="1">AVERAGE(OFFSET($AM$3,0,0,'Données projet'!$E$10+1,1))-AVERAGE(OFFSET($H$3,0,0,'Données projet'!$E$10+1,1))</f>
        <v>189.09998601768521</v>
      </c>
      <c r="AO128" s="62">
        <f t="shared" si="90"/>
        <v>458.38901659119472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8.1247883736149973</v>
      </c>
      <c r="AV128" s="23">
        <f>EXP(-LN(2)/25)*AV127+(1-EXP(-LN(2)/25))/(LN(2)/25)*Calculateur!AQ128*Calculateur!AS128*VLOOKUP('Données projet'!$B$10,Paramètres!$A$1:$I$89,3,0)*0.475*44/12</f>
        <v>3.1552456981027039</v>
      </c>
      <c r="AW128" s="23">
        <f>EXP(-LN(2)/2)*AW127+(1-EXP(-LN(2)/2))/(LN(2)/2)*AQ128*AT128*VLOOKUP('Données projet'!$B$10,Paramètres!$A$1:$I$89,3,0)*0.475*44/12</f>
        <v>2.1889543140544156E-13</v>
      </c>
      <c r="AX128" s="23">
        <f t="shared" si="60"/>
        <v>11.280034071717919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>
        <f>BD128*VLOOKUP('Données projet'!$B$11,Paramètres!$A$1:$I$89,3,0)*VLOOKUP('Données projet'!$B$11,Paramètres!$A$1:$I$89,5,0)</f>
        <v>0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387.37910791664007</v>
      </c>
      <c r="BJ128" s="62">
        <f t="shared" si="92"/>
        <v>311.37245656657353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2.0153376485268049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5.1492136647102106E-13</v>
      </c>
      <c r="BS128" s="24">
        <f t="shared" si="63"/>
        <v>2.0153376485273196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80.063676766746568</v>
      </c>
      <c r="T129" s="62">
        <f t="shared" si="88"/>
        <v>410.68113780291992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11.994964157208814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4.6479012038153591E-16</v>
      </c>
      <c r="AC129" s="24">
        <f t="shared" si="57"/>
        <v>11.994964157208814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1.1368683772161603E-13</v>
      </c>
      <c r="AJ129" s="14">
        <f>AI129*VLOOKUP('Données projet'!$B$10,Paramètres!$A$1:$I$89,3,0)*VLOOKUP('Données projet'!$B$10,Paramètres!$A$1:$I$89,5,0)</f>
        <v>6.7984728957526396E-14</v>
      </c>
      <c r="AK129" s="14">
        <f t="shared" si="89"/>
        <v>1.0682447123141398E-12</v>
      </c>
      <c r="AL129" s="22">
        <f t="shared" si="58"/>
        <v>1.978932943548152E-12</v>
      </c>
      <c r="AM129" s="62">
        <f t="shared" si="59"/>
        <v>283.2270351804242</v>
      </c>
      <c r="AN129" s="62">
        <f ca="1">AVERAGE(OFFSET($AM$3,0,0,'Données projet'!$E$10+1,1))-AVERAGE(OFFSET($H$3,0,0,'Données projet'!$E$10+1,1))</f>
        <v>189.09998601768521</v>
      </c>
      <c r="AO129" s="62">
        <f t="shared" si="90"/>
        <v>458.38901659119472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7.9654662292399872</v>
      </c>
      <c r="AV129" s="23">
        <f>EXP(-LN(2)/25)*AV128+(1-EXP(-LN(2)/25))/(LN(2)/25)*Calculateur!AQ129*Calculateur!AS129*VLOOKUP('Données projet'!$B$10,Paramètres!$A$1:$I$89,3,0)*0.475*44/12</f>
        <v>3.0689653385609255</v>
      </c>
      <c r="AW129" s="23">
        <f>EXP(-LN(2)/2)*AW128+(1-EXP(-LN(2)/2))/(LN(2)/2)*AQ129*AT129*VLOOKUP('Données projet'!$B$10,Paramètres!$A$1:$I$89,3,0)*0.475*44/12</f>
        <v>1.5478244391754249E-13</v>
      </c>
      <c r="AX129" s="23">
        <f t="shared" si="60"/>
        <v>11.034431567801066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>
        <f>BD129*VLOOKUP('Données projet'!$B$11,Paramètres!$A$1:$I$89,3,0)*VLOOKUP('Données projet'!$B$11,Paramètres!$A$1:$I$89,5,0)</f>
        <v>0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387.37910791664007</v>
      </c>
      <c r="BJ129" s="62">
        <f t="shared" si="92"/>
        <v>311.37245656657353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1.975818106473783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3.6410439000950234E-13</v>
      </c>
      <c r="BS129" s="24">
        <f t="shared" si="63"/>
        <v>1.9758181064741471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80.063676766746568</v>
      </c>
      <c r="T130" s="62">
        <f t="shared" si="88"/>
        <v>410.68113780291992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11.75975022629167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3.286562459502958E-16</v>
      </c>
      <c r="AC130" s="24">
        <f t="shared" si="57"/>
        <v>11.75975022629167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1.1368683772161603E-13</v>
      </c>
      <c r="AJ130" s="14">
        <f>AI130*VLOOKUP('Données projet'!$B$10,Paramètres!$A$1:$I$89,3,0)*VLOOKUP('Données projet'!$B$10,Paramètres!$A$1:$I$89,5,0)</f>
        <v>6.7984728957526396E-14</v>
      </c>
      <c r="AK130" s="14">
        <f t="shared" si="89"/>
        <v>1.0682447123141398E-12</v>
      </c>
      <c r="AL130" s="22">
        <f t="shared" si="58"/>
        <v>1.978932943548152E-12</v>
      </c>
      <c r="AM130" s="62">
        <f t="shared" si="59"/>
        <v>283.40235685907942</v>
      </c>
      <c r="AN130" s="62">
        <f ca="1">AVERAGE(OFFSET($AM$3,0,0,'Données projet'!$E$10+1,1))-AVERAGE(OFFSET($H$3,0,0,'Données projet'!$E$10+1,1))</f>
        <v>189.09998601768521</v>
      </c>
      <c r="AO130" s="62">
        <f t="shared" si="90"/>
        <v>458.38901659119472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7.8092682949392582</v>
      </c>
      <c r="AV130" s="23">
        <f>EXP(-LN(2)/25)*AV129+(1-EXP(-LN(2)/25))/(LN(2)/25)*Calculateur!AQ130*Calculateur!AS130*VLOOKUP('Données projet'!$B$10,Paramètres!$A$1:$I$89,3,0)*0.475*44/12</f>
        <v>2.9850443199881038</v>
      </c>
      <c r="AW130" s="23">
        <f>EXP(-LN(2)/2)*AW129+(1-EXP(-LN(2)/2))/(LN(2)/2)*AQ130*AT130*VLOOKUP('Données projet'!$B$10,Paramètres!$A$1:$I$89,3,0)*0.475*44/12</f>
        <v>1.0944771570272078E-13</v>
      </c>
      <c r="AX130" s="23">
        <f t="shared" si="60"/>
        <v>10.794312614927472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>
        <f>BD130*VLOOKUP('Données projet'!$B$11,Paramètres!$A$1:$I$89,3,0)*VLOOKUP('Données projet'!$B$11,Paramètres!$A$1:$I$89,5,0)</f>
        <v>0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387.37910791664007</v>
      </c>
      <c r="BJ130" s="62">
        <f t="shared" si="92"/>
        <v>311.37245656657353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1.9370735185358803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2.5746068323551053E-13</v>
      </c>
      <c r="BS130" s="24">
        <f t="shared" si="63"/>
        <v>1.9370735185361379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80.063676766746568</v>
      </c>
      <c r="T131" s="62">
        <f t="shared" si="88"/>
        <v>410.68113780291992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11.529148697093479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2.3239506019076796E-16</v>
      </c>
      <c r="AC131" s="24">
        <f t="shared" si="57"/>
        <v>11.529148697093479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1.1368683772161603E-13</v>
      </c>
      <c r="AJ131" s="14">
        <f>AI131*VLOOKUP('Données projet'!$B$10,Paramètres!$A$1:$I$89,3,0)*VLOOKUP('Données projet'!$B$10,Paramètres!$A$1:$I$89,5,0)</f>
        <v>6.7984728957526396E-14</v>
      </c>
      <c r="AK131" s="14">
        <f t="shared" si="89"/>
        <v>1.0682447123141398E-12</v>
      </c>
      <c r="AL131" s="22">
        <f t="shared" si="58"/>
        <v>1.978932943548152E-12</v>
      </c>
      <c r="AM131" s="62">
        <f t="shared" si="59"/>
        <v>283.57463709857052</v>
      </c>
      <c r="AN131" s="62">
        <f ca="1">AVERAGE(OFFSET($AM$3,0,0,'Données projet'!$E$10+1,1))-AVERAGE(OFFSET($H$3,0,0,'Données projet'!$E$10+1,1))</f>
        <v>189.09998601768521</v>
      </c>
      <c r="AO131" s="62">
        <f t="shared" si="90"/>
        <v>458.38901659119472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7.656133306858834</v>
      </c>
      <c r="AV131" s="23">
        <f>EXP(-LN(2)/25)*AV130+(1-EXP(-LN(2)/25))/(LN(2)/25)*Calculateur!AQ131*Calculateur!AS131*VLOOKUP('Données projet'!$B$10,Paramètres!$A$1:$I$89,3,0)*0.475*44/12</f>
        <v>2.903418126081371</v>
      </c>
      <c r="AW131" s="23">
        <f>EXP(-LN(2)/2)*AW130+(1-EXP(-LN(2)/2))/(LN(2)/2)*AQ131*AT131*VLOOKUP('Données projet'!$B$10,Paramètres!$A$1:$I$89,3,0)*0.475*44/12</f>
        <v>7.7391221958771245E-14</v>
      </c>
      <c r="AX131" s="23">
        <f t="shared" si="60"/>
        <v>10.559551432940284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>
        <f>BD131*VLOOKUP('Données projet'!$B$11,Paramètres!$A$1:$I$89,3,0)*VLOOKUP('Données projet'!$B$11,Paramètres!$A$1:$I$89,5,0)</f>
        <v>0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387.37910791664007</v>
      </c>
      <c r="BJ131" s="62">
        <f t="shared" si="92"/>
        <v>311.37245656657353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1.8990886883355746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1.8205219500475117E-13</v>
      </c>
      <c r="BS131" s="24">
        <f t="shared" si="63"/>
        <v>1.8990886883357567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80.063676766746568</v>
      </c>
      <c r="T132" s="62">
        <f t="shared" si="88"/>
        <v>410.68113780291992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11.30306912322982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1.643281229751479E-16</v>
      </c>
      <c r="AC132" s="24">
        <f t="shared" ref="AC132:AC153" si="111">SUM(Z132:AB132)</f>
        <v>11.30306912322982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1.1368683772161603E-13</v>
      </c>
      <c r="AJ132" s="14">
        <f>AI132*VLOOKUP('Données projet'!$B$10,Paramètres!$A$1:$I$89,3,0)*VLOOKUP('Données projet'!$B$10,Paramètres!$A$1:$I$89,5,0)</f>
        <v>6.7984728957526396E-14</v>
      </c>
      <c r="AK132" s="14">
        <f t="shared" si="89"/>
        <v>1.0682447123141398E-12</v>
      </c>
      <c r="AL132" s="22">
        <f t="shared" ref="AL132:AL153" si="112">(AJ132+AK132)*0.475*44/12</f>
        <v>1.978932943548152E-12</v>
      </c>
      <c r="AM132" s="62">
        <f t="shared" ref="AM132:AM195" si="113">AL132+(AD132+AE132)*44/12</f>
        <v>283.74392866106734</v>
      </c>
      <c r="AN132" s="62">
        <f ca="1">AVERAGE(OFFSET($AM$3,0,0,'Données projet'!$E$10+1,1))-AVERAGE(OFFSET($H$3,0,0,'Données projet'!$E$10+1,1))</f>
        <v>189.09998601768521</v>
      </c>
      <c r="AO132" s="62">
        <f t="shared" si="90"/>
        <v>458.38901659119472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7.5060012024915466</v>
      </c>
      <c r="AV132" s="23">
        <f>EXP(-LN(2)/25)*AV131+(1-EXP(-LN(2)/25))/(LN(2)/25)*Calculateur!AQ132*Calculateur!AS132*VLOOKUP('Données projet'!$B$10,Paramètres!$A$1:$I$89,3,0)*0.475*44/12</f>
        <v>2.8240240047395524</v>
      </c>
      <c r="AW132" s="23">
        <f>EXP(-LN(2)/2)*AW131+(1-EXP(-LN(2)/2))/(LN(2)/2)*AQ132*AT132*VLOOKUP('Données projet'!$B$10,Paramètres!$A$1:$I$89,3,0)*0.475*44/12</f>
        <v>5.4723857851360391E-14</v>
      </c>
      <c r="AX132" s="23">
        <f t="shared" ref="AX132:AX153" si="114">SUM(AU132:AW132)</f>
        <v>10.330025207231154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>
        <f>BD132*VLOOKUP('Données projet'!$B$11,Paramètres!$A$1:$I$89,3,0)*VLOOKUP('Données projet'!$B$11,Paramètres!$A$1:$I$89,5,0)</f>
        <v>0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387.37910791664007</v>
      </c>
      <c r="BJ132" s="62">
        <f t="shared" si="92"/>
        <v>311.37245656657353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1.8618487174870384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1.2873034161775526E-13</v>
      </c>
      <c r="BS132" s="24">
        <f t="shared" ref="BS132:BS153" si="117">SUM(BP132:BR132)</f>
        <v>1.8618487174871672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80.063676766746568</v>
      </c>
      <c r="T133" s="62">
        <f t="shared" ref="T133:T196" si="142">$T$3</f>
        <v>410.68113780291992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11.081422831914704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1.1619753009538398E-16</v>
      </c>
      <c r="AC133" s="24">
        <f t="shared" si="111"/>
        <v>11.081422831914704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1.1368683772161603E-13</v>
      </c>
      <c r="AJ133" s="14">
        <f>AI133*VLOOKUP('Données projet'!$B$10,Paramètres!$A$1:$I$89,3,0)*VLOOKUP('Données projet'!$B$10,Paramètres!$A$1:$I$89,5,0)</f>
        <v>6.7984728957526396E-14</v>
      </c>
      <c r="AK133" s="14">
        <f t="shared" ref="AK133:AK153" si="143">EXP(-1.0587+0.8836*LN(AJ133)+0.284)</f>
        <v>1.0682447123141398E-12</v>
      </c>
      <c r="AL133" s="22">
        <f t="shared" si="112"/>
        <v>1.978932943548152E-12</v>
      </c>
      <c r="AM133" s="62">
        <f t="shared" si="113"/>
        <v>283.9102833934341</v>
      </c>
      <c r="AN133" s="62">
        <f ca="1">AVERAGE(OFFSET($AM$3,0,0,'Données projet'!$E$10+1,1))-AVERAGE(OFFSET($H$3,0,0,'Données projet'!$E$10+1,1))</f>
        <v>189.09998601768521</v>
      </c>
      <c r="AO133" s="62">
        <f t="shared" ref="AO133:AO196" si="144">$AO$3</f>
        <v>458.38901659119472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7.3588130971193602</v>
      </c>
      <c r="AV133" s="23">
        <f>EXP(-LN(2)/25)*AV132+(1-EXP(-LN(2)/25))/(LN(2)/25)*Calculateur!AQ133*Calculateur!AS133*VLOOKUP('Données projet'!$B$10,Paramètres!$A$1:$I$89,3,0)*0.475*44/12</f>
        <v>2.7468009198209815</v>
      </c>
      <c r="AW133" s="23">
        <f>EXP(-LN(2)/2)*AW132+(1-EXP(-LN(2)/2))/(LN(2)/2)*AQ133*AT133*VLOOKUP('Données projet'!$B$10,Paramètres!$A$1:$I$89,3,0)*0.475*44/12</f>
        <v>3.8695610979385622E-14</v>
      </c>
      <c r="AX133" s="23">
        <f t="shared" si="114"/>
        <v>10.105614016940381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>
        <f>BD133*VLOOKUP('Données projet'!$B$11,Paramètres!$A$1:$I$89,3,0)*VLOOKUP('Données projet'!$B$11,Paramètres!$A$1:$I$89,5,0)</f>
        <v>0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387.37910791664007</v>
      </c>
      <c r="BJ133" s="62">
        <f t="shared" ref="BJ133:BJ196" si="146">$BJ$3</f>
        <v>311.37245656657353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1.8253389997527025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9.1026097502375585E-14</v>
      </c>
      <c r="BS133" s="24">
        <f t="shared" si="117"/>
        <v>1.8253389997527936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80.063676766746568</v>
      </c>
      <c r="T134" s="62">
        <f t="shared" si="142"/>
        <v>410.68113780291992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10.864122889181388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8.2164061487573951E-17</v>
      </c>
      <c r="AC134" s="24">
        <f t="shared" si="111"/>
        <v>10.864122889181388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1.1368683772161603E-13</v>
      </c>
      <c r="AJ134" s="14">
        <f>AI134*VLOOKUP('Données projet'!$B$10,Paramètres!$A$1:$I$89,3,0)*VLOOKUP('Données projet'!$B$10,Paramètres!$A$1:$I$89,5,0)</f>
        <v>6.7984728957526396E-14</v>
      </c>
      <c r="AK134" s="14">
        <f t="shared" si="143"/>
        <v>1.0682447123141398E-12</v>
      </c>
      <c r="AL134" s="22">
        <f t="shared" si="112"/>
        <v>1.978932943548152E-12</v>
      </c>
      <c r="AM134" s="62">
        <f t="shared" si="113"/>
        <v>284.07375224310772</v>
      </c>
      <c r="AN134" s="62">
        <f ca="1">AVERAGE(OFFSET($AM$3,0,0,'Données projet'!$E$10+1,1))-AVERAGE(OFFSET($H$3,0,0,'Données projet'!$E$10+1,1))</f>
        <v>189.09998601768521</v>
      </c>
      <c r="AO134" s="62">
        <f t="shared" si="144"/>
        <v>458.38901659119472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7.2145112607176429</v>
      </c>
      <c r="AV134" s="23">
        <f>EXP(-LN(2)/25)*AV133+(1-EXP(-LN(2)/25))/(LN(2)/25)*Calculateur!AQ134*Calculateur!AS134*VLOOKUP('Données projet'!$B$10,Paramètres!$A$1:$I$89,3,0)*0.475*44/12</f>
        <v>2.6716895042204944</v>
      </c>
      <c r="AW134" s="23">
        <f>EXP(-LN(2)/2)*AW133+(1-EXP(-LN(2)/2))/(LN(2)/2)*AQ134*AT134*VLOOKUP('Données projet'!$B$10,Paramètres!$A$1:$I$89,3,0)*0.475*44/12</f>
        <v>2.7361928925680196E-14</v>
      </c>
      <c r="AX134" s="23">
        <f t="shared" si="114"/>
        <v>9.8862007649381649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>
        <f>BD134*VLOOKUP('Données projet'!$B$11,Paramètres!$A$1:$I$89,3,0)*VLOOKUP('Données projet'!$B$11,Paramètres!$A$1:$I$89,5,0)</f>
        <v>0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387.37910791664007</v>
      </c>
      <c r="BJ134" s="62">
        <f t="shared" si="146"/>
        <v>311.37245656657353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1.789545215314408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6.4365170808877632E-14</v>
      </c>
      <c r="BS134" s="24">
        <f t="shared" si="117"/>
        <v>1.7895452153144724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80.063676766746568</v>
      </c>
      <c r="T135" s="62">
        <f t="shared" si="142"/>
        <v>410.68113780291992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10.651084065785195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5.8098765047691989E-17</v>
      </c>
      <c r="AC135" s="24">
        <f t="shared" si="111"/>
        <v>10.651084065785195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1.1368683772161603E-13</v>
      </c>
      <c r="AJ135" s="14">
        <f>AI135*VLOOKUP('Données projet'!$B$10,Paramètres!$A$1:$I$89,3,0)*VLOOKUP('Données projet'!$B$10,Paramètres!$A$1:$I$89,5,0)</f>
        <v>6.7984728957526396E-14</v>
      </c>
      <c r="AK135" s="14">
        <f t="shared" si="143"/>
        <v>1.0682447123141398E-12</v>
      </c>
      <c r="AL135" s="22">
        <f t="shared" si="112"/>
        <v>1.978932943548152E-12</v>
      </c>
      <c r="AM135" s="62">
        <f t="shared" si="113"/>
        <v>284.23438527370115</v>
      </c>
      <c r="AN135" s="62">
        <f ca="1">AVERAGE(OFFSET($AM$3,0,0,'Données projet'!$E$10+1,1))-AVERAGE(OFFSET($H$3,0,0,'Données projet'!$E$10+1,1))</f>
        <v>189.09998601768521</v>
      </c>
      <c r="AO135" s="62">
        <f t="shared" si="144"/>
        <v>458.38901659119472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7.0730390953123337</v>
      </c>
      <c r="AV135" s="23">
        <f>EXP(-LN(2)/25)*AV134+(1-EXP(-LN(2)/25))/(LN(2)/25)*Calculateur!AQ135*Calculateur!AS135*VLOOKUP('Données projet'!$B$10,Paramètres!$A$1:$I$89,3,0)*0.475*44/12</f>
        <v>2.59863201422954</v>
      </c>
      <c r="AW135" s="23">
        <f>EXP(-LN(2)/2)*AW134+(1-EXP(-LN(2)/2))/(LN(2)/2)*AQ135*AT135*VLOOKUP('Données projet'!$B$10,Paramètres!$A$1:$I$89,3,0)*0.475*44/12</f>
        <v>1.9347805489692811E-14</v>
      </c>
      <c r="AX135" s="23">
        <f t="shared" si="114"/>
        <v>9.6716711095418937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>
        <f>BD135*VLOOKUP('Données projet'!$B$11,Paramètres!$A$1:$I$89,3,0)*VLOOKUP('Données projet'!$B$11,Paramètres!$A$1:$I$89,5,0)</f>
        <v>0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387.37910791664007</v>
      </c>
      <c r="BJ135" s="62">
        <f t="shared" si="146"/>
        <v>311.37245656657353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1.7544533251568957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4.5513048751187793E-14</v>
      </c>
      <c r="BS135" s="24">
        <f t="shared" si="117"/>
        <v>1.7544533251569412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80.063676766746568</v>
      </c>
      <c r="T136" s="62">
        <f t="shared" si="142"/>
        <v>410.68113780291992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10.44222280377495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4.1082030743786975E-17</v>
      </c>
      <c r="AC136" s="24">
        <f t="shared" si="111"/>
        <v>10.44222280377495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1.1368683772161603E-13</v>
      </c>
      <c r="AJ136" s="14">
        <f>AI136*VLOOKUP('Données projet'!$B$10,Paramètres!$A$1:$I$89,3,0)*VLOOKUP('Données projet'!$B$10,Paramètres!$A$1:$I$89,5,0)</f>
        <v>6.7984728957526396E-14</v>
      </c>
      <c r="AK136" s="14">
        <f t="shared" si="143"/>
        <v>1.0682447123141398E-12</v>
      </c>
      <c r="AL136" s="22">
        <f t="shared" si="112"/>
        <v>1.978932943548152E-12</v>
      </c>
      <c r="AM136" s="62">
        <f t="shared" si="113"/>
        <v>284.39223168033539</v>
      </c>
      <c r="AN136" s="62">
        <f ca="1">AVERAGE(OFFSET($AM$3,0,0,'Données projet'!$E$10+1,1))-AVERAGE(OFFSET($H$3,0,0,'Données projet'!$E$10+1,1))</f>
        <v>189.09998601768521</v>
      </c>
      <c r="AO136" s="62">
        <f t="shared" si="144"/>
        <v>458.38901659119472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6.9343411127811221</v>
      </c>
      <c r="AV136" s="23">
        <f>EXP(-LN(2)/25)*AV135+(1-EXP(-LN(2)/25))/(LN(2)/25)*Calculateur!AQ136*Calculateur!AS136*VLOOKUP('Données projet'!$B$10,Paramètres!$A$1:$I$89,3,0)*0.475*44/12</f>
        <v>2.527572285144315</v>
      </c>
      <c r="AW136" s="23">
        <f>EXP(-LN(2)/2)*AW135+(1-EXP(-LN(2)/2))/(LN(2)/2)*AQ136*AT136*VLOOKUP('Données projet'!$B$10,Paramètres!$A$1:$I$89,3,0)*0.475*44/12</f>
        <v>1.3680964462840098E-14</v>
      </c>
      <c r="AX136" s="23">
        <f t="shared" si="114"/>
        <v>9.4619133979254517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>
        <f>BD136*VLOOKUP('Données projet'!$B$11,Paramètres!$A$1:$I$89,3,0)*VLOOKUP('Données projet'!$B$11,Paramètres!$A$1:$I$89,5,0)</f>
        <v>0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387.37910791664007</v>
      </c>
      <c r="BJ136" s="62">
        <f t="shared" si="146"/>
        <v>311.37245656657353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1.7200495655614325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3.2182585404438816E-14</v>
      </c>
      <c r="BS136" s="24">
        <f t="shared" si="117"/>
        <v>1.7200495655614647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80.063676766746568</v>
      </c>
      <c r="T137" s="62">
        <f t="shared" si="142"/>
        <v>410.68113780291992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10.237457183719934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2.9049382523845995E-17</v>
      </c>
      <c r="AC137" s="24">
        <f t="shared" si="111"/>
        <v>10.237457183719934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1.1368683772161603E-13</v>
      </c>
      <c r="AJ137" s="14">
        <f>AI137*VLOOKUP('Données projet'!$B$10,Paramètres!$A$1:$I$89,3,0)*VLOOKUP('Données projet'!$B$10,Paramètres!$A$1:$I$89,5,0)</f>
        <v>6.7984728957526396E-14</v>
      </c>
      <c r="AK137" s="14">
        <f t="shared" si="143"/>
        <v>1.0682447123141398E-12</v>
      </c>
      <c r="AL137" s="22">
        <f t="shared" si="112"/>
        <v>1.978932943548152E-12</v>
      </c>
      <c r="AM137" s="62">
        <f t="shared" si="113"/>
        <v>284.54733980470627</v>
      </c>
      <c r="AN137" s="62">
        <f ca="1">AVERAGE(OFFSET($AM$3,0,0,'Données projet'!$E$10+1,1))-AVERAGE(OFFSET($H$3,0,0,'Données projet'!$E$10+1,1))</f>
        <v>189.09998601768521</v>
      </c>
      <c r="AO137" s="62">
        <f t="shared" si="144"/>
        <v>458.38901659119472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6.7983629130899317</v>
      </c>
      <c r="AV137" s="23">
        <f>EXP(-LN(2)/25)*AV136+(1-EXP(-LN(2)/25))/(LN(2)/25)*Calculateur!AQ137*Calculateur!AS137*VLOOKUP('Données projet'!$B$10,Paramètres!$A$1:$I$89,3,0)*0.475*44/12</f>
        <v>2.4584556880877941</v>
      </c>
      <c r="AW137" s="23">
        <f>EXP(-LN(2)/2)*AW136+(1-EXP(-LN(2)/2))/(LN(2)/2)*AQ137*AT137*VLOOKUP('Données projet'!$B$10,Paramètres!$A$1:$I$89,3,0)*0.475*44/12</f>
        <v>9.6739027448464056E-15</v>
      </c>
      <c r="AX137" s="23">
        <f t="shared" si="114"/>
        <v>9.2568186011777343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>
        <f>BD137*VLOOKUP('Données projet'!$B$11,Paramètres!$A$1:$I$89,3,0)*VLOOKUP('Données projet'!$B$11,Paramètres!$A$1:$I$89,5,0)</f>
        <v>0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387.37910791664007</v>
      </c>
      <c r="BJ137" s="62">
        <f t="shared" si="146"/>
        <v>311.37245656657353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1.6863204427074152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2.2756524375593896E-14</v>
      </c>
      <c r="BS137" s="24">
        <f t="shared" si="117"/>
        <v>1.6863204427074379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80.063676766746568</v>
      </c>
      <c r="T138" s="62">
        <f t="shared" si="142"/>
        <v>410.68113780291992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10.036706892579502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2.0541015371893488E-17</v>
      </c>
      <c r="AC138" s="24">
        <f t="shared" si="111"/>
        <v>10.036706892579502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1.1368683772161603E-13</v>
      </c>
      <c r="AJ138" s="14">
        <f>AI138*VLOOKUP('Données projet'!$B$10,Paramètres!$A$1:$I$89,3,0)*VLOOKUP('Données projet'!$B$10,Paramètres!$A$1:$I$89,5,0)</f>
        <v>6.7984728957526396E-14</v>
      </c>
      <c r="AK138" s="14">
        <f t="shared" si="143"/>
        <v>1.0682447123141398E-12</v>
      </c>
      <c r="AL138" s="22">
        <f t="shared" si="112"/>
        <v>1.978932943548152E-12</v>
      </c>
      <c r="AM138" s="62">
        <f t="shared" si="113"/>
        <v>284.69975714988914</v>
      </c>
      <c r="AN138" s="62">
        <f ca="1">AVERAGE(OFFSET($AM$3,0,0,'Données projet'!$E$10+1,1))-AVERAGE(OFFSET($H$3,0,0,'Données projet'!$E$10+1,1))</f>
        <v>189.09998601768521</v>
      </c>
      <c r="AO138" s="62">
        <f t="shared" si="144"/>
        <v>458.38901659119472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6.6650511629561731</v>
      </c>
      <c r="AV138" s="23">
        <f>EXP(-LN(2)/25)*AV137+(1-EXP(-LN(2)/25))/(LN(2)/25)*Calculateur!AQ138*Calculateur!AS138*VLOOKUP('Données projet'!$B$10,Paramètres!$A$1:$I$89,3,0)*0.475*44/12</f>
        <v>2.3912290880124676</v>
      </c>
      <c r="AW138" s="23">
        <f>EXP(-LN(2)/2)*AW137+(1-EXP(-LN(2)/2))/(LN(2)/2)*AQ138*AT138*VLOOKUP('Données projet'!$B$10,Paramètres!$A$1:$I$89,3,0)*0.475*44/12</f>
        <v>6.8404822314200489E-15</v>
      </c>
      <c r="AX138" s="23">
        <f t="shared" si="114"/>
        <v>9.0562802509686477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>
        <f>BD138*VLOOKUP('Données projet'!$B$11,Paramètres!$A$1:$I$89,3,0)*VLOOKUP('Données projet'!$B$11,Paramètres!$A$1:$I$89,5,0)</f>
        <v>0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387.37910791664007</v>
      </c>
      <c r="BJ138" s="62">
        <f t="shared" si="146"/>
        <v>311.37245656657353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1.6532527273798316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1.6091292702219408E-14</v>
      </c>
      <c r="BS138" s="24">
        <f t="shared" si="117"/>
        <v>1.6532527273798476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80.063676766746568</v>
      </c>
      <c r="T139" s="62">
        <f t="shared" si="142"/>
        <v>410.68113780291992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9.8398931922027462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1.4524691261922997E-17</v>
      </c>
      <c r="AC139" s="24">
        <f t="shared" si="111"/>
        <v>9.8398931922027462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1.1368683772161603E-13</v>
      </c>
      <c r="AJ139" s="14">
        <f>AI139*VLOOKUP('Données projet'!$B$10,Paramètres!$A$1:$I$89,3,0)*VLOOKUP('Données projet'!$B$10,Paramètres!$A$1:$I$89,5,0)</f>
        <v>6.7984728957526396E-14</v>
      </c>
      <c r="AK139" s="14">
        <f t="shared" si="143"/>
        <v>1.0682447123141398E-12</v>
      </c>
      <c r="AL139" s="22">
        <f t="shared" si="112"/>
        <v>1.978932943548152E-12</v>
      </c>
      <c r="AM139" s="62">
        <f t="shared" si="113"/>
        <v>284.84953039488721</v>
      </c>
      <c r="AN139" s="62">
        <f ca="1">AVERAGE(OFFSET($AM$3,0,0,'Données projet'!$E$10+1,1))-AVERAGE(OFFSET($H$3,0,0,'Données projet'!$E$10+1,1))</f>
        <v>189.09998601768521</v>
      </c>
      <c r="AO139" s="62">
        <f t="shared" si="144"/>
        <v>458.38901659119472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6.5343535749303987</v>
      </c>
      <c r="AV139" s="23">
        <f>EXP(-LN(2)/25)*AV138+(1-EXP(-LN(2)/25))/(LN(2)/25)*Calculateur!AQ139*Calculateur!AS139*VLOOKUP('Données projet'!$B$10,Paramètres!$A$1:$I$89,3,0)*0.475*44/12</f>
        <v>2.3258408028514941</v>
      </c>
      <c r="AW139" s="23">
        <f>EXP(-LN(2)/2)*AW138+(1-EXP(-LN(2)/2))/(LN(2)/2)*AQ139*AT139*VLOOKUP('Données projet'!$B$10,Paramètres!$A$1:$I$89,3,0)*0.475*44/12</f>
        <v>4.8369513724232028E-15</v>
      </c>
      <c r="AX139" s="23">
        <f t="shared" si="114"/>
        <v>8.8601943777818981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>
        <f>BD139*VLOOKUP('Données projet'!$B$11,Paramètres!$A$1:$I$89,3,0)*VLOOKUP('Données projet'!$B$11,Paramètres!$A$1:$I$89,5,0)</f>
        <v>0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387.37910791664007</v>
      </c>
      <c r="BJ139" s="62">
        <f t="shared" si="146"/>
        <v>311.37245656657353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1.620833449780507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1.1378262187796948E-14</v>
      </c>
      <c r="BS139" s="24">
        <f t="shared" si="117"/>
        <v>1.6208334497805184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80.063676766746568</v>
      </c>
      <c r="T140" s="62">
        <f t="shared" si="142"/>
        <v>410.68113780291992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9.6469388884458755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1.0270507685946744E-17</v>
      </c>
      <c r="AC140" s="24">
        <f t="shared" si="111"/>
        <v>9.6469388884458755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1.1368683772161603E-13</v>
      </c>
      <c r="AJ140" s="14">
        <f>AI140*VLOOKUP('Données projet'!$B$10,Paramètres!$A$1:$I$89,3,0)*VLOOKUP('Données projet'!$B$10,Paramètres!$A$1:$I$89,5,0)</f>
        <v>6.7984728957526396E-14</v>
      </c>
      <c r="AK140" s="14">
        <f t="shared" si="143"/>
        <v>1.0682447123141398E-12</v>
      </c>
      <c r="AL140" s="22">
        <f t="shared" si="112"/>
        <v>1.978932943548152E-12</v>
      </c>
      <c r="AM140" s="62">
        <f t="shared" si="113"/>
        <v>284.99670540892737</v>
      </c>
      <c r="AN140" s="62">
        <f ca="1">AVERAGE(OFFSET($AM$3,0,0,'Données projet'!$E$10+1,1))-AVERAGE(OFFSET($H$3,0,0,'Données projet'!$E$10+1,1))</f>
        <v>189.09998601768521</v>
      </c>
      <c r="AO140" s="62">
        <f t="shared" si="144"/>
        <v>458.38901659119472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6.4062188868881531</v>
      </c>
      <c r="AV140" s="23">
        <f>EXP(-LN(2)/25)*AV139+(1-EXP(-LN(2)/25))/(LN(2)/25)*Calculateur!AQ140*Calculateur!AS140*VLOOKUP('Données projet'!$B$10,Paramètres!$A$1:$I$89,3,0)*0.475*44/12</f>
        <v>2.2622405637868681</v>
      </c>
      <c r="AW140" s="23">
        <f>EXP(-LN(2)/2)*AW139+(1-EXP(-LN(2)/2))/(LN(2)/2)*AQ140*AT140*VLOOKUP('Données projet'!$B$10,Paramètres!$A$1:$I$89,3,0)*0.475*44/12</f>
        <v>3.4202411157100244E-15</v>
      </c>
      <c r="AX140" s="23">
        <f t="shared" si="114"/>
        <v>8.6684594506750248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>
        <f>BD140*VLOOKUP('Données projet'!$B$11,Paramètres!$A$1:$I$89,3,0)*VLOOKUP('Données projet'!$B$11,Paramètres!$A$1:$I$89,5,0)</f>
        <v>0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387.37910791664007</v>
      </c>
      <c r="BJ140" s="62">
        <f t="shared" si="146"/>
        <v>311.37245656657353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1.5890498944410985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8.045646351109704E-15</v>
      </c>
      <c r="BS140" s="24">
        <f t="shared" si="117"/>
        <v>1.5890498944411064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80.063676766746568</v>
      </c>
      <c r="T141" s="62">
        <f t="shared" si="142"/>
        <v>410.68113780291992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9.4577683008951716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7.2623456309614986E-18</v>
      </c>
      <c r="AC141" s="24">
        <f t="shared" si="111"/>
        <v>9.4577683008951716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1.1368683772161603E-13</v>
      </c>
      <c r="AJ141" s="14">
        <f>AI141*VLOOKUP('Données projet'!$B$10,Paramètres!$A$1:$I$89,3,0)*VLOOKUP('Données projet'!$B$10,Paramètres!$A$1:$I$89,5,0)</f>
        <v>6.7984728957526396E-14</v>
      </c>
      <c r="AK141" s="14">
        <f t="shared" si="143"/>
        <v>1.0682447123141398E-12</v>
      </c>
      <c r="AL141" s="22">
        <f t="shared" si="112"/>
        <v>1.978932943548152E-12</v>
      </c>
      <c r="AM141" s="62">
        <f t="shared" si="113"/>
        <v>285.14132726550793</v>
      </c>
      <c r="AN141" s="62">
        <f ca="1">AVERAGE(OFFSET($AM$3,0,0,'Données projet'!$E$10+1,1))-AVERAGE(OFFSET($H$3,0,0,'Données projet'!$E$10+1,1))</f>
        <v>189.09998601768521</v>
      </c>
      <c r="AO141" s="62">
        <f t="shared" si="144"/>
        <v>458.38901659119472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6.2805968419239733</v>
      </c>
      <c r="AV141" s="23">
        <f>EXP(-LN(2)/25)*AV140+(1-EXP(-LN(2)/25))/(LN(2)/25)*Calculateur!AQ141*Calculateur!AS141*VLOOKUP('Données projet'!$B$10,Paramètres!$A$1:$I$89,3,0)*0.475*44/12</f>
        <v>2.2003794766040552</v>
      </c>
      <c r="AW141" s="23">
        <f>EXP(-LN(2)/2)*AW140+(1-EXP(-LN(2)/2))/(LN(2)/2)*AQ141*AT141*VLOOKUP('Données projet'!$B$10,Paramètres!$A$1:$I$89,3,0)*0.475*44/12</f>
        <v>2.4184756862116014E-15</v>
      </c>
      <c r="AX141" s="23">
        <f t="shared" si="114"/>
        <v>8.4809763185280307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>
        <f>BD141*VLOOKUP('Données projet'!$B$11,Paramètres!$A$1:$I$89,3,0)*VLOOKUP('Données projet'!$B$11,Paramètres!$A$1:$I$89,5,0)</f>
        <v>0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387.37910791664007</v>
      </c>
      <c r="BJ141" s="62">
        <f t="shared" si="146"/>
        <v>311.37245656657353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1.5578895952358411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5.6891310938984741E-15</v>
      </c>
      <c r="BS141" s="24">
        <f t="shared" si="117"/>
        <v>1.5578895952358469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80.063676766746568</v>
      </c>
      <c r="T142" s="62">
        <f t="shared" si="142"/>
        <v>410.68113780291992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9.2723072331836729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5.1352538429733719E-18</v>
      </c>
      <c r="AC142" s="24">
        <f t="shared" si="111"/>
        <v>9.2723072331836729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1.1368683772161603E-13</v>
      </c>
      <c r="AJ142" s="14">
        <f>AI142*VLOOKUP('Données projet'!$B$10,Paramètres!$A$1:$I$89,3,0)*VLOOKUP('Données projet'!$B$10,Paramètres!$A$1:$I$89,5,0)</f>
        <v>6.7984728957526396E-14</v>
      </c>
      <c r="AK142" s="14">
        <f t="shared" si="143"/>
        <v>1.0682447123141398E-12</v>
      </c>
      <c r="AL142" s="22">
        <f t="shared" si="112"/>
        <v>1.978932943548152E-12</v>
      </c>
      <c r="AM142" s="62">
        <f t="shared" si="113"/>
        <v>285.28344025620288</v>
      </c>
      <c r="AN142" s="62">
        <f ca="1">AVERAGE(OFFSET($AM$3,0,0,'Données projet'!$E$10+1,1))-AVERAGE(OFFSET($H$3,0,0,'Données projet'!$E$10+1,1))</f>
        <v>189.09998601768521</v>
      </c>
      <c r="AO142" s="62">
        <f t="shared" si="144"/>
        <v>458.38901659119472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6.1574381686396586</v>
      </c>
      <c r="AV142" s="23">
        <f>EXP(-LN(2)/25)*AV141+(1-EXP(-LN(2)/25))/(LN(2)/25)*Calculateur!AQ142*Calculateur!AS142*VLOOKUP('Données projet'!$B$10,Paramètres!$A$1:$I$89,3,0)*0.475*44/12</f>
        <v>2.1402099841033895</v>
      </c>
      <c r="AW142" s="23">
        <f>EXP(-LN(2)/2)*AW141+(1-EXP(-LN(2)/2))/(LN(2)/2)*AQ142*AT142*VLOOKUP('Données projet'!$B$10,Paramètres!$A$1:$I$89,3,0)*0.475*44/12</f>
        <v>1.7101205578550122E-15</v>
      </c>
      <c r="AX142" s="23">
        <f t="shared" si="114"/>
        <v>8.297648152743049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>
        <f>BD142*VLOOKUP('Données projet'!$B$11,Paramètres!$A$1:$I$89,3,0)*VLOOKUP('Données projet'!$B$11,Paramètres!$A$1:$I$89,5,0)</f>
        <v>0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387.37910791664007</v>
      </c>
      <c r="BJ142" s="62">
        <f t="shared" si="146"/>
        <v>311.37245656657353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1.5273403304920932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4.022823175554852E-15</v>
      </c>
      <c r="BS142" s="24">
        <f t="shared" si="117"/>
        <v>1.5273403304920972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80.063676766746568</v>
      </c>
      <c r="T143" s="62">
        <f t="shared" si="142"/>
        <v>410.68113780291992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9.0904829438899135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3.6311728154807493E-18</v>
      </c>
      <c r="AC143" s="24">
        <f t="shared" si="111"/>
        <v>9.0904829438899135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1.1368683772161603E-13</v>
      </c>
      <c r="AJ143" s="14">
        <f>AI143*VLOOKUP('Données projet'!$B$10,Paramètres!$A$1:$I$89,3,0)*VLOOKUP('Données projet'!$B$10,Paramètres!$A$1:$I$89,5,0)</f>
        <v>6.7984728957526396E-14</v>
      </c>
      <c r="AK143" s="14">
        <f t="shared" si="143"/>
        <v>1.0682447123141398E-12</v>
      </c>
      <c r="AL143" s="22">
        <f t="shared" si="112"/>
        <v>1.978932943548152E-12</v>
      </c>
      <c r="AM143" s="62">
        <f t="shared" si="113"/>
        <v>285.42308790422635</v>
      </c>
      <c r="AN143" s="62">
        <f ca="1">AVERAGE(OFFSET($AM$3,0,0,'Données projet'!$E$10+1,1))-AVERAGE(OFFSET($H$3,0,0,'Données projet'!$E$10+1,1))</f>
        <v>189.09998601768521</v>
      </c>
      <c r="AO143" s="62">
        <f t="shared" si="144"/>
        <v>458.38901659119472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6.0366945618190764</v>
      </c>
      <c r="AV143" s="23">
        <f>EXP(-LN(2)/25)*AV142+(1-EXP(-LN(2)/25))/(LN(2)/25)*Calculateur!AQ143*Calculateur!AS143*VLOOKUP('Données projet'!$B$10,Paramètres!$A$1:$I$89,3,0)*0.475*44/12</f>
        <v>2.0816858295393308</v>
      </c>
      <c r="AW143" s="23">
        <f>EXP(-LN(2)/2)*AW142+(1-EXP(-LN(2)/2))/(LN(2)/2)*AQ143*AT143*VLOOKUP('Données projet'!$B$10,Paramètres!$A$1:$I$89,3,0)*0.475*44/12</f>
        <v>1.2092378431058007E-15</v>
      </c>
      <c r="AX143" s="23">
        <f t="shared" si="114"/>
        <v>8.1183803913584089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>
        <f>BD143*VLOOKUP('Données projet'!$B$11,Paramètres!$A$1:$I$89,3,0)*VLOOKUP('Données projet'!$B$11,Paramètres!$A$1:$I$89,5,0)</f>
        <v>0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387.37910791664007</v>
      </c>
      <c r="BJ143" s="62">
        <f t="shared" si="146"/>
        <v>311.37245656657353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1.4973901181967584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2.844565546949237E-15</v>
      </c>
      <c r="BS143" s="24">
        <f t="shared" si="117"/>
        <v>1.4973901181967613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80.063676766746568</v>
      </c>
      <c r="T144" s="62">
        <f t="shared" si="142"/>
        <v>410.68113780291992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8.9122241180073392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2.567626921486686E-18</v>
      </c>
      <c r="AC144" s="24">
        <f t="shared" si="111"/>
        <v>8.9122241180073392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1.1368683772161603E-13</v>
      </c>
      <c r="AJ144" s="14">
        <f>AI144*VLOOKUP('Données projet'!$B$10,Paramètres!$A$1:$I$89,3,0)*VLOOKUP('Données projet'!$B$10,Paramètres!$A$1:$I$89,5,0)</f>
        <v>6.7984728957526396E-14</v>
      </c>
      <c r="AK144" s="14">
        <f t="shared" si="143"/>
        <v>1.0682447123141398E-12</v>
      </c>
      <c r="AL144" s="22">
        <f t="shared" si="112"/>
        <v>1.978932943548152E-12</v>
      </c>
      <c r="AM144" s="62">
        <f t="shared" si="113"/>
        <v>285.56031297776201</v>
      </c>
      <c r="AN144" s="62">
        <f ca="1">AVERAGE(OFFSET($AM$3,0,0,'Données projet'!$E$10+1,1))-AVERAGE(OFFSET($H$3,0,0,'Données projet'!$E$10+1,1))</f>
        <v>189.09998601768521</v>
      </c>
      <c r="AO144" s="62">
        <f t="shared" si="144"/>
        <v>458.38901659119472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5.9183186634819176</v>
      </c>
      <c r="AV144" s="23">
        <f>EXP(-LN(2)/25)*AV143+(1-EXP(-LN(2)/25))/(LN(2)/25)*Calculateur!AQ144*Calculateur!AS144*VLOOKUP('Données projet'!$B$10,Paramètres!$A$1:$I$89,3,0)*0.475*44/12</f>
        <v>2.0247620210594777</v>
      </c>
      <c r="AW144" s="23">
        <f>EXP(-LN(2)/2)*AW143+(1-EXP(-LN(2)/2))/(LN(2)/2)*AQ144*AT144*VLOOKUP('Données projet'!$B$10,Paramètres!$A$1:$I$89,3,0)*0.475*44/12</f>
        <v>8.5506027892750611E-16</v>
      </c>
      <c r="AX144" s="23">
        <f t="shared" si="114"/>
        <v>7.9430806845413962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>
        <f>BD144*VLOOKUP('Données projet'!$B$11,Paramètres!$A$1:$I$89,3,0)*VLOOKUP('Données projet'!$B$11,Paramètres!$A$1:$I$89,5,0)</f>
        <v>0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387.37910791664007</v>
      </c>
      <c r="BJ144" s="62">
        <f t="shared" si="146"/>
        <v>311.37245656657353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1.4680272112967094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2.011411587777426E-15</v>
      </c>
      <c r="BS144" s="24">
        <f t="shared" si="117"/>
        <v>1.4680272112967114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80.063676766746568</v>
      </c>
      <c r="T145" s="62">
        <f t="shared" si="142"/>
        <v>410.68113780291992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8.737460838973174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1.8155864077403747E-18</v>
      </c>
      <c r="AC145" s="24">
        <f t="shared" si="111"/>
        <v>8.737460838973174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1.1368683772161603E-13</v>
      </c>
      <c r="AJ145" s="14">
        <f>AI145*VLOOKUP('Données projet'!$B$10,Paramètres!$A$1:$I$89,3,0)*VLOOKUP('Données projet'!$B$10,Paramètres!$A$1:$I$89,5,0)</f>
        <v>6.7984728957526396E-14</v>
      </c>
      <c r="AK145" s="14">
        <f t="shared" si="143"/>
        <v>1.0682447123141398E-12</v>
      </c>
      <c r="AL145" s="22">
        <f t="shared" si="112"/>
        <v>1.978932943548152E-12</v>
      </c>
      <c r="AM145" s="62">
        <f t="shared" si="113"/>
        <v>285.69515750306107</v>
      </c>
      <c r="AN145" s="62">
        <f ca="1">AVERAGE(OFFSET($AM$3,0,0,'Données projet'!$E$10+1,1))-AVERAGE(OFFSET($H$3,0,0,'Données projet'!$E$10+1,1))</f>
        <v>189.09998601768521</v>
      </c>
      <c r="AO145" s="62">
        <f t="shared" si="144"/>
        <v>458.38901659119472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5.8022640443089823</v>
      </c>
      <c r="AV145" s="23">
        <f>EXP(-LN(2)/25)*AV144+(1-EXP(-LN(2)/25))/(LN(2)/25)*Calculateur!AQ145*Calculateur!AS145*VLOOKUP('Données projet'!$B$10,Paramètres!$A$1:$I$89,3,0)*0.475*44/12</f>
        <v>1.9693947971159993</v>
      </c>
      <c r="AW145" s="23">
        <f>EXP(-LN(2)/2)*AW144+(1-EXP(-LN(2)/2))/(LN(2)/2)*AQ145*AT145*VLOOKUP('Données projet'!$B$10,Paramètres!$A$1:$I$89,3,0)*0.475*44/12</f>
        <v>6.0461892155290035E-16</v>
      </c>
      <c r="AX145" s="23">
        <f t="shared" si="114"/>
        <v>7.7716588414249825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>
        <f>BD145*VLOOKUP('Données projet'!$B$11,Paramètres!$A$1:$I$89,3,0)*VLOOKUP('Données projet'!$B$11,Paramètres!$A$1:$I$89,5,0)</f>
        <v>0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387.37910791664007</v>
      </c>
      <c r="BJ145" s="62">
        <f t="shared" si="146"/>
        <v>311.37245656657353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1.4392400930913656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1.4222827734746185E-15</v>
      </c>
      <c r="BS145" s="24">
        <f t="shared" si="117"/>
        <v>1.4392400930913669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80.063676766746568</v>
      </c>
      <c r="T146" s="62">
        <f t="shared" si="142"/>
        <v>410.68113780291992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8.566124561245795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1.283813460743343E-18</v>
      </c>
      <c r="AC146" s="24">
        <f t="shared" si="111"/>
        <v>8.566124561245795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1.1368683772161603E-13</v>
      </c>
      <c r="AJ146" s="14">
        <f>AI146*VLOOKUP('Données projet'!$B$10,Paramètres!$A$1:$I$89,3,0)*VLOOKUP('Données projet'!$B$10,Paramètres!$A$1:$I$89,5,0)</f>
        <v>6.7984728957526396E-14</v>
      </c>
      <c r="AK146" s="14">
        <f t="shared" si="143"/>
        <v>1.0682447123141398E-12</v>
      </c>
      <c r="AL146" s="22">
        <f t="shared" si="112"/>
        <v>1.978932943548152E-12</v>
      </c>
      <c r="AM146" s="62">
        <f t="shared" si="113"/>
        <v>285.82766277731344</v>
      </c>
      <c r="AN146" s="62">
        <f ca="1">AVERAGE(OFFSET($AM$3,0,0,'Données projet'!$E$10+1,1))-AVERAGE(OFFSET($H$3,0,0,'Données projet'!$E$10+1,1))</f>
        <v>189.09998601768521</v>
      </c>
      <c r="AO146" s="62">
        <f t="shared" si="144"/>
        <v>458.38901659119472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5.6884851854317002</v>
      </c>
      <c r="AV146" s="23">
        <f>EXP(-LN(2)/25)*AV145+(1-EXP(-LN(2)/25))/(LN(2)/25)*Calculateur!AQ146*Calculateur!AS146*VLOOKUP('Données projet'!$B$10,Paramètres!$A$1:$I$89,3,0)*0.475*44/12</f>
        <v>1.9155415928228909</v>
      </c>
      <c r="AW146" s="23">
        <f>EXP(-LN(2)/2)*AW145+(1-EXP(-LN(2)/2))/(LN(2)/2)*AQ146*AT146*VLOOKUP('Données projet'!$B$10,Paramètres!$A$1:$I$89,3,0)*0.475*44/12</f>
        <v>4.2753013946375306E-16</v>
      </c>
      <c r="AX146" s="23">
        <f t="shared" si="114"/>
        <v>7.6040267782545907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>
        <f>BD146*VLOOKUP('Données projet'!$B$11,Paramètres!$A$1:$I$89,3,0)*VLOOKUP('Données projet'!$B$11,Paramètres!$A$1:$I$89,5,0)</f>
        <v>0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387.37910791664007</v>
      </c>
      <c r="BJ146" s="62">
        <f t="shared" si="146"/>
        <v>311.37245656657353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1.4110174727156202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1.005705793888713E-15</v>
      </c>
      <c r="BS146" s="24">
        <f t="shared" si="117"/>
        <v>1.4110174727156213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80.063676766746568</v>
      </c>
      <c r="T147" s="62">
        <f t="shared" si="142"/>
        <v>410.68113780291992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8.398148083419839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9.0779320387018733E-19</v>
      </c>
      <c r="AC147" s="24">
        <f t="shared" si="111"/>
        <v>8.398148083419839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1.1368683772161603E-13</v>
      </c>
      <c r="AJ147" s="14">
        <f>AI147*VLOOKUP('Données projet'!$B$10,Paramètres!$A$1:$I$89,3,0)*VLOOKUP('Données projet'!$B$10,Paramètres!$A$1:$I$89,5,0)</f>
        <v>6.7984728957526396E-14</v>
      </c>
      <c r="AK147" s="14">
        <f t="shared" si="143"/>
        <v>1.0682447123141398E-12</v>
      </c>
      <c r="AL147" s="22">
        <f t="shared" si="112"/>
        <v>1.978932943548152E-12</v>
      </c>
      <c r="AM147" s="62">
        <f t="shared" si="113"/>
        <v>285.95786938129487</v>
      </c>
      <c r="AN147" s="62">
        <f ca="1">AVERAGE(OFFSET($AM$3,0,0,'Données projet'!$E$10+1,1))-AVERAGE(OFFSET($H$3,0,0,'Données projet'!$E$10+1,1))</f>
        <v>189.09998601768521</v>
      </c>
      <c r="AO147" s="62">
        <f t="shared" si="144"/>
        <v>458.38901659119472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5.5769374605787503</v>
      </c>
      <c r="AV147" s="23">
        <f>EXP(-LN(2)/25)*AV146+(1-EXP(-LN(2)/25))/(LN(2)/25)*Calculateur!AQ147*Calculateur!AS147*VLOOKUP('Données projet'!$B$10,Paramètres!$A$1:$I$89,3,0)*0.475*44/12</f>
        <v>1.8631610072331946</v>
      </c>
      <c r="AW147" s="23">
        <f>EXP(-LN(2)/2)*AW146+(1-EXP(-LN(2)/2))/(LN(2)/2)*AQ147*AT147*VLOOKUP('Données projet'!$B$10,Paramètres!$A$1:$I$89,3,0)*0.475*44/12</f>
        <v>3.0230946077645017E-16</v>
      </c>
      <c r="AX147" s="23">
        <f t="shared" si="114"/>
        <v>7.4400984678119446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>
        <f>BD147*VLOOKUP('Données projet'!$B$11,Paramètres!$A$1:$I$89,3,0)*VLOOKUP('Données projet'!$B$11,Paramètres!$A$1:$I$89,5,0)</f>
        <v>0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387.37910791664007</v>
      </c>
      <c r="BJ147" s="62">
        <f t="shared" si="146"/>
        <v>311.37245656657353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1.3833482807113444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7.1114138673730926E-16</v>
      </c>
      <c r="BS147" s="24">
        <f t="shared" si="117"/>
        <v>1.3833482807113451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80.063676766746568</v>
      </c>
      <c r="T148" s="62">
        <f t="shared" si="142"/>
        <v>410.68113780291992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8.2334655218685153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6.4190673037167149E-19</v>
      </c>
      <c r="AC148" s="24">
        <f t="shared" si="111"/>
        <v>8.2334655218685153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1.1368683772161603E-13</v>
      </c>
      <c r="AJ148" s="14">
        <f>AI148*VLOOKUP('Données projet'!$B$10,Paramètres!$A$1:$I$89,3,0)*VLOOKUP('Données projet'!$B$10,Paramètres!$A$1:$I$89,5,0)</f>
        <v>6.7984728957526396E-14</v>
      </c>
      <c r="AK148" s="14">
        <f t="shared" si="143"/>
        <v>1.0682447123141398E-12</v>
      </c>
      <c r="AL148" s="22">
        <f t="shared" si="112"/>
        <v>1.978932943548152E-12</v>
      </c>
      <c r="AM148" s="62">
        <f t="shared" si="113"/>
        <v>286.08581719179557</v>
      </c>
      <c r="AN148" s="62">
        <f ca="1">AVERAGE(OFFSET($AM$3,0,0,'Données projet'!$E$10+1,1))-AVERAGE(OFFSET($H$3,0,0,'Données projet'!$E$10+1,1))</f>
        <v>189.09998601768521</v>
      </c>
      <c r="AO148" s="62">
        <f t="shared" si="144"/>
        <v>458.38901659119472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5.4675771185727724</v>
      </c>
      <c r="AV148" s="23">
        <f>EXP(-LN(2)/25)*AV147+(1-EXP(-LN(2)/25))/(LN(2)/25)*Calculateur!AQ148*Calculateur!AS148*VLOOKUP('Données projet'!$B$10,Paramètres!$A$1:$I$89,3,0)*0.475*44/12</f>
        <v>1.8122127715110239</v>
      </c>
      <c r="AW148" s="23">
        <f>EXP(-LN(2)/2)*AW147+(1-EXP(-LN(2)/2))/(LN(2)/2)*AQ148*AT148*VLOOKUP('Données projet'!$B$10,Paramètres!$A$1:$I$89,3,0)*0.475*44/12</f>
        <v>2.1376506973187653E-16</v>
      </c>
      <c r="AX148" s="23">
        <f t="shared" si="114"/>
        <v>7.2797898900837961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>
        <f>BD148*VLOOKUP('Données projet'!$B$11,Paramètres!$A$1:$I$89,3,0)*VLOOKUP('Données projet'!$B$11,Paramètres!$A$1:$I$89,5,0)</f>
        <v>0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387.37910791664007</v>
      </c>
      <c r="BJ148" s="62">
        <f t="shared" si="146"/>
        <v>311.37245656657353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1.3562216646857319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5.028528969443565E-16</v>
      </c>
      <c r="BS148" s="24">
        <f t="shared" si="117"/>
        <v>1.3562216646857324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80.063676766746568</v>
      </c>
      <c r="T149" s="62">
        <f t="shared" si="142"/>
        <v>410.68113780291992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8.0720122849027689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4.5389660193509367E-19</v>
      </c>
      <c r="AC149" s="24">
        <f t="shared" si="111"/>
        <v>8.0720122849027689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1.1368683772161603E-13</v>
      </c>
      <c r="AJ149" s="14">
        <f>AI149*VLOOKUP('Données projet'!$B$10,Paramètres!$A$1:$I$89,3,0)*VLOOKUP('Données projet'!$B$10,Paramètres!$A$1:$I$89,5,0)</f>
        <v>6.7984728957526396E-14</v>
      </c>
      <c r="AK149" s="14">
        <f t="shared" si="143"/>
        <v>1.0682447123141398E-12</v>
      </c>
      <c r="AL149" s="22">
        <f t="shared" si="112"/>
        <v>1.978932943548152E-12</v>
      </c>
      <c r="AM149" s="62">
        <f t="shared" si="113"/>
        <v>286.21154539383264</v>
      </c>
      <c r="AN149" s="62">
        <f ca="1">AVERAGE(OFFSET($AM$3,0,0,'Données projet'!$E$10+1,1))-AVERAGE(OFFSET($H$3,0,0,'Données projet'!$E$10+1,1))</f>
        <v>189.09998601768521</v>
      </c>
      <c r="AO149" s="62">
        <f t="shared" si="144"/>
        <v>458.38901659119472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5.3603612661703091</v>
      </c>
      <c r="AV149" s="23">
        <f>EXP(-LN(2)/25)*AV148+(1-EXP(-LN(2)/25))/(LN(2)/25)*Calculateur!AQ149*Calculateur!AS149*VLOOKUP('Données projet'!$B$10,Paramètres!$A$1:$I$89,3,0)*0.475*44/12</f>
        <v>1.7626577179739271</v>
      </c>
      <c r="AW149" s="23">
        <f>EXP(-LN(2)/2)*AW148+(1-EXP(-LN(2)/2))/(LN(2)/2)*AQ149*AT149*VLOOKUP('Données projet'!$B$10,Paramètres!$A$1:$I$89,3,0)*0.475*44/12</f>
        <v>1.5115473038822509E-16</v>
      </c>
      <c r="AX149" s="23">
        <f t="shared" si="114"/>
        <v>7.1230189841442364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>
        <f>BD149*VLOOKUP('Données projet'!$B$11,Paramètres!$A$1:$I$89,3,0)*VLOOKUP('Données projet'!$B$11,Paramètres!$A$1:$I$89,5,0)</f>
        <v>0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387.37910791664007</v>
      </c>
      <c r="BJ149" s="62">
        <f t="shared" si="146"/>
        <v>311.37245656657353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1.3296269850547797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3.5557069336865463E-16</v>
      </c>
      <c r="BS149" s="24">
        <f t="shared" si="117"/>
        <v>1.3296269850547802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80.063676766746568</v>
      </c>
      <c r="T150" s="62">
        <f t="shared" si="142"/>
        <v>410.68113780291992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7.9137250474371701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3.2095336518583574E-19</v>
      </c>
      <c r="AC150" s="24">
        <f t="shared" si="111"/>
        <v>7.9137250474371701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1.1368683772161603E-13</v>
      </c>
      <c r="AJ150" s="14">
        <f>AI150*VLOOKUP('Données projet'!$B$10,Paramètres!$A$1:$I$89,3,0)*VLOOKUP('Données projet'!$B$10,Paramètres!$A$1:$I$89,5,0)</f>
        <v>6.7984728957526396E-14</v>
      </c>
      <c r="AK150" s="14">
        <f t="shared" si="143"/>
        <v>1.0682447123141398E-12</v>
      </c>
      <c r="AL150" s="22">
        <f t="shared" si="112"/>
        <v>1.978932943548152E-12</v>
      </c>
      <c r="AM150" s="62">
        <f t="shared" si="113"/>
        <v>286.3350924926504</v>
      </c>
      <c r="AN150" s="62">
        <f ca="1">AVERAGE(OFFSET($AM$3,0,0,'Données projet'!$E$10+1,1))-AVERAGE(OFFSET($H$3,0,0,'Données projet'!$E$10+1,1))</f>
        <v>189.09998601768521</v>
      </c>
      <c r="AO150" s="62">
        <f t="shared" si="144"/>
        <v>458.38901659119472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5.2552478512382459</v>
      </c>
      <c r="AV150" s="23">
        <f>EXP(-LN(2)/25)*AV149+(1-EXP(-LN(2)/25))/(LN(2)/25)*Calculateur!AQ150*Calculateur!AS150*VLOOKUP('Données projet'!$B$10,Paramètres!$A$1:$I$89,3,0)*0.475*44/12</f>
        <v>1.7144577499817892</v>
      </c>
      <c r="AW150" s="23">
        <f>EXP(-LN(2)/2)*AW149+(1-EXP(-LN(2)/2))/(LN(2)/2)*AQ150*AT150*VLOOKUP('Données projet'!$B$10,Paramètres!$A$1:$I$89,3,0)*0.475*44/12</f>
        <v>1.0688253486593826E-16</v>
      </c>
      <c r="AX150" s="23">
        <f t="shared" si="114"/>
        <v>6.9697056012200349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>
        <f>BD150*VLOOKUP('Données projet'!$B$11,Paramètres!$A$1:$I$89,3,0)*VLOOKUP('Données projet'!$B$11,Paramètres!$A$1:$I$89,5,0)</f>
        <v>0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387.37910791664007</v>
      </c>
      <c r="BJ150" s="62">
        <f t="shared" si="146"/>
        <v>311.37245656657353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1.3035538108702376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2.5142644847217825E-16</v>
      </c>
      <c r="BS150" s="24">
        <f t="shared" si="117"/>
        <v>1.3035538108702378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80.063676766746568</v>
      </c>
      <c r="T151" s="62">
        <f t="shared" si="142"/>
        <v>410.68113780291992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7.7585417261525897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2.2694830096754683E-19</v>
      </c>
      <c r="AC151" s="24">
        <f t="shared" si="111"/>
        <v>7.7585417261525897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1.1368683772161603E-13</v>
      </c>
      <c r="AJ151" s="14">
        <f>AI151*VLOOKUP('Données projet'!$B$10,Paramètres!$A$1:$I$89,3,0)*VLOOKUP('Données projet'!$B$10,Paramètres!$A$1:$I$89,5,0)</f>
        <v>6.7984728957526396E-14</v>
      </c>
      <c r="AK151" s="14">
        <f t="shared" si="143"/>
        <v>1.0682447123141398E-12</v>
      </c>
      <c r="AL151" s="22">
        <f t="shared" si="112"/>
        <v>1.978932943548152E-12</v>
      </c>
      <c r="AM151" s="62">
        <f t="shared" si="113"/>
        <v>286.45649632551368</v>
      </c>
      <c r="AN151" s="62">
        <f ca="1">AVERAGE(OFFSET($AM$3,0,0,'Données projet'!$E$10+1,1))-AVERAGE(OFFSET($H$3,0,0,'Données projet'!$E$10+1,1))</f>
        <v>189.09998601768521</v>
      </c>
      <c r="AO151" s="62">
        <f t="shared" si="144"/>
        <v>458.38901659119472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5.1521956462601475</v>
      </c>
      <c r="AV151" s="23">
        <f>EXP(-LN(2)/25)*AV150+(1-EXP(-LN(2)/25))/(LN(2)/25)*Calculateur!AQ151*Calculateur!AS151*VLOOKUP('Données projet'!$B$10,Paramètres!$A$1:$I$89,3,0)*0.475*44/12</f>
        <v>1.6675758126491227</v>
      </c>
      <c r="AW151" s="23">
        <f>EXP(-LN(2)/2)*AW150+(1-EXP(-LN(2)/2))/(LN(2)/2)*AQ151*AT151*VLOOKUP('Données projet'!$B$10,Paramètres!$A$1:$I$89,3,0)*0.475*44/12</f>
        <v>7.5577365194112544E-17</v>
      </c>
      <c r="AX151" s="23">
        <f t="shared" si="114"/>
        <v>6.8197714589092699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>
        <f>BD151*VLOOKUP('Données projet'!$B$11,Paramètres!$A$1:$I$89,3,0)*VLOOKUP('Données projet'!$B$11,Paramètres!$A$1:$I$89,5,0)</f>
        <v>0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387.37910791664007</v>
      </c>
      <c r="BJ151" s="62">
        <f t="shared" si="146"/>
        <v>311.37245656657353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1.2779919157283883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1.7778534668432732E-16</v>
      </c>
      <c r="BS151" s="24">
        <f t="shared" si="117"/>
        <v>1.2779919157283886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80.063676766746568</v>
      </c>
      <c r="T152" s="62">
        <f t="shared" si="142"/>
        <v>410.68113780291992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7.60640145514592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1.6047668259291787E-19</v>
      </c>
      <c r="AC152" s="24">
        <f t="shared" si="111"/>
        <v>7.60640145514592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1.1368683772161603E-13</v>
      </c>
      <c r="AJ152" s="14">
        <f>AI152*VLOOKUP('Données projet'!$B$10,Paramètres!$A$1:$I$89,3,0)*VLOOKUP('Données projet'!$B$10,Paramètres!$A$1:$I$89,5,0)</f>
        <v>6.7984728957526396E-14</v>
      </c>
      <c r="AK152" s="14">
        <f t="shared" si="143"/>
        <v>1.0682447123141398E-12</v>
      </c>
      <c r="AL152" s="22">
        <f t="shared" si="112"/>
        <v>1.978932943548152E-12</v>
      </c>
      <c r="AM152" s="62">
        <f t="shared" si="113"/>
        <v>286.57579407329507</v>
      </c>
      <c r="AN152" s="62">
        <f ca="1">AVERAGE(OFFSET($AM$3,0,0,'Données projet'!$E$10+1,1))-AVERAGE(OFFSET($H$3,0,0,'Données projet'!$E$10+1,1))</f>
        <v>189.09998601768521</v>
      </c>
      <c r="AO152" s="62">
        <f t="shared" si="144"/>
        <v>458.38901659119472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5.0511642321660313</v>
      </c>
      <c r="AV152" s="23">
        <f>EXP(-LN(2)/25)*AV151+(1-EXP(-LN(2)/25))/(LN(2)/25)*Calculateur!AQ152*Calculateur!AS152*VLOOKUP('Données projet'!$B$10,Paramètres!$A$1:$I$89,3,0)*0.475*44/12</f>
        <v>1.6219758643582318</v>
      </c>
      <c r="AW152" s="23">
        <f>EXP(-LN(2)/2)*AW151+(1-EXP(-LN(2)/2))/(LN(2)/2)*AQ152*AT152*VLOOKUP('Données projet'!$B$10,Paramètres!$A$1:$I$89,3,0)*0.475*44/12</f>
        <v>5.3441267432969132E-17</v>
      </c>
      <c r="AX152" s="23">
        <f t="shared" si="114"/>
        <v>6.6731400965242633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>
        <f>BD152*VLOOKUP('Données projet'!$B$11,Paramètres!$A$1:$I$89,3,0)*VLOOKUP('Données projet'!$B$11,Paramètres!$A$1:$I$89,5,0)</f>
        <v>0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387.37910791664007</v>
      </c>
      <c r="BJ152" s="62">
        <f t="shared" si="146"/>
        <v>311.37245656657353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1.2529312737590541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1.2571322423608913E-16</v>
      </c>
      <c r="BS152" s="24">
        <f t="shared" si="117"/>
        <v>1.2529312737590543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80.063676766746568</v>
      </c>
      <c r="T153" s="62">
        <f t="shared" si="142"/>
        <v>410.68113780291992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7.4572445620572889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1.1347415048377342E-19</v>
      </c>
      <c r="AC153" s="24">
        <f t="shared" si="111"/>
        <v>7.4572445620572889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1.1368683772161603E-13</v>
      </c>
      <c r="AJ153" s="14">
        <f>AI153*VLOOKUP('Données projet'!$B$10,Paramètres!$A$1:$I$89,3,0)*VLOOKUP('Données projet'!$B$10,Paramètres!$A$1:$I$89,5,0)</f>
        <v>6.7984728957526396E-14</v>
      </c>
      <c r="AK153" s="14">
        <f t="shared" si="143"/>
        <v>1.0682447123141398E-12</v>
      </c>
      <c r="AL153" s="22">
        <f t="shared" si="112"/>
        <v>1.978932943548152E-12</v>
      </c>
      <c r="AM153" s="62">
        <f t="shared" si="113"/>
        <v>286.69302227186233</v>
      </c>
      <c r="AN153" s="62">
        <f ca="1">AVERAGE(OFFSET($AM$3,0,0,'Données projet'!$E$10+1,1))-AVERAGE(OFFSET($H$3,0,0,'Données projet'!$E$10+1,1))</f>
        <v>189.09998601768521</v>
      </c>
      <c r="AO153" s="62">
        <f t="shared" si="144"/>
        <v>458.38901659119472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4.9521139824792231</v>
      </c>
      <c r="AV153" s="23">
        <f>EXP(-LN(2)/25)*AV152+(1-EXP(-LN(2)/25))/(LN(2)/25)*Calculateur!AQ153*Calculateur!AS153*VLOOKUP('Données projet'!$B$10,Paramètres!$A$1:$I$89,3,0)*0.475*44/12</f>
        <v>1.5776228490513524</v>
      </c>
      <c r="AW153" s="23">
        <f>EXP(-LN(2)/2)*AW152+(1-EXP(-LN(2)/2))/(LN(2)/2)*AQ153*AT153*VLOOKUP('Données projet'!$B$10,Paramètres!$A$1:$I$89,3,0)*0.475*44/12</f>
        <v>3.7788682597056272E-17</v>
      </c>
      <c r="AX153" s="23">
        <f t="shared" si="114"/>
        <v>6.5297368315305757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>
        <f>BD153*VLOOKUP('Données projet'!$B$11,Paramètres!$A$1:$I$89,3,0)*VLOOKUP('Données projet'!$B$11,Paramètres!$A$1:$I$89,5,0)</f>
        <v>0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387.37910791664007</v>
      </c>
      <c r="BJ153" s="62">
        <f t="shared" si="146"/>
        <v>311.37245656657353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1.2283620556932564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8.8892673342163658E-17</v>
      </c>
      <c r="BS153" s="24">
        <f t="shared" si="117"/>
        <v>1.2283620556932564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80.063676766746568</v>
      </c>
      <c r="T154" s="62">
        <f t="shared" si="142"/>
        <v>410.68113780291992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7.3110125446654042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8.0238341296458936E-20</v>
      </c>
      <c r="AC154" s="24">
        <f t="shared" ref="AC154:AC203" si="163">SUM(Z154:AB154)</f>
        <v>7.3110125446654042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1.1368683772161603E-13</v>
      </c>
      <c r="AJ154" s="14">
        <f>AI154*VLOOKUP('Données projet'!$B$10,Paramètres!$A$1:$I$89,3,0)*VLOOKUP('Données projet'!$B$10,Paramètres!$A$1:$I$89,5,0)</f>
        <v>6.7984728957526396E-14</v>
      </c>
      <c r="AK154" s="14">
        <f t="shared" ref="AK154:AK203" si="164">EXP(-1.0587+0.8836*LN(AJ154)+0.284)</f>
        <v>1.0682447123141398E-12</v>
      </c>
      <c r="AL154" s="22">
        <f t="shared" ref="AL154:AL203" si="165">(AJ154+AK154)*0.475*44/12</f>
        <v>1.978932943548152E-12</v>
      </c>
      <c r="AM154" s="62">
        <f t="shared" si="113"/>
        <v>286.80821682326734</v>
      </c>
      <c r="AN154" s="62">
        <f ca="1">AVERAGE(OFFSET($AM$3,0,0,'Données projet'!$E$10+1,1))-AVERAGE(OFFSET($H$3,0,0,'Données projet'!$E$10+1,1))</f>
        <v>189.09998601768521</v>
      </c>
      <c r="AO154" s="62">
        <f t="shared" si="144"/>
        <v>458.38901659119472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4.8550060477740864</v>
      </c>
      <c r="AV154" s="23">
        <f>EXP(-LN(2)/25)*AV153+(1-EXP(-LN(2)/25))/(LN(2)/25)*Calculateur!AQ154*Calculateur!AS154*VLOOKUP('Données projet'!$B$10,Paramètres!$A$1:$I$89,3,0)*0.475*44/12</f>
        <v>1.5344826692804632</v>
      </c>
      <c r="AW154" s="23">
        <f>EXP(-LN(2)/2)*AW153+(1-EXP(-LN(2)/2))/(LN(2)/2)*AQ154*AT154*VLOOKUP('Données projet'!$B$10,Paramètres!$A$1:$I$89,3,0)*0.475*44/12</f>
        <v>2.6720633716484566E-17</v>
      </c>
      <c r="AX154" s="23">
        <f t="shared" ref="AX154:AX203" si="166">SUM(AU154:AW154)</f>
        <v>6.3894887170545491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>
        <f>BD154*VLOOKUP('Données projet'!$B$11,Paramètres!$A$1:$I$89,3,0)*VLOOKUP('Données projet'!$B$11,Paramètres!$A$1:$I$89,5,0)</f>
        <v>0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387.37910791664007</v>
      </c>
      <c r="BJ154" s="62">
        <f t="shared" si="146"/>
        <v>311.37245656657353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1.2042746250079857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6.2856612118044563E-17</v>
      </c>
      <c r="BS154" s="24">
        <f t="shared" ref="BS154:BS203" si="169">SUM(BP154:BR154)</f>
        <v>1.2042746250079857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80.063676766746568</v>
      </c>
      <c r="T155" s="62">
        <f t="shared" si="142"/>
        <v>410.68113780291992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7.1676480479418512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5.6737075241886708E-20</v>
      </c>
      <c r="AC155" s="24">
        <f t="shared" si="163"/>
        <v>7.1676480479418512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1.1368683772161603E-13</v>
      </c>
      <c r="AJ155" s="14">
        <f>AI155*VLOOKUP('Données projet'!$B$10,Paramètres!$A$1:$I$89,3,0)*VLOOKUP('Données projet'!$B$10,Paramètres!$A$1:$I$89,5,0)</f>
        <v>6.7984728957526396E-14</v>
      </c>
      <c r="AK155" s="14">
        <f t="shared" si="164"/>
        <v>1.0682447123141398E-12</v>
      </c>
      <c r="AL155" s="22">
        <f t="shared" si="165"/>
        <v>1.978932943548152E-12</v>
      </c>
      <c r="AM155" s="62">
        <f t="shared" si="113"/>
        <v>286.92141300674189</v>
      </c>
      <c r="AN155" s="62">
        <f ca="1">AVERAGE(OFFSET($AM$3,0,0,'Données projet'!$E$10+1,1))-AVERAGE(OFFSET($H$3,0,0,'Données projet'!$E$10+1,1))</f>
        <v>189.09998601768521</v>
      </c>
      <c r="AO155" s="62">
        <f t="shared" si="144"/>
        <v>458.38901659119472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4.759802340438525</v>
      </c>
      <c r="AV155" s="23">
        <f>EXP(-LN(2)/25)*AV154+(1-EXP(-LN(2)/25))/(LN(2)/25)*Calculateur!AQ155*Calculateur!AS155*VLOOKUP('Données projet'!$B$10,Paramètres!$A$1:$I$89,3,0)*0.475*44/12</f>
        <v>1.4925221599940524</v>
      </c>
      <c r="AW155" s="23">
        <f>EXP(-LN(2)/2)*AW154+(1-EXP(-LN(2)/2))/(LN(2)/2)*AQ155*AT155*VLOOKUP('Données projet'!$B$10,Paramètres!$A$1:$I$89,3,0)*0.475*44/12</f>
        <v>1.8894341298528136E-17</v>
      </c>
      <c r="AX155" s="23">
        <f t="shared" si="166"/>
        <v>6.2523245004325769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>
        <f>BD155*VLOOKUP('Données projet'!$B$11,Paramètres!$A$1:$I$89,3,0)*VLOOKUP('Données projet'!$B$11,Paramètres!$A$1:$I$89,5,0)</f>
        <v>0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387.37910791664007</v>
      </c>
      <c r="BJ155" s="62">
        <f t="shared" si="146"/>
        <v>311.37245656657353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1.1806595341465711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4.4446336671081829E-17</v>
      </c>
      <c r="BS155" s="24">
        <f t="shared" si="169"/>
        <v>1.1806595341465711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80.063676766746568</v>
      </c>
      <c r="T156" s="62">
        <f t="shared" si="142"/>
        <v>410.68113780291992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7.0270948415553383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4.0119170648229468E-20</v>
      </c>
      <c r="AC156" s="24">
        <f t="shared" si="163"/>
        <v>7.0270948415553383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1.1368683772161603E-13</v>
      </c>
      <c r="AJ156" s="14">
        <f>AI156*VLOOKUP('Données projet'!$B$10,Paramètres!$A$1:$I$89,3,0)*VLOOKUP('Données projet'!$B$10,Paramètres!$A$1:$I$89,5,0)</f>
        <v>6.7984728957526396E-14</v>
      </c>
      <c r="AK156" s="14">
        <f t="shared" si="164"/>
        <v>1.0682447123141398E-12</v>
      </c>
      <c r="AL156" s="22">
        <f t="shared" si="165"/>
        <v>1.978932943548152E-12</v>
      </c>
      <c r="AM156" s="62">
        <f t="shared" si="113"/>
        <v>287.03264548950199</v>
      </c>
      <c r="AN156" s="62">
        <f ca="1">AVERAGE(OFFSET($AM$3,0,0,'Données projet'!$E$10+1,1))-AVERAGE(OFFSET($H$3,0,0,'Données projet'!$E$10+1,1))</f>
        <v>189.09998601768521</v>
      </c>
      <c r="AO156" s="62">
        <f t="shared" si="144"/>
        <v>458.38901659119472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4.6664655197352864</v>
      </c>
      <c r="AV156" s="23">
        <f>EXP(-LN(2)/25)*AV155+(1-EXP(-LN(2)/25))/(LN(2)/25)*Calculateur!AQ156*Calculateur!AS156*VLOOKUP('Données projet'!$B$10,Paramètres!$A$1:$I$89,3,0)*0.475*44/12</f>
        <v>1.4517090630406857</v>
      </c>
      <c r="AW156" s="23">
        <f>EXP(-LN(2)/2)*AW155+(1-EXP(-LN(2)/2))/(LN(2)/2)*AQ156*AT156*VLOOKUP('Données projet'!$B$10,Paramètres!$A$1:$I$89,3,0)*0.475*44/12</f>
        <v>1.3360316858242283E-17</v>
      </c>
      <c r="AX156" s="23">
        <f t="shared" si="166"/>
        <v>6.1181745827759721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>
        <f>BD156*VLOOKUP('Données projet'!$B$11,Paramètres!$A$1:$I$89,3,0)*VLOOKUP('Données projet'!$B$11,Paramètres!$A$1:$I$89,5,0)</f>
        <v>0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387.37910791664007</v>
      </c>
      <c r="BJ156" s="62">
        <f t="shared" si="146"/>
        <v>311.37245656657353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1.1575075208131655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3.1428306059022281E-17</v>
      </c>
      <c r="BS156" s="24">
        <f t="shared" si="169"/>
        <v>1.1575075208131655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80.063676766746568</v>
      </c>
      <c r="T157" s="62">
        <f t="shared" si="142"/>
        <v>410.68113780291992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6.8892977978170737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2.8368537620943354E-20</v>
      </c>
      <c r="AC157" s="24">
        <f t="shared" si="163"/>
        <v>6.8892977978170737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1.1368683772161603E-13</v>
      </c>
      <c r="AJ157" s="14">
        <f>AI157*VLOOKUP('Données projet'!$B$10,Paramètres!$A$1:$I$89,3,0)*VLOOKUP('Données projet'!$B$10,Paramètres!$A$1:$I$89,5,0)</f>
        <v>6.7984728957526396E-14</v>
      </c>
      <c r="AK157" s="14">
        <f t="shared" si="164"/>
        <v>1.0682447123141398E-12</v>
      </c>
      <c r="AL157" s="22">
        <f t="shared" si="165"/>
        <v>1.978932943548152E-12</v>
      </c>
      <c r="AM157" s="62">
        <f t="shared" si="113"/>
        <v>287.14194833736474</v>
      </c>
      <c r="AN157" s="62">
        <f ca="1">AVERAGE(OFFSET($AM$3,0,0,'Données projet'!$E$10+1,1))-AVERAGE(OFFSET($H$3,0,0,'Données projet'!$E$10+1,1))</f>
        <v>189.09998601768521</v>
      </c>
      <c r="AO157" s="62">
        <f t="shared" si="144"/>
        <v>458.38901659119472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4.5749589771561991</v>
      </c>
      <c r="AV157" s="23">
        <f>EXP(-LN(2)/25)*AV156+(1-EXP(-LN(2)/25))/(LN(2)/25)*Calculateur!AQ157*Calculateur!AS157*VLOOKUP('Données projet'!$B$10,Paramètres!$A$1:$I$89,3,0)*0.475*44/12</f>
        <v>1.4120120023697764</v>
      </c>
      <c r="AW157" s="23">
        <f>EXP(-LN(2)/2)*AW156+(1-EXP(-LN(2)/2))/(LN(2)/2)*AQ157*AT157*VLOOKUP('Données projet'!$B$10,Paramètres!$A$1:$I$89,3,0)*0.475*44/12</f>
        <v>9.447170649264068E-18</v>
      </c>
      <c r="AX157" s="23">
        <f t="shared" si="166"/>
        <v>5.9869709795259753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>
        <f>BD157*VLOOKUP('Données projet'!$B$11,Paramètres!$A$1:$I$89,3,0)*VLOOKUP('Données projet'!$B$11,Paramètres!$A$1:$I$89,5,0)</f>
        <v>0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387.37910791664007</v>
      </c>
      <c r="BJ157" s="62">
        <f t="shared" si="146"/>
        <v>311.37245656657353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1.1348095043398945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2.2223168335540914E-17</v>
      </c>
      <c r="BS157" s="24">
        <f t="shared" si="169"/>
        <v>1.1348095043398945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80.063676766746568</v>
      </c>
      <c r="T158" s="62">
        <f t="shared" si="142"/>
        <v>410.68113780291992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6.7542028700586192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2.0059585324114734E-20</v>
      </c>
      <c r="AC158" s="24">
        <f t="shared" si="163"/>
        <v>6.7542028700586192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1.1368683772161603E-13</v>
      </c>
      <c r="AJ158" s="14">
        <f>AI158*VLOOKUP('Données projet'!$B$10,Paramètres!$A$1:$I$89,3,0)*VLOOKUP('Données projet'!$B$10,Paramètres!$A$1:$I$89,5,0)</f>
        <v>6.7984728957526396E-14</v>
      </c>
      <c r="AK158" s="14">
        <f t="shared" si="164"/>
        <v>1.0682447123141398E-12</v>
      </c>
      <c r="AL158" s="22">
        <f t="shared" si="165"/>
        <v>1.978932943548152E-12</v>
      </c>
      <c r="AM158" s="62">
        <f t="shared" si="113"/>
        <v>287.24935502518167</v>
      </c>
      <c r="AN158" s="62">
        <f ca="1">AVERAGE(OFFSET($AM$3,0,0,'Données projet'!$E$10+1,1))-AVERAGE(OFFSET($H$3,0,0,'Données projet'!$E$10+1,1))</f>
        <v>189.09998601768521</v>
      </c>
      <c r="AO158" s="62">
        <f t="shared" si="144"/>
        <v>458.38901659119472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4.4852468220636084</v>
      </c>
      <c r="AV158" s="23">
        <f>EXP(-LN(2)/25)*AV157+(1-EXP(-LN(2)/25))/(LN(2)/25)*Calculateur!AQ158*Calculateur!AS158*VLOOKUP('Données projet'!$B$10,Paramètres!$A$1:$I$89,3,0)*0.475*44/12</f>
        <v>1.373400459910491</v>
      </c>
      <c r="AW158" s="23">
        <f>EXP(-LN(2)/2)*AW157+(1-EXP(-LN(2)/2))/(LN(2)/2)*AQ158*AT158*VLOOKUP('Données projet'!$B$10,Paramètres!$A$1:$I$89,3,0)*0.475*44/12</f>
        <v>6.6801584291211415E-18</v>
      </c>
      <c r="AX158" s="23">
        <f t="shared" si="166"/>
        <v>5.8586472819740996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>
        <f>BD158*VLOOKUP('Données projet'!$B$11,Paramètres!$A$1:$I$89,3,0)*VLOOKUP('Données projet'!$B$11,Paramètres!$A$1:$I$89,5,0)</f>
        <v>0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387.37910791664007</v>
      </c>
      <c r="BJ158" s="62">
        <f t="shared" si="146"/>
        <v>311.37245656657353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1.1125565821252412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1.5714153029511141E-17</v>
      </c>
      <c r="BS158" s="24">
        <f t="shared" si="169"/>
        <v>1.1125565821252412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80.063676766746568</v>
      </c>
      <c r="T159" s="62">
        <f t="shared" si="142"/>
        <v>410.68113780291992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6.6217570714337377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1.4184268810471677E-20</v>
      </c>
      <c r="AC159" s="24">
        <f t="shared" si="163"/>
        <v>6.6217570714337377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1.1368683772161603E-13</v>
      </c>
      <c r="AJ159" s="14">
        <f>AI159*VLOOKUP('Données projet'!$B$10,Paramètres!$A$1:$I$89,3,0)*VLOOKUP('Données projet'!$B$10,Paramètres!$A$1:$I$89,5,0)</f>
        <v>6.7984728957526396E-14</v>
      </c>
      <c r="AK159" s="14">
        <f t="shared" si="164"/>
        <v>1.0682447123141398E-12</v>
      </c>
      <c r="AL159" s="22">
        <f t="shared" si="165"/>
        <v>1.978932943548152E-12</v>
      </c>
      <c r="AM159" s="62">
        <f t="shared" si="113"/>
        <v>287.35489844709031</v>
      </c>
      <c r="AN159" s="62">
        <f ca="1">AVERAGE(OFFSET($AM$3,0,0,'Données projet'!$E$10+1,1))-AVERAGE(OFFSET($H$3,0,0,'Données projet'!$E$10+1,1))</f>
        <v>189.09998601768521</v>
      </c>
      <c r="AO159" s="62">
        <f t="shared" si="144"/>
        <v>458.38901659119472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4.3972938676133717</v>
      </c>
      <c r="AV159" s="23">
        <f>EXP(-LN(2)/25)*AV158+(1-EXP(-LN(2)/25))/(LN(2)/25)*Calculateur!AQ159*Calculateur!AS159*VLOOKUP('Données projet'!$B$10,Paramètres!$A$1:$I$89,3,0)*0.475*44/12</f>
        <v>1.3358447521102474</v>
      </c>
      <c r="AW159" s="23">
        <f>EXP(-LN(2)/2)*AW158+(1-EXP(-LN(2)/2))/(LN(2)/2)*AQ159*AT159*VLOOKUP('Données projet'!$B$10,Paramètres!$A$1:$I$89,3,0)*0.475*44/12</f>
        <v>4.723585324632034E-18</v>
      </c>
      <c r="AX159" s="23">
        <f t="shared" si="166"/>
        <v>5.7331386197236194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>
        <f>BD159*VLOOKUP('Données projet'!$B$11,Paramètres!$A$1:$I$89,3,0)*VLOOKUP('Données projet'!$B$11,Paramètres!$A$1:$I$89,5,0)</f>
        <v>0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387.37910791664007</v>
      </c>
      <c r="BJ159" s="62">
        <f t="shared" si="146"/>
        <v>311.37245656657353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1.0907400261422748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1.1111584167770457E-17</v>
      </c>
      <c r="BS159" s="24">
        <f t="shared" si="169"/>
        <v>1.0907400261422748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80.063676766746568</v>
      </c>
      <c r="T160" s="62">
        <f t="shared" si="142"/>
        <v>410.68113780291992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6.4919084541359302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1.0029792662057367E-20</v>
      </c>
      <c r="AC160" s="24">
        <f t="shared" si="163"/>
        <v>6.4919084541359302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1.1368683772161603E-13</v>
      </c>
      <c r="AJ160" s="14">
        <f>AI160*VLOOKUP('Données projet'!$B$10,Paramètres!$A$1:$I$89,3,0)*VLOOKUP('Données projet'!$B$10,Paramètres!$A$1:$I$89,5,0)</f>
        <v>6.7984728957526396E-14</v>
      </c>
      <c r="AK160" s="14">
        <f t="shared" si="164"/>
        <v>1.0682447123141398E-12</v>
      </c>
      <c r="AL160" s="22">
        <f t="shared" si="165"/>
        <v>1.978932943548152E-12</v>
      </c>
      <c r="AM160" s="62">
        <f t="shared" si="113"/>
        <v>287.45861092658856</v>
      </c>
      <c r="AN160" s="62">
        <f ca="1">AVERAGE(OFFSET($AM$3,0,0,'Données projet'!$E$10+1,1))-AVERAGE(OFFSET($H$3,0,0,'Données projet'!$E$10+1,1))</f>
        <v>189.09998601768521</v>
      </c>
      <c r="AO160" s="62">
        <f t="shared" si="144"/>
        <v>458.38901659119472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4.3110656169538988</v>
      </c>
      <c r="AV160" s="23">
        <f>EXP(-LN(2)/25)*AV159+(1-EXP(-LN(2)/25))/(LN(2)/25)*Calculateur!AQ160*Calculateur!AS160*VLOOKUP('Données projet'!$B$10,Paramètres!$A$1:$I$89,3,0)*0.475*44/12</f>
        <v>1.2993160071147702</v>
      </c>
      <c r="AW160" s="23">
        <f>EXP(-LN(2)/2)*AW159+(1-EXP(-LN(2)/2))/(LN(2)/2)*AQ160*AT160*VLOOKUP('Données projet'!$B$10,Paramètres!$A$1:$I$89,3,0)*0.475*44/12</f>
        <v>3.3400792145605707E-18</v>
      </c>
      <c r="AX160" s="23">
        <f t="shared" si="166"/>
        <v>5.610381624068669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>
        <f>BD160*VLOOKUP('Données projet'!$B$11,Paramètres!$A$1:$I$89,3,0)*VLOOKUP('Données projet'!$B$11,Paramètres!$A$1:$I$89,5,0)</f>
        <v>0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387.37910791664007</v>
      </c>
      <c r="BJ160" s="62">
        <f t="shared" si="146"/>
        <v>311.37245656657353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1.0693512795153493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7.8570765147555703E-18</v>
      </c>
      <c r="BS160" s="24">
        <f t="shared" si="169"/>
        <v>1.0693512795153493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80.063676766746568</v>
      </c>
      <c r="T161" s="62">
        <f t="shared" si="142"/>
        <v>410.68113780291992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6.3646060890234963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7.0921344052358385E-21</v>
      </c>
      <c r="AC161" s="24">
        <f t="shared" si="163"/>
        <v>6.3646060890234963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1.1368683772161603E-13</v>
      </c>
      <c r="AJ161" s="14">
        <f>AI161*VLOOKUP('Données projet'!$B$10,Paramètres!$A$1:$I$89,3,0)*VLOOKUP('Données projet'!$B$10,Paramètres!$A$1:$I$89,5,0)</f>
        <v>6.7984728957526396E-14</v>
      </c>
      <c r="AK161" s="14">
        <f t="shared" si="164"/>
        <v>1.0682447123141398E-12</v>
      </c>
      <c r="AL161" s="22">
        <f t="shared" si="165"/>
        <v>1.978932943548152E-12</v>
      </c>
      <c r="AM161" s="62">
        <f t="shared" si="113"/>
        <v>287.56052422643398</v>
      </c>
      <c r="AN161" s="62">
        <f ca="1">AVERAGE(OFFSET($AM$3,0,0,'Données projet'!$E$10+1,1))-AVERAGE(OFFSET($H$3,0,0,'Données projet'!$E$10+1,1))</f>
        <v>189.09998601768521</v>
      </c>
      <c r="AO161" s="62">
        <f t="shared" si="144"/>
        <v>458.38901659119472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4.2265282496958188</v>
      </c>
      <c r="AV161" s="23">
        <f>EXP(-LN(2)/25)*AV160+(1-EXP(-LN(2)/25))/(LN(2)/25)*Calculateur!AQ161*Calculateur!AS161*VLOOKUP('Données projet'!$B$10,Paramètres!$A$1:$I$89,3,0)*0.475*44/12</f>
        <v>1.2637861425721577</v>
      </c>
      <c r="AW161" s="23">
        <f>EXP(-LN(2)/2)*AW160+(1-EXP(-LN(2)/2))/(LN(2)/2)*AQ161*AT161*VLOOKUP('Données projet'!$B$10,Paramètres!$A$1:$I$89,3,0)*0.475*44/12</f>
        <v>2.361792662316017E-18</v>
      </c>
      <c r="AX161" s="23">
        <f t="shared" si="166"/>
        <v>5.490314392267976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>
        <f>BD161*VLOOKUP('Données projet'!$B$11,Paramètres!$A$1:$I$89,3,0)*VLOOKUP('Données projet'!$B$11,Paramètres!$A$1:$I$89,5,0)</f>
        <v>0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387.37910791664007</v>
      </c>
      <c r="BJ161" s="62">
        <f t="shared" si="146"/>
        <v>311.37245656657353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1.0483819531639305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5.5557920838852286E-18</v>
      </c>
      <c r="BS161" s="24">
        <f t="shared" si="169"/>
        <v>1.0483819531639305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80.063676766746568</v>
      </c>
      <c r="T162" s="62">
        <f t="shared" si="142"/>
        <v>410.68113780291992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6.2398000456441416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5.0148963310286835E-21</v>
      </c>
      <c r="AC162" s="24">
        <f t="shared" si="163"/>
        <v>6.2398000456441416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1.1368683772161603E-13</v>
      </c>
      <c r="AJ162" s="14">
        <f>AI162*VLOOKUP('Données projet'!$B$10,Paramètres!$A$1:$I$89,3,0)*VLOOKUP('Données projet'!$B$10,Paramètres!$A$1:$I$89,5,0)</f>
        <v>6.7984728957526396E-14</v>
      </c>
      <c r="AK162" s="14">
        <f t="shared" si="164"/>
        <v>1.0682447123141398E-12</v>
      </c>
      <c r="AL162" s="22">
        <f t="shared" si="165"/>
        <v>1.978932943548152E-12</v>
      </c>
      <c r="AM162" s="62">
        <f t="shared" si="113"/>
        <v>287.66066955837096</v>
      </c>
      <c r="AN162" s="62">
        <f ca="1">AVERAGE(OFFSET($AM$3,0,0,'Données projet'!$E$10+1,1))-AVERAGE(OFFSET($H$3,0,0,'Données projet'!$E$10+1,1))</f>
        <v>189.09998601768521</v>
      </c>
      <c r="AO162" s="62">
        <f t="shared" si="144"/>
        <v>458.38901659119472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4.1436486086469673</v>
      </c>
      <c r="AV162" s="23">
        <f>EXP(-LN(2)/25)*AV161+(1-EXP(-LN(2)/25))/(LN(2)/25)*Calculateur!AQ162*Calculateur!AS162*VLOOKUP('Données projet'!$B$10,Paramètres!$A$1:$I$89,3,0)*0.475*44/12</f>
        <v>1.2292278440438973</v>
      </c>
      <c r="AW162" s="23">
        <f>EXP(-LN(2)/2)*AW161+(1-EXP(-LN(2)/2))/(LN(2)/2)*AQ162*AT162*VLOOKUP('Données projet'!$B$10,Paramètres!$A$1:$I$89,3,0)*0.475*44/12</f>
        <v>1.6700396072802854E-18</v>
      </c>
      <c r="AX162" s="23">
        <f t="shared" si="166"/>
        <v>5.3728764526908641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>
        <f>BD162*VLOOKUP('Données projet'!$B$11,Paramètres!$A$1:$I$89,3,0)*VLOOKUP('Données projet'!$B$11,Paramètres!$A$1:$I$89,5,0)</f>
        <v>0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387.37910791664007</v>
      </c>
      <c r="BJ162" s="62">
        <f t="shared" si="146"/>
        <v>311.37245656657353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1.0278238225122367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3.9285382573777852E-18</v>
      </c>
      <c r="BS162" s="24">
        <f t="shared" si="169"/>
        <v>1.0278238225122367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80.063676766746568</v>
      </c>
      <c r="T163" s="62">
        <f t="shared" si="142"/>
        <v>410.68113780291992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6.1174413726512862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3.5460672026179193E-21</v>
      </c>
      <c r="AC163" s="24">
        <f t="shared" si="163"/>
        <v>6.1174413726512862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1.1368683772161603E-13</v>
      </c>
      <c r="AJ163" s="14">
        <f>AI163*VLOOKUP('Données projet'!$B$10,Paramètres!$A$1:$I$89,3,0)*VLOOKUP('Données projet'!$B$10,Paramètres!$A$1:$I$89,5,0)</f>
        <v>6.7984728957526396E-14</v>
      </c>
      <c r="AK163" s="14">
        <f t="shared" si="164"/>
        <v>1.0682447123141398E-12</v>
      </c>
      <c r="AL163" s="22">
        <f t="shared" si="165"/>
        <v>1.978932943548152E-12</v>
      </c>
      <c r="AM163" s="62">
        <f t="shared" si="113"/>
        <v>287.75907759269035</v>
      </c>
      <c r="AN163" s="62">
        <f ca="1">AVERAGE(OFFSET($AM$3,0,0,'Données projet'!$E$10+1,1))-AVERAGE(OFFSET($H$3,0,0,'Données projet'!$E$10+1,1))</f>
        <v>189.09998601768521</v>
      </c>
      <c r="AO163" s="62">
        <f t="shared" si="144"/>
        <v>458.38901659119472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4.0623941868074942</v>
      </c>
      <c r="AV163" s="23">
        <f>EXP(-LN(2)/25)*AV162+(1-EXP(-LN(2)/25))/(LN(2)/25)*Calculateur!AQ163*Calculateur!AS163*VLOOKUP('Données projet'!$B$10,Paramètres!$A$1:$I$89,3,0)*0.475*44/12</f>
        <v>1.195614544006234</v>
      </c>
      <c r="AW163" s="23">
        <f>EXP(-LN(2)/2)*AW162+(1-EXP(-LN(2)/2))/(LN(2)/2)*AQ163*AT163*VLOOKUP('Données projet'!$B$10,Paramètres!$A$1:$I$89,3,0)*0.475*44/12</f>
        <v>1.1808963311580085E-18</v>
      </c>
      <c r="AX163" s="23">
        <f t="shared" si="166"/>
        <v>5.258008730813728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>
        <f>BD163*VLOOKUP('Données projet'!$B$11,Paramètres!$A$1:$I$89,3,0)*VLOOKUP('Données projet'!$B$11,Paramètres!$A$1:$I$89,5,0)</f>
        <v>0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387.37910791664007</v>
      </c>
      <c r="BJ163" s="62">
        <f t="shared" si="146"/>
        <v>311.37245656657353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1.0076688242634011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2.7778960419426143E-18</v>
      </c>
      <c r="BS163" s="24">
        <f t="shared" si="169"/>
        <v>1.0076688242634011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80.063676766746568</v>
      </c>
      <c r="T164" s="62">
        <f t="shared" si="142"/>
        <v>410.68113780291992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5.9974820786043992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2.5074481655143418E-21</v>
      </c>
      <c r="AC164" s="24">
        <f t="shared" si="163"/>
        <v>5.9974820786043992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1.1368683772161603E-13</v>
      </c>
      <c r="AJ164" s="14">
        <f>AI164*VLOOKUP('Données projet'!$B$10,Paramètres!$A$1:$I$89,3,0)*VLOOKUP('Données projet'!$B$10,Paramètres!$A$1:$I$89,5,0)</f>
        <v>6.7984728957526396E-14</v>
      </c>
      <c r="AK164" s="14">
        <f t="shared" si="164"/>
        <v>1.0682447123141398E-12</v>
      </c>
      <c r="AL164" s="22">
        <f t="shared" si="165"/>
        <v>1.978932943548152E-12</v>
      </c>
      <c r="AM164" s="62">
        <f t="shared" si="113"/>
        <v>287.85577846762169</v>
      </c>
      <c r="AN164" s="62">
        <f ca="1">AVERAGE(OFFSET($AM$3,0,0,'Données projet'!$E$10+1,1))-AVERAGE(OFFSET($H$3,0,0,'Données projet'!$E$10+1,1))</f>
        <v>189.09998601768521</v>
      </c>
      <c r="AO164" s="62">
        <f t="shared" si="144"/>
        <v>458.38901659119472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3.9827331146199891</v>
      </c>
      <c r="AV164" s="23">
        <f>EXP(-LN(2)/25)*AV163+(1-EXP(-LN(2)/25))/(LN(2)/25)*Calculateur!AQ164*Calculateur!AS164*VLOOKUP('Données projet'!$B$10,Paramètres!$A$1:$I$89,3,0)*0.475*44/12</f>
        <v>1.1629204014257473</v>
      </c>
      <c r="AW164" s="23">
        <f>EXP(-LN(2)/2)*AW163+(1-EXP(-LN(2)/2))/(LN(2)/2)*AQ164*AT164*VLOOKUP('Données projet'!$B$10,Paramètres!$A$1:$I$89,3,0)*0.475*44/12</f>
        <v>8.3501980364014269E-19</v>
      </c>
      <c r="AX164" s="23">
        <f t="shared" si="166"/>
        <v>5.1456535160457362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>
        <f>BD164*VLOOKUP('Données projet'!$B$11,Paramètres!$A$1:$I$89,3,0)*VLOOKUP('Données projet'!$B$11,Paramètres!$A$1:$I$89,5,0)</f>
        <v>0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387.37910791664007</v>
      </c>
      <c r="BJ164" s="62">
        <f t="shared" si="146"/>
        <v>311.37245656657353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0.98790905323689016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1.9642691286888926E-18</v>
      </c>
      <c r="BS164" s="24">
        <f t="shared" si="169"/>
        <v>0.98790905323689016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80.063676766746568</v>
      </c>
      <c r="T165" s="62">
        <f t="shared" si="142"/>
        <v>410.68113780291992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5.8798751131458271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1.7730336013089596E-21</v>
      </c>
      <c r="AC165" s="24">
        <f t="shared" si="163"/>
        <v>5.8798751131458271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1.1368683772161603E-13</v>
      </c>
      <c r="AJ165" s="14">
        <f>AI165*VLOOKUP('Données projet'!$B$10,Paramètres!$A$1:$I$89,3,0)*VLOOKUP('Données projet'!$B$10,Paramètres!$A$1:$I$89,5,0)</f>
        <v>6.7984728957526396E-14</v>
      </c>
      <c r="AK165" s="14">
        <f t="shared" si="164"/>
        <v>1.0682447123141398E-12</v>
      </c>
      <c r="AL165" s="22">
        <f t="shared" si="165"/>
        <v>1.978932943548152E-12</v>
      </c>
      <c r="AM165" s="62">
        <f t="shared" si="113"/>
        <v>287.9508017985637</v>
      </c>
      <c r="AN165" s="62">
        <f ca="1">AVERAGE(OFFSET($AM$3,0,0,'Données projet'!$E$10+1,1))-AVERAGE(OFFSET($H$3,0,0,'Données projet'!$E$10+1,1))</f>
        <v>189.09998601768521</v>
      </c>
      <c r="AO165" s="62">
        <f t="shared" si="144"/>
        <v>458.38901659119472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3.9046341474696247</v>
      </c>
      <c r="AV165" s="23">
        <f>EXP(-LN(2)/25)*AV164+(1-EXP(-LN(2)/25))/(LN(2)/25)*Calculateur!AQ165*Calculateur!AS165*VLOOKUP('Données projet'!$B$10,Paramètres!$A$1:$I$89,3,0)*0.475*44/12</f>
        <v>1.1311202818934343</v>
      </c>
      <c r="AW165" s="23">
        <f>EXP(-LN(2)/2)*AW164+(1-EXP(-LN(2)/2))/(LN(2)/2)*AQ165*AT165*VLOOKUP('Données projet'!$B$10,Paramètres!$A$1:$I$89,3,0)*0.475*44/12</f>
        <v>5.9044816557900425E-19</v>
      </c>
      <c r="AX165" s="23">
        <f t="shared" si="166"/>
        <v>5.0357544293630587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>
        <f>BD165*VLOOKUP('Données projet'!$B$11,Paramètres!$A$1:$I$89,3,0)*VLOOKUP('Données projet'!$B$11,Paramètres!$A$1:$I$89,5,0)</f>
        <v>0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387.37910791664007</v>
      </c>
      <c r="BJ165" s="62">
        <f t="shared" si="146"/>
        <v>311.37245656657353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0.96853675926793881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1.3889480209713072E-18</v>
      </c>
      <c r="BS165" s="24">
        <f t="shared" si="169"/>
        <v>0.96853675926793881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80.063676766746568</v>
      </c>
      <c r="T166" s="62">
        <f t="shared" si="142"/>
        <v>410.68113780291992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5.7645743485467316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1.2537240827571709E-21</v>
      </c>
      <c r="AC166" s="24">
        <f t="shared" si="163"/>
        <v>5.7645743485467316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1.1368683772161603E-13</v>
      </c>
      <c r="AJ166" s="14">
        <f>AI166*VLOOKUP('Données projet'!$B$10,Paramètres!$A$1:$I$89,3,0)*VLOOKUP('Données projet'!$B$10,Paramètres!$A$1:$I$89,5,0)</f>
        <v>6.7984728957526396E-14</v>
      </c>
      <c r="AK166" s="14">
        <f t="shared" si="164"/>
        <v>1.0682447123141398E-12</v>
      </c>
      <c r="AL166" s="22">
        <f t="shared" si="165"/>
        <v>1.978932943548152E-12</v>
      </c>
      <c r="AM166" s="62">
        <f t="shared" si="113"/>
        <v>288.04417668715422</v>
      </c>
      <c r="AN166" s="62">
        <f ca="1">AVERAGE(OFFSET($AM$3,0,0,'Données projet'!$E$10+1,1))-AVERAGE(OFFSET($H$3,0,0,'Données projet'!$E$10+1,1))</f>
        <v>189.09998601768521</v>
      </c>
      <c r="AO166" s="62">
        <f t="shared" si="144"/>
        <v>458.38901659119472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3.8280666534294125</v>
      </c>
      <c r="AV166" s="23">
        <f>EXP(-LN(2)/25)*AV165+(1-EXP(-LN(2)/25))/(LN(2)/25)*Calculateur!AQ166*Calculateur!AS166*VLOOKUP('Données projet'!$B$10,Paramètres!$A$1:$I$89,3,0)*0.475*44/12</f>
        <v>1.1001897383020278</v>
      </c>
      <c r="AW166" s="23">
        <f>EXP(-LN(2)/2)*AW165+(1-EXP(-LN(2)/2))/(LN(2)/2)*AQ166*AT166*VLOOKUP('Données projet'!$B$10,Paramètres!$A$1:$I$89,3,0)*0.475*44/12</f>
        <v>4.1750990182007134E-19</v>
      </c>
      <c r="AX166" s="23">
        <f t="shared" si="166"/>
        <v>4.9282563917314404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>
        <f>BD166*VLOOKUP('Données projet'!$B$11,Paramètres!$A$1:$I$89,3,0)*VLOOKUP('Données projet'!$B$11,Paramètres!$A$1:$I$89,5,0)</f>
        <v>0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387.37910791664007</v>
      </c>
      <c r="BJ166" s="62">
        <f t="shared" si="146"/>
        <v>311.37245656657353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0.9495443441677861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9.8213456434444629E-19</v>
      </c>
      <c r="BS166" s="24">
        <f t="shared" si="169"/>
        <v>0.9495443441677861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80.063676766746568</v>
      </c>
      <c r="T167" s="62">
        <f t="shared" si="142"/>
        <v>410.68113780291992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5.651534561614902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8.8651680065447981E-22</v>
      </c>
      <c r="AC167" s="24">
        <f t="shared" si="163"/>
        <v>5.651534561614902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1.1368683772161603E-13</v>
      </c>
      <c r="AJ167" s="14">
        <f>AI167*VLOOKUP('Données projet'!$B$10,Paramètres!$A$1:$I$89,3,0)*VLOOKUP('Données projet'!$B$10,Paramètres!$A$1:$I$89,5,0)</f>
        <v>6.7984728957526396E-14</v>
      </c>
      <c r="AK167" s="14">
        <f t="shared" si="164"/>
        <v>1.0682447123141398E-12</v>
      </c>
      <c r="AL167" s="22">
        <f t="shared" si="165"/>
        <v>1.978932943548152E-12</v>
      </c>
      <c r="AM167" s="62">
        <f t="shared" si="113"/>
        <v>288.13593173018268</v>
      </c>
      <c r="AN167" s="62">
        <f ca="1">AVERAGE(OFFSET($AM$3,0,0,'Données projet'!$E$10+1,1))-AVERAGE(OFFSET($H$3,0,0,'Données projet'!$E$10+1,1))</f>
        <v>189.09998601768521</v>
      </c>
      <c r="AO167" s="62">
        <f t="shared" si="144"/>
        <v>458.38901659119472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3.7530006012457693</v>
      </c>
      <c r="AV167" s="23">
        <f>EXP(-LN(2)/25)*AV166+(1-EXP(-LN(2)/25))/(LN(2)/25)*Calculateur!AQ167*Calculateur!AS167*VLOOKUP('Données projet'!$B$10,Paramètres!$A$1:$I$89,3,0)*0.475*44/12</f>
        <v>1.070104992051695</v>
      </c>
      <c r="AW167" s="23">
        <f>EXP(-LN(2)/2)*AW166+(1-EXP(-LN(2)/2))/(LN(2)/2)*AQ167*AT167*VLOOKUP('Données projet'!$B$10,Paramètres!$A$1:$I$89,3,0)*0.475*44/12</f>
        <v>2.9522408278950212E-19</v>
      </c>
      <c r="AX167" s="23">
        <f t="shared" si="166"/>
        <v>4.8231055932974645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>
        <f>BD167*VLOOKUP('Données projet'!$B$11,Paramètres!$A$1:$I$89,3,0)*VLOOKUP('Données projet'!$B$11,Paramètres!$A$1:$I$89,5,0)</f>
        <v>0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387.37910791664007</v>
      </c>
      <c r="BJ167" s="62">
        <f t="shared" si="146"/>
        <v>311.37245656657353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0.93092435874351798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6.9447401048565358E-19</v>
      </c>
      <c r="BS167" s="24">
        <f t="shared" si="169"/>
        <v>0.93092435874351798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80.063676766746568</v>
      </c>
      <c r="T168" s="62">
        <f t="shared" si="142"/>
        <v>410.68113780291992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5.5407114159573441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6.2686204137858544E-22</v>
      </c>
      <c r="AC168" s="24">
        <f t="shared" si="163"/>
        <v>5.5407114159573441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1.1368683772161603E-13</v>
      </c>
      <c r="AJ168" s="14">
        <f>AI168*VLOOKUP('Données projet'!$B$10,Paramètres!$A$1:$I$89,3,0)*VLOOKUP('Données projet'!$B$10,Paramètres!$A$1:$I$89,5,0)</f>
        <v>6.7984728957526396E-14</v>
      </c>
      <c r="AK168" s="14">
        <f t="shared" si="164"/>
        <v>1.0682447123141398E-12</v>
      </c>
      <c r="AL168" s="22">
        <f t="shared" si="165"/>
        <v>1.978932943548152E-12</v>
      </c>
      <c r="AM168" s="62">
        <f t="shared" si="113"/>
        <v>288.22609502834814</v>
      </c>
      <c r="AN168" s="62">
        <f ca="1">AVERAGE(OFFSET($AM$3,0,0,'Données projet'!$E$10+1,1))-AVERAGE(OFFSET($H$3,0,0,'Données projet'!$E$10+1,1))</f>
        <v>189.09998601768521</v>
      </c>
      <c r="AO168" s="62">
        <f t="shared" si="144"/>
        <v>458.38901659119472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3.6794065485596761</v>
      </c>
      <c r="AV168" s="23">
        <f>EXP(-LN(2)/25)*AV167+(1-EXP(-LN(2)/25))/(LN(2)/25)*Calculateur!AQ168*Calculateur!AS168*VLOOKUP('Données projet'!$B$10,Paramètres!$A$1:$I$89,3,0)*0.475*44/12</f>
        <v>1.0408429147696656</v>
      </c>
      <c r="AW168" s="23">
        <f>EXP(-LN(2)/2)*AW167+(1-EXP(-LN(2)/2))/(LN(2)/2)*AQ168*AT168*VLOOKUP('Données projet'!$B$10,Paramètres!$A$1:$I$89,3,0)*0.475*44/12</f>
        <v>2.0875495091003567E-19</v>
      </c>
      <c r="AX168" s="23">
        <f t="shared" si="166"/>
        <v>4.7202494633293419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>
        <f>BD168*VLOOKUP('Données projet'!$B$11,Paramètres!$A$1:$I$89,3,0)*VLOOKUP('Données projet'!$B$11,Paramètres!$A$1:$I$89,5,0)</f>
        <v>0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387.37910791664007</v>
      </c>
      <c r="BJ168" s="62">
        <f t="shared" si="146"/>
        <v>311.37245656657353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0.91266949987635004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4.9106728217222314E-19</v>
      </c>
      <c r="BS168" s="24">
        <f t="shared" si="169"/>
        <v>0.91266949987635004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80.063676766746568</v>
      </c>
      <c r="T169" s="62">
        <f t="shared" si="142"/>
        <v>410.68113780291992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5.4320614445906861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4.4325840032723991E-22</v>
      </c>
      <c r="AC169" s="24">
        <f t="shared" si="163"/>
        <v>5.4320614445906861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1.1368683772161603E-13</v>
      </c>
      <c r="AJ169" s="14">
        <f>AI169*VLOOKUP('Données projet'!$B$10,Paramètres!$A$1:$I$89,3,0)*VLOOKUP('Données projet'!$B$10,Paramètres!$A$1:$I$89,5,0)</f>
        <v>6.7984728957526396E-14</v>
      </c>
      <c r="AK169" s="14">
        <f t="shared" si="164"/>
        <v>1.0682447123141398E-12</v>
      </c>
      <c r="AL169" s="22">
        <f t="shared" si="165"/>
        <v>1.978932943548152E-12</v>
      </c>
      <c r="AM169" s="62">
        <f t="shared" si="113"/>
        <v>288.31469419486541</v>
      </c>
      <c r="AN169" s="62">
        <f ca="1">AVERAGE(OFFSET($AM$3,0,0,'Données projet'!$E$10+1,1))-AVERAGE(OFFSET($H$3,0,0,'Données projet'!$E$10+1,1))</f>
        <v>189.09998601768521</v>
      </c>
      <c r="AO169" s="62">
        <f t="shared" si="144"/>
        <v>458.38901659119472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3.6072556303588175</v>
      </c>
      <c r="AV169" s="23">
        <f>EXP(-LN(2)/25)*AV168+(1-EXP(-LN(2)/25))/(LN(2)/25)*Calculateur!AQ169*Calculateur!AS169*VLOOKUP('Données projet'!$B$10,Paramètres!$A$1:$I$89,3,0)*0.475*44/12</f>
        <v>1.0123810105297391</v>
      </c>
      <c r="AW169" s="23">
        <f>EXP(-LN(2)/2)*AW168+(1-EXP(-LN(2)/2))/(LN(2)/2)*AQ169*AT169*VLOOKUP('Données projet'!$B$10,Paramètres!$A$1:$I$89,3,0)*0.475*44/12</f>
        <v>1.4761204139475106E-19</v>
      </c>
      <c r="AX169" s="23">
        <f t="shared" si="166"/>
        <v>4.6196366408885563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>
        <f>BD169*VLOOKUP('Données projet'!$B$11,Paramètres!$A$1:$I$89,3,0)*VLOOKUP('Données projet'!$B$11,Paramètres!$A$1:$I$89,5,0)</f>
        <v>0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387.37910791664007</v>
      </c>
      <c r="BJ169" s="62">
        <f t="shared" si="146"/>
        <v>311.37245656657353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0.89477260765720279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3.4723700524282679E-19</v>
      </c>
      <c r="BS169" s="24">
        <f t="shared" si="169"/>
        <v>0.89477260765720279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80.063676766746568</v>
      </c>
      <c r="T170" s="62">
        <f t="shared" si="142"/>
        <v>410.68113780291992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5.3255420328925895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3.1343102068929272E-22</v>
      </c>
      <c r="AC170" s="24">
        <f t="shared" si="163"/>
        <v>5.3255420328925895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1.1368683772161603E-13</v>
      </c>
      <c r="AJ170" s="14">
        <f>AI170*VLOOKUP('Données projet'!$B$10,Paramètres!$A$1:$I$89,3,0)*VLOOKUP('Données projet'!$B$10,Paramètres!$A$1:$I$89,5,0)</f>
        <v>6.7984728957526396E-14</v>
      </c>
      <c r="AK170" s="14">
        <f t="shared" si="164"/>
        <v>1.0682447123141398E-12</v>
      </c>
      <c r="AL170" s="22">
        <f t="shared" si="165"/>
        <v>1.978932943548152E-12</v>
      </c>
      <c r="AM170" s="62">
        <f t="shared" si="113"/>
        <v>288.40175636392161</v>
      </c>
      <c r="AN170" s="62">
        <f ca="1">AVERAGE(OFFSET($AM$3,0,0,'Données projet'!$E$10+1,1))-AVERAGE(OFFSET($H$3,0,0,'Données projet'!$E$10+1,1))</f>
        <v>189.09998601768521</v>
      </c>
      <c r="AO170" s="62">
        <f t="shared" si="144"/>
        <v>458.38901659119472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3.5365195476561628</v>
      </c>
      <c r="AV170" s="23">
        <f>EXP(-LN(2)/25)*AV169+(1-EXP(-LN(2)/25))/(LN(2)/25)*Calculateur!AQ170*Calculateur!AS170*VLOOKUP('Données projet'!$B$10,Paramètres!$A$1:$I$89,3,0)*0.475*44/12</f>
        <v>0.98469739855799987</v>
      </c>
      <c r="AW170" s="23">
        <f>EXP(-LN(2)/2)*AW169+(1-EXP(-LN(2)/2))/(LN(2)/2)*AQ170*AT170*VLOOKUP('Données projet'!$B$10,Paramètres!$A$1:$I$89,3,0)*0.475*44/12</f>
        <v>1.0437747545501784E-19</v>
      </c>
      <c r="AX170" s="23">
        <f t="shared" si="166"/>
        <v>4.5212169462141629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>
        <f>BD170*VLOOKUP('Données projet'!$B$11,Paramètres!$A$1:$I$89,3,0)*VLOOKUP('Données projet'!$B$11,Paramètres!$A$1:$I$89,5,0)</f>
        <v>0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387.37910791664007</v>
      </c>
      <c r="BJ170" s="62">
        <f t="shared" si="146"/>
        <v>311.37245656657353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0.87722666257844661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2.4553364108611157E-19</v>
      </c>
      <c r="BS170" s="24">
        <f t="shared" si="169"/>
        <v>0.87722666257844661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80.063676766746568</v>
      </c>
      <c r="T171" s="62">
        <f t="shared" si="142"/>
        <v>410.68113780291992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5.2211114018874669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2.2162920016361995E-22</v>
      </c>
      <c r="AC171" s="24">
        <f t="shared" si="163"/>
        <v>5.2211114018874669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1.1368683772161603E-13</v>
      </c>
      <c r="AJ171" s="14">
        <f>AI171*VLOOKUP('Données projet'!$B$10,Paramètres!$A$1:$I$89,3,0)*VLOOKUP('Données projet'!$B$10,Paramètres!$A$1:$I$89,5,0)</f>
        <v>6.7984728957526396E-14</v>
      </c>
      <c r="AK171" s="14">
        <f t="shared" si="164"/>
        <v>1.0682447123141398E-12</v>
      </c>
      <c r="AL171" s="22">
        <f t="shared" si="165"/>
        <v>1.978932943548152E-12</v>
      </c>
      <c r="AM171" s="62">
        <f t="shared" si="113"/>
        <v>288.48730819898651</v>
      </c>
      <c r="AN171" s="62">
        <f ca="1">AVERAGE(OFFSET($AM$3,0,0,'Données projet'!$E$10+1,1))-AVERAGE(OFFSET($H$3,0,0,'Données projet'!$E$10+1,1))</f>
        <v>189.09998601768521</v>
      </c>
      <c r="AO171" s="62">
        <f t="shared" si="144"/>
        <v>458.38901659119472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3.467170556390557</v>
      </c>
      <c r="AV171" s="23">
        <f>EXP(-LN(2)/25)*AV170+(1-EXP(-LN(2)/25))/(LN(2)/25)*Calculateur!AQ171*Calculateur!AS171*VLOOKUP('Données projet'!$B$10,Paramètres!$A$1:$I$89,3,0)*0.475*44/12</f>
        <v>0.95777079641144569</v>
      </c>
      <c r="AW171" s="23">
        <f>EXP(-LN(2)/2)*AW170+(1-EXP(-LN(2)/2))/(LN(2)/2)*AQ171*AT171*VLOOKUP('Données projet'!$B$10,Paramètres!$A$1:$I$89,3,0)*0.475*44/12</f>
        <v>7.3806020697375531E-20</v>
      </c>
      <c r="AX171" s="23">
        <f t="shared" si="166"/>
        <v>4.4249413528020032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>
        <f>BD171*VLOOKUP('Données projet'!$B$11,Paramètres!$A$1:$I$89,3,0)*VLOOKUP('Données projet'!$B$11,Paramètres!$A$1:$I$89,5,0)</f>
        <v>0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387.37910791664007</v>
      </c>
      <c r="BJ171" s="62">
        <f t="shared" si="146"/>
        <v>311.37245656657353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0.86002478278071515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1.7361850262141339E-19</v>
      </c>
      <c r="BS171" s="24">
        <f t="shared" si="169"/>
        <v>0.86002478278071515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80.063676766746568</v>
      </c>
      <c r="T172" s="62">
        <f t="shared" si="142"/>
        <v>410.68113780291992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5.1187285918599592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1.5671551034464636E-22</v>
      </c>
      <c r="AC172" s="24">
        <f t="shared" si="163"/>
        <v>5.1187285918599592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1.1368683772161603E-13</v>
      </c>
      <c r="AJ172" s="14">
        <f>AI172*VLOOKUP('Données projet'!$B$10,Paramètres!$A$1:$I$89,3,0)*VLOOKUP('Données projet'!$B$10,Paramètres!$A$1:$I$89,5,0)</f>
        <v>6.7984728957526396E-14</v>
      </c>
      <c r="AK172" s="14">
        <f t="shared" si="164"/>
        <v>1.0682447123141398E-12</v>
      </c>
      <c r="AL172" s="22">
        <f t="shared" si="165"/>
        <v>1.978932943548152E-12</v>
      </c>
      <c r="AM172" s="62">
        <f t="shared" si="113"/>
        <v>288.57137590097841</v>
      </c>
      <c r="AN172" s="62">
        <f ca="1">AVERAGE(OFFSET($AM$3,0,0,'Données projet'!$E$10+1,1))-AVERAGE(OFFSET($H$3,0,0,'Données projet'!$E$10+1,1))</f>
        <v>189.09998601768521</v>
      </c>
      <c r="AO172" s="62">
        <f t="shared" si="144"/>
        <v>458.38901659119472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3.3991814565449618</v>
      </c>
      <c r="AV172" s="23">
        <f>EXP(-LN(2)/25)*AV171+(1-EXP(-LN(2)/25))/(LN(2)/25)*Calculateur!AQ172*Calculateur!AS172*VLOOKUP('Données projet'!$B$10,Paramètres!$A$1:$I$89,3,0)*0.475*44/12</f>
        <v>0.9315805036165975</v>
      </c>
      <c r="AW172" s="23">
        <f>EXP(-LN(2)/2)*AW171+(1-EXP(-LN(2)/2))/(LN(2)/2)*AQ172*AT172*VLOOKUP('Données projet'!$B$10,Paramètres!$A$1:$I$89,3,0)*0.475*44/12</f>
        <v>5.2188737727508918E-20</v>
      </c>
      <c r="AX172" s="23">
        <f t="shared" si="166"/>
        <v>4.330761960161559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>
        <f>BD172*VLOOKUP('Données projet'!$B$11,Paramètres!$A$1:$I$89,3,0)*VLOOKUP('Données projet'!$B$11,Paramètres!$A$1:$I$89,5,0)</f>
        <v>0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387.37910791664007</v>
      </c>
      <c r="BJ172" s="62">
        <f t="shared" si="146"/>
        <v>311.37245656657353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0.8431602213537065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1.2276682054305579E-19</v>
      </c>
      <c r="BS172" s="24">
        <f t="shared" si="169"/>
        <v>0.8431602213537065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80.063676766746568</v>
      </c>
      <c r="T173" s="62">
        <f t="shared" si="142"/>
        <v>410.68113780291992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5.0183534462897432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1.1081460008180998E-22</v>
      </c>
      <c r="AC173" s="24">
        <f t="shared" si="163"/>
        <v>5.0183534462897432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1.1368683772161603E-13</v>
      </c>
      <c r="AJ173" s="14">
        <f>AI173*VLOOKUP('Données projet'!$B$10,Paramètres!$A$1:$I$89,3,0)*VLOOKUP('Données projet'!$B$10,Paramètres!$A$1:$I$89,5,0)</f>
        <v>6.7984728957526396E-14</v>
      </c>
      <c r="AK173" s="14">
        <f t="shared" si="164"/>
        <v>1.0682447123141398E-12</v>
      </c>
      <c r="AL173" s="22">
        <f t="shared" si="165"/>
        <v>1.978932943548152E-12</v>
      </c>
      <c r="AM173" s="62">
        <f t="shared" si="113"/>
        <v>288.65398521628788</v>
      </c>
      <c r="AN173" s="62">
        <f ca="1">AVERAGE(OFFSET($AM$3,0,0,'Données projet'!$E$10+1,1))-AVERAGE(OFFSET($H$3,0,0,'Données projet'!$E$10+1,1))</f>
        <v>189.09998601768521</v>
      </c>
      <c r="AO173" s="62">
        <f t="shared" si="144"/>
        <v>458.38901659119472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3.3325255814780825</v>
      </c>
      <c r="AV173" s="23">
        <f>EXP(-LN(2)/25)*AV172+(1-EXP(-LN(2)/25))/(LN(2)/25)*Calculateur!AQ173*Calculateur!AS173*VLOOKUP('Données projet'!$B$10,Paramètres!$A$1:$I$89,3,0)*0.475*44/12</f>
        <v>0.90610638575551217</v>
      </c>
      <c r="AW173" s="23">
        <f>EXP(-LN(2)/2)*AW172+(1-EXP(-LN(2)/2))/(LN(2)/2)*AQ173*AT173*VLOOKUP('Données projet'!$B$10,Paramètres!$A$1:$I$89,3,0)*0.475*44/12</f>
        <v>3.6903010348687766E-20</v>
      </c>
      <c r="AX173" s="23">
        <f t="shared" si="166"/>
        <v>4.2386319672335944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>
        <f>BD173*VLOOKUP('Données projet'!$B$11,Paramètres!$A$1:$I$89,3,0)*VLOOKUP('Données projet'!$B$11,Paramètres!$A$1:$I$89,5,0)</f>
        <v>0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387.37910791664007</v>
      </c>
      <c r="BJ173" s="62">
        <f t="shared" si="146"/>
        <v>311.37245656657353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0.82662636368991471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8.6809251310706697E-20</v>
      </c>
      <c r="BS173" s="24">
        <f t="shared" si="169"/>
        <v>0.82662636368991471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80.063676766746568</v>
      </c>
      <c r="T174" s="62">
        <f t="shared" si="142"/>
        <v>410.68113780291992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4.9199465961013651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7.835775517232318E-23</v>
      </c>
      <c r="AC174" s="24">
        <f t="shared" si="163"/>
        <v>4.9199465961013651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1.1368683772161603E-13</v>
      </c>
      <c r="AJ174" s="14">
        <f>AI174*VLOOKUP('Données projet'!$B$10,Paramètres!$A$1:$I$89,3,0)*VLOOKUP('Données projet'!$B$10,Paramètres!$A$1:$I$89,5,0)</f>
        <v>6.7984728957526396E-14</v>
      </c>
      <c r="AK174" s="14">
        <f t="shared" si="164"/>
        <v>1.0682447123141398E-12</v>
      </c>
      <c r="AL174" s="22">
        <f t="shared" si="165"/>
        <v>1.978932943548152E-12</v>
      </c>
      <c r="AM174" s="62">
        <f t="shared" si="113"/>
        <v>288.7351614446635</v>
      </c>
      <c r="AN174" s="62">
        <f ca="1">AVERAGE(OFFSET($AM$3,0,0,'Données projet'!$E$10+1,1))-AVERAGE(OFFSET($H$3,0,0,'Données projet'!$E$10+1,1))</f>
        <v>189.09998601768521</v>
      </c>
      <c r="AO174" s="62">
        <f t="shared" si="144"/>
        <v>458.38901659119472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3.2671767874651954</v>
      </c>
      <c r="AV174" s="23">
        <f>EXP(-LN(2)/25)*AV173+(1-EXP(-LN(2)/25))/(LN(2)/25)*Calculateur!AQ174*Calculateur!AS174*VLOOKUP('Données projet'!$B$10,Paramètres!$A$1:$I$89,3,0)*0.475*44/12</f>
        <v>0.88132885898696378</v>
      </c>
      <c r="AW174" s="23">
        <f>EXP(-LN(2)/2)*AW173+(1-EXP(-LN(2)/2))/(LN(2)/2)*AQ174*AT174*VLOOKUP('Données projet'!$B$10,Paramètres!$A$1:$I$89,3,0)*0.475*44/12</f>
        <v>2.6094368863754459E-20</v>
      </c>
      <c r="AX174" s="23">
        <f t="shared" si="166"/>
        <v>4.1485056464521595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>
        <f>BD174*VLOOKUP('Données projet'!$B$11,Paramètres!$A$1:$I$89,3,0)*VLOOKUP('Données projet'!$B$11,Paramètres!$A$1:$I$89,5,0)</f>
        <v>0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387.37910791664007</v>
      </c>
      <c r="BJ174" s="62">
        <f t="shared" si="146"/>
        <v>311.37245656657353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0.81041672489025252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6.1383410271527893E-20</v>
      </c>
      <c r="BS174" s="24">
        <f t="shared" si="169"/>
        <v>0.81041672489025252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80.063676766746568</v>
      </c>
      <c r="T175" s="62">
        <f t="shared" si="142"/>
        <v>410.68113780291992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4.8234694442229298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5.5407300040904988E-23</v>
      </c>
      <c r="AC175" s="24">
        <f t="shared" si="163"/>
        <v>4.8234694442229298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1.1368683772161603E-13</v>
      </c>
      <c r="AJ175" s="14">
        <f>AI175*VLOOKUP('Données projet'!$B$10,Paramètres!$A$1:$I$89,3,0)*VLOOKUP('Données projet'!$B$10,Paramètres!$A$1:$I$89,5,0)</f>
        <v>6.7984728957526396E-14</v>
      </c>
      <c r="AK175" s="14">
        <f t="shared" si="164"/>
        <v>1.0682447123141398E-12</v>
      </c>
      <c r="AL175" s="22">
        <f t="shared" si="165"/>
        <v>1.978932943548152E-12</v>
      </c>
      <c r="AM175" s="62">
        <f t="shared" si="113"/>
        <v>288.81492944695964</v>
      </c>
      <c r="AN175" s="62">
        <f ca="1">AVERAGE(OFFSET($AM$3,0,0,'Données projet'!$E$10+1,1))-AVERAGE(OFFSET($H$3,0,0,'Données projet'!$E$10+1,1))</f>
        <v>189.09998601768521</v>
      </c>
      <c r="AO175" s="62">
        <f t="shared" si="144"/>
        <v>458.38901659119472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3.2031094434440726</v>
      </c>
      <c r="AV175" s="23">
        <f>EXP(-LN(2)/25)*AV174+(1-EXP(-LN(2)/25))/(LN(2)/25)*Calculateur!AQ175*Calculateur!AS175*VLOOKUP('Données projet'!$B$10,Paramètres!$A$1:$I$89,3,0)*0.475*44/12</f>
        <v>0.85722887499089484</v>
      </c>
      <c r="AW175" s="23">
        <f>EXP(-LN(2)/2)*AW174+(1-EXP(-LN(2)/2))/(LN(2)/2)*AQ175*AT175*VLOOKUP('Données projet'!$B$10,Paramètres!$A$1:$I$89,3,0)*0.475*44/12</f>
        <v>1.8451505174343883E-20</v>
      </c>
      <c r="AX175" s="23">
        <f t="shared" si="166"/>
        <v>4.0603383184349671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>
        <f>BD175*VLOOKUP('Données projet'!$B$11,Paramètres!$A$1:$I$89,3,0)*VLOOKUP('Données projet'!$B$11,Paramètres!$A$1:$I$89,5,0)</f>
        <v>0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387.37910791664007</v>
      </c>
      <c r="BJ175" s="62">
        <f t="shared" si="146"/>
        <v>311.37245656657353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0.79452494722054823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4.3404625655353348E-20</v>
      </c>
      <c r="BS175" s="24">
        <f t="shared" si="169"/>
        <v>0.79452494722054823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80.063676766746568</v>
      </c>
      <c r="T176" s="62">
        <f t="shared" si="142"/>
        <v>410.68113780291992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4.7288841504475778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3.917887758616159E-23</v>
      </c>
      <c r="AC176" s="24">
        <f t="shared" si="163"/>
        <v>4.7288841504475778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1.1368683772161603E-13</v>
      </c>
      <c r="AJ176" s="14">
        <f>AI176*VLOOKUP('Données projet'!$B$10,Paramètres!$A$1:$I$89,3,0)*VLOOKUP('Données projet'!$B$10,Paramètres!$A$1:$I$89,5,0)</f>
        <v>6.7984728957526396E-14</v>
      </c>
      <c r="AK176" s="14">
        <f t="shared" si="164"/>
        <v>1.0682447123141398E-12</v>
      </c>
      <c r="AL176" s="22">
        <f t="shared" si="165"/>
        <v>1.978932943548152E-12</v>
      </c>
      <c r="AM176" s="62">
        <f t="shared" si="113"/>
        <v>288.89331365275046</v>
      </c>
      <c r="AN176" s="62">
        <f ca="1">AVERAGE(OFFSET($AM$3,0,0,'Données projet'!$E$10+1,1))-AVERAGE(OFFSET($H$3,0,0,'Données projet'!$E$10+1,1))</f>
        <v>189.09998601768521</v>
      </c>
      <c r="AO176" s="62">
        <f t="shared" si="144"/>
        <v>458.38901659119472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3.1402984209619826</v>
      </c>
      <c r="AV176" s="23">
        <f>EXP(-LN(2)/25)*AV175+(1-EXP(-LN(2)/25))/(LN(2)/25)*Calculateur!AQ176*Calculateur!AS176*VLOOKUP('Données projet'!$B$10,Paramètres!$A$1:$I$89,3,0)*0.475*44/12</f>
        <v>0.83378790632456146</v>
      </c>
      <c r="AW176" s="23">
        <f>EXP(-LN(2)/2)*AW175+(1-EXP(-LN(2)/2))/(LN(2)/2)*AQ176*AT176*VLOOKUP('Données projet'!$B$10,Paramètres!$A$1:$I$89,3,0)*0.475*44/12</f>
        <v>1.3047184431877229E-20</v>
      </c>
      <c r="AX176" s="23">
        <f t="shared" si="166"/>
        <v>3.9740863272865443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>
        <f>BD176*VLOOKUP('Données projet'!$B$11,Paramètres!$A$1:$I$89,3,0)*VLOOKUP('Données projet'!$B$11,Paramètres!$A$1:$I$89,5,0)</f>
        <v>0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387.37910791664007</v>
      </c>
      <c r="BJ176" s="62">
        <f t="shared" si="146"/>
        <v>311.37245656657353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0.77894479761791957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3.0691705135763947E-20</v>
      </c>
      <c r="BS176" s="24">
        <f t="shared" si="169"/>
        <v>0.77894479761791957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80.063676766746568</v>
      </c>
      <c r="T177" s="62">
        <f t="shared" si="142"/>
        <v>410.68113780291992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4.6361536165918285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2.7703650020452494E-23</v>
      </c>
      <c r="AC177" s="24">
        <f t="shared" si="163"/>
        <v>4.6361536165918285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1.1368683772161603E-13</v>
      </c>
      <c r="AJ177" s="14">
        <f>AI177*VLOOKUP('Données projet'!$B$10,Paramètres!$A$1:$I$89,3,0)*VLOOKUP('Données projet'!$B$10,Paramètres!$A$1:$I$89,5,0)</f>
        <v>6.7984728957526396E-14</v>
      </c>
      <c r="AK177" s="14">
        <f t="shared" si="164"/>
        <v>1.0682447123141398E-12</v>
      </c>
      <c r="AL177" s="22">
        <f t="shared" si="165"/>
        <v>1.978932943548152E-12</v>
      </c>
      <c r="AM177" s="62">
        <f t="shared" si="113"/>
        <v>288.97033806781172</v>
      </c>
      <c r="AN177" s="62">
        <f ca="1">AVERAGE(OFFSET($AM$3,0,0,'Données projet'!$E$10+1,1))-AVERAGE(OFFSET($H$3,0,0,'Données projet'!$E$10+1,1))</f>
        <v>189.09998601768521</v>
      </c>
      <c r="AO177" s="62">
        <f t="shared" si="144"/>
        <v>458.38901659119472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3.0787190843198258</v>
      </c>
      <c r="AV177" s="23">
        <f>EXP(-LN(2)/25)*AV176+(1-EXP(-LN(2)/25))/(LN(2)/25)*Calculateur!AQ177*Calculateur!AS177*VLOOKUP('Données projet'!$B$10,Paramètres!$A$1:$I$89,3,0)*0.475*44/12</f>
        <v>0.81098793217911602</v>
      </c>
      <c r="AW177" s="23">
        <f>EXP(-LN(2)/2)*AW176+(1-EXP(-LN(2)/2))/(LN(2)/2)*AQ177*AT177*VLOOKUP('Données projet'!$B$10,Paramètres!$A$1:$I$89,3,0)*0.475*44/12</f>
        <v>9.2257525871719414E-21</v>
      </c>
      <c r="AX177" s="23">
        <f t="shared" si="166"/>
        <v>3.8897070164989418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>
        <f>BD177*VLOOKUP('Données projet'!$B$11,Paramètres!$A$1:$I$89,3,0)*VLOOKUP('Données projet'!$B$11,Paramètres!$A$1:$I$89,5,0)</f>
        <v>0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387.37910791664007</v>
      </c>
      <c r="BJ177" s="62">
        <f t="shared" si="146"/>
        <v>311.37245656657353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0.76367016524604558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2.1702312827676674E-20</v>
      </c>
      <c r="BS177" s="24">
        <f t="shared" si="169"/>
        <v>0.76367016524604558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80.063676766746568</v>
      </c>
      <c r="T178" s="62">
        <f t="shared" si="142"/>
        <v>410.68113780291992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4.5452414719449497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1.9589438793080795E-23</v>
      </c>
      <c r="AC178" s="24">
        <f t="shared" si="163"/>
        <v>4.5452414719449497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1.1368683772161603E-13</v>
      </c>
      <c r="AJ178" s="14">
        <f>AI178*VLOOKUP('Données projet'!$B$10,Paramètres!$A$1:$I$89,3,0)*VLOOKUP('Données projet'!$B$10,Paramètres!$A$1:$I$89,5,0)</f>
        <v>6.7984728957526396E-14</v>
      </c>
      <c r="AK178" s="14">
        <f t="shared" si="164"/>
        <v>1.0682447123141398E-12</v>
      </c>
      <c r="AL178" s="22">
        <f t="shared" si="165"/>
        <v>1.978932943548152E-12</v>
      </c>
      <c r="AM178" s="62">
        <f t="shared" si="113"/>
        <v>289.04602628147239</v>
      </c>
      <c r="AN178" s="62">
        <f ca="1">AVERAGE(OFFSET($AM$3,0,0,'Données projet'!$E$10+1,1))-AVERAGE(OFFSET($H$3,0,0,'Données projet'!$E$10+1,1))</f>
        <v>189.09998601768521</v>
      </c>
      <c r="AO178" s="62">
        <f t="shared" si="144"/>
        <v>458.38901659119472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3.0183472809095346</v>
      </c>
      <c r="AV178" s="23">
        <f>EXP(-LN(2)/25)*AV177+(1-EXP(-LN(2)/25))/(LN(2)/25)*Calculateur!AQ178*Calculateur!AS178*VLOOKUP('Données projet'!$B$10,Paramètres!$A$1:$I$89,3,0)*0.475*44/12</f>
        <v>0.78881142452567632</v>
      </c>
      <c r="AW178" s="23">
        <f>EXP(-LN(2)/2)*AW177+(1-EXP(-LN(2)/2))/(LN(2)/2)*AQ178*AT178*VLOOKUP('Données projet'!$B$10,Paramètres!$A$1:$I$89,3,0)*0.475*44/12</f>
        <v>6.5235922159386147E-21</v>
      </c>
      <c r="AX178" s="23">
        <f t="shared" si="166"/>
        <v>3.807158705435211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>
        <f>BD178*VLOOKUP('Données projet'!$B$11,Paramètres!$A$1:$I$89,3,0)*VLOOKUP('Données projet'!$B$11,Paramètres!$A$1:$I$89,5,0)</f>
        <v>0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387.37910791664007</v>
      </c>
      <c r="BJ178" s="62">
        <f t="shared" si="146"/>
        <v>311.37245656657353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0.74869505909837819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1.5345852567881973E-20</v>
      </c>
      <c r="BS178" s="24">
        <f t="shared" si="169"/>
        <v>0.74869505909837819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80.063676766746568</v>
      </c>
      <c r="T179" s="62">
        <f t="shared" si="142"/>
        <v>410.68113780291992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4.4561120590036625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1.3851825010226247E-23</v>
      </c>
      <c r="AC179" s="24">
        <f t="shared" si="163"/>
        <v>4.4561120590036625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1.1368683772161603E-13</v>
      </c>
      <c r="AJ179" s="14">
        <f>AI179*VLOOKUP('Données projet'!$B$10,Paramètres!$A$1:$I$89,3,0)*VLOOKUP('Données projet'!$B$10,Paramètres!$A$1:$I$89,5,0)</f>
        <v>6.7984728957526396E-14</v>
      </c>
      <c r="AK179" s="14">
        <f t="shared" si="164"/>
        <v>1.0682447123141398E-12</v>
      </c>
      <c r="AL179" s="22">
        <f t="shared" si="165"/>
        <v>1.978932943548152E-12</v>
      </c>
      <c r="AM179" s="62">
        <f t="shared" si="113"/>
        <v>289.12040147383959</v>
      </c>
      <c r="AN179" s="62">
        <f ca="1">AVERAGE(OFFSET($AM$3,0,0,'Données projet'!$E$10+1,1))-AVERAGE(OFFSET($H$3,0,0,'Données projet'!$E$10+1,1))</f>
        <v>189.09998601768521</v>
      </c>
      <c r="AO179" s="62">
        <f t="shared" si="144"/>
        <v>458.38901659119472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2.9591593317409552</v>
      </c>
      <c r="AV179" s="23">
        <f>EXP(-LN(2)/25)*AV178+(1-EXP(-LN(2)/25))/(LN(2)/25)*Calculateur!AQ179*Calculateur!AS179*VLOOKUP('Données projet'!$B$10,Paramètres!$A$1:$I$89,3,0)*0.475*44/12</f>
        <v>0.7672413346402317</v>
      </c>
      <c r="AW179" s="23">
        <f>EXP(-LN(2)/2)*AW178+(1-EXP(-LN(2)/2))/(LN(2)/2)*AQ179*AT179*VLOOKUP('Données projet'!$B$10,Paramètres!$A$1:$I$89,3,0)*0.475*44/12</f>
        <v>4.6128762935859707E-21</v>
      </c>
      <c r="AX179" s="23">
        <f t="shared" si="166"/>
        <v>3.7264006663811871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>
        <f>BD179*VLOOKUP('Données projet'!$B$11,Paramètres!$A$1:$I$89,3,0)*VLOOKUP('Données projet'!$B$11,Paramètres!$A$1:$I$89,5,0)</f>
        <v>0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387.37910791664007</v>
      </c>
      <c r="BJ179" s="62">
        <f t="shared" si="146"/>
        <v>311.37245656657353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0.73401360564835372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1.0851156413838337E-20</v>
      </c>
      <c r="BS179" s="24">
        <f t="shared" si="169"/>
        <v>0.73401360564835372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80.063676766746568</v>
      </c>
      <c r="T180" s="62">
        <f t="shared" si="142"/>
        <v>410.68113780291992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4.3687304194865808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9.7947193965403975E-24</v>
      </c>
      <c r="AC180" s="24">
        <f t="shared" si="163"/>
        <v>4.3687304194865808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1.1368683772161603E-13</v>
      </c>
      <c r="AJ180" s="14">
        <f>AI180*VLOOKUP('Données projet'!$B$10,Paramètres!$A$1:$I$89,3,0)*VLOOKUP('Données projet'!$B$10,Paramètres!$A$1:$I$89,5,0)</f>
        <v>6.7984728957526396E-14</v>
      </c>
      <c r="AK180" s="14">
        <f t="shared" si="164"/>
        <v>1.0682447123141398E-12</v>
      </c>
      <c r="AL180" s="22">
        <f t="shared" si="165"/>
        <v>1.978932943548152E-12</v>
      </c>
      <c r="AM180" s="62">
        <f t="shared" si="113"/>
        <v>289.19348642289725</v>
      </c>
      <c r="AN180" s="62">
        <f ca="1">AVERAGE(OFFSET($AM$3,0,0,'Données projet'!$E$10+1,1))-AVERAGE(OFFSET($H$3,0,0,'Données projet'!$E$10+1,1))</f>
        <v>189.09998601768521</v>
      </c>
      <c r="AO180" s="62">
        <f t="shared" si="144"/>
        <v>458.38901659119472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2.9011320221544876</v>
      </c>
      <c r="AV180" s="23">
        <f>EXP(-LN(2)/25)*AV179+(1-EXP(-LN(2)/25))/(LN(2)/25)*Calculateur!AQ180*Calculateur!AS180*VLOOKUP('Données projet'!$B$10,Paramètres!$A$1:$I$89,3,0)*0.475*44/12</f>
        <v>0.74626107999702629</v>
      </c>
      <c r="AW180" s="23">
        <f>EXP(-LN(2)/2)*AW179+(1-EXP(-LN(2)/2))/(LN(2)/2)*AQ180*AT180*VLOOKUP('Données projet'!$B$10,Paramètres!$A$1:$I$89,3,0)*0.475*44/12</f>
        <v>3.2617961079693074E-21</v>
      </c>
      <c r="AX180" s="23">
        <f t="shared" si="166"/>
        <v>3.647393102151514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>
        <f>BD180*VLOOKUP('Données projet'!$B$11,Paramètres!$A$1:$I$89,3,0)*VLOOKUP('Données projet'!$B$11,Paramètres!$A$1:$I$89,5,0)</f>
        <v>0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387.37910791664007</v>
      </c>
      <c r="BJ180" s="62">
        <f t="shared" si="146"/>
        <v>311.37245656657353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0.71962004654568179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7.6729262839409866E-21</v>
      </c>
      <c r="BS180" s="24">
        <f t="shared" si="169"/>
        <v>0.71962004654568179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80.063676766746568</v>
      </c>
      <c r="T181" s="62">
        <f t="shared" si="142"/>
        <v>410.68113780291992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4.2830622806228913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6.9259125051131236E-24</v>
      </c>
      <c r="AC181" s="24">
        <f t="shared" si="163"/>
        <v>4.2830622806228913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1.1368683772161603E-13</v>
      </c>
      <c r="AJ181" s="14">
        <f>AI181*VLOOKUP('Données projet'!$B$10,Paramètres!$A$1:$I$89,3,0)*VLOOKUP('Données projet'!$B$10,Paramètres!$A$1:$I$89,5,0)</f>
        <v>6.7984728957526396E-14</v>
      </c>
      <c r="AK181" s="14">
        <f t="shared" si="164"/>
        <v>1.0682447123141398E-12</v>
      </c>
      <c r="AL181" s="22">
        <f t="shared" si="165"/>
        <v>1.978932943548152E-12</v>
      </c>
      <c r="AM181" s="62">
        <f t="shared" si="113"/>
        <v>289.26530351148216</v>
      </c>
      <c r="AN181" s="62">
        <f ca="1">AVERAGE(OFFSET($AM$3,0,0,'Données projet'!$E$10+1,1))-AVERAGE(OFFSET($H$3,0,0,'Données projet'!$E$10+1,1))</f>
        <v>189.09998601768521</v>
      </c>
      <c r="AO181" s="62">
        <f t="shared" si="144"/>
        <v>458.38901659119472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2.8442425927158466</v>
      </c>
      <c r="AV181" s="23">
        <f>EXP(-LN(2)/25)*AV180+(1-EXP(-LN(2)/25))/(LN(2)/25)*Calculateur!AQ181*Calculateur!AS181*VLOOKUP('Données projet'!$B$10,Paramètres!$A$1:$I$89,3,0)*0.475*44/12</f>
        <v>0.72585453152034296</v>
      </c>
      <c r="AW181" s="23">
        <f>EXP(-LN(2)/2)*AW180+(1-EXP(-LN(2)/2))/(LN(2)/2)*AQ181*AT181*VLOOKUP('Données projet'!$B$10,Paramètres!$A$1:$I$89,3,0)*0.475*44/12</f>
        <v>2.3064381467929853E-21</v>
      </c>
      <c r="AX181" s="23">
        <f t="shared" si="166"/>
        <v>3.5700971242361894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>
        <f>BD181*VLOOKUP('Données projet'!$B$11,Paramètres!$A$1:$I$89,3,0)*VLOOKUP('Données projet'!$B$11,Paramètres!$A$1:$I$89,5,0)</f>
        <v>0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387.37910791664007</v>
      </c>
      <c r="BJ181" s="62">
        <f t="shared" si="146"/>
        <v>311.37245656657353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0.70550873635780909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5.4255782069191686E-21</v>
      </c>
      <c r="BS181" s="24">
        <f t="shared" si="169"/>
        <v>0.70550873635780909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80.063676766746568</v>
      </c>
      <c r="T182" s="62">
        <f t="shared" si="142"/>
        <v>410.68113780291992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4.1990740417099133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4.8973596982701987E-24</v>
      </c>
      <c r="AC182" s="24">
        <f t="shared" si="163"/>
        <v>4.1990740417099133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1.1368683772161603E-13</v>
      </c>
      <c r="AJ182" s="14">
        <f>AI182*VLOOKUP('Données projet'!$B$10,Paramètres!$A$1:$I$89,3,0)*VLOOKUP('Données projet'!$B$10,Paramètres!$A$1:$I$89,5,0)</f>
        <v>6.7984728957526396E-14</v>
      </c>
      <c r="AK182" s="14">
        <f t="shared" si="164"/>
        <v>1.0682447123141398E-12</v>
      </c>
      <c r="AL182" s="22">
        <f t="shared" si="165"/>
        <v>1.978932943548152E-12</v>
      </c>
      <c r="AM182" s="62">
        <f t="shared" si="113"/>
        <v>289.33587473413911</v>
      </c>
      <c r="AN182" s="62">
        <f ca="1">AVERAGE(OFFSET($AM$3,0,0,'Données projet'!$E$10+1,1))-AVERAGE(OFFSET($H$3,0,0,'Données projet'!$E$10+1,1))</f>
        <v>189.09998601768521</v>
      </c>
      <c r="AO182" s="62">
        <f t="shared" si="144"/>
        <v>458.38901659119472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2.7884687302893716</v>
      </c>
      <c r="AV182" s="23">
        <f>EXP(-LN(2)/25)*AV181+(1-EXP(-LN(2)/25))/(LN(2)/25)*Calculateur!AQ182*Calculateur!AS182*VLOOKUP('Données projet'!$B$10,Paramètres!$A$1:$I$89,3,0)*0.475*44/12</f>
        <v>0.70600600118488832</v>
      </c>
      <c r="AW182" s="23">
        <f>EXP(-LN(2)/2)*AW181+(1-EXP(-LN(2)/2))/(LN(2)/2)*AQ182*AT182*VLOOKUP('Données projet'!$B$10,Paramètres!$A$1:$I$89,3,0)*0.475*44/12</f>
        <v>1.6308980539846537E-21</v>
      </c>
      <c r="AX182" s="23">
        <f t="shared" si="166"/>
        <v>3.4944747314742601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>
        <f>BD182*VLOOKUP('Données projet'!$B$11,Paramètres!$A$1:$I$89,3,0)*VLOOKUP('Données projet'!$B$11,Paramètres!$A$1:$I$89,5,0)</f>
        <v>0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387.37910791664007</v>
      </c>
      <c r="BJ182" s="62">
        <f t="shared" si="146"/>
        <v>311.37245656657353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0.69167414035567132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3.8364631419704933E-21</v>
      </c>
      <c r="BS182" s="24">
        <f t="shared" si="169"/>
        <v>0.69167414035567132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80.063676766746568</v>
      </c>
      <c r="T183" s="62">
        <f t="shared" si="142"/>
        <v>410.68113780291992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4.1167327609342514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3.4629562525565618E-24</v>
      </c>
      <c r="AC183" s="24">
        <f t="shared" si="163"/>
        <v>4.1167327609342514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1.1368683772161603E-13</v>
      </c>
      <c r="AJ183" s="14">
        <f>AI183*VLOOKUP('Données projet'!$B$10,Paramètres!$A$1:$I$89,3,0)*VLOOKUP('Données projet'!$B$10,Paramètres!$A$1:$I$89,5,0)</f>
        <v>6.7984728957526396E-14</v>
      </c>
      <c r="AK183" s="14">
        <f t="shared" si="164"/>
        <v>1.0682447123141398E-12</v>
      </c>
      <c r="AL183" s="22">
        <f t="shared" si="165"/>
        <v>1.978932943548152E-12</v>
      </c>
      <c r="AM183" s="62">
        <f t="shared" si="113"/>
        <v>289.40522170385663</v>
      </c>
      <c r="AN183" s="62">
        <f ca="1">AVERAGE(OFFSET($AM$3,0,0,'Données projet'!$E$10+1,1))-AVERAGE(OFFSET($H$3,0,0,'Données projet'!$E$10+1,1))</f>
        <v>189.09998601768521</v>
      </c>
      <c r="AO183" s="62">
        <f t="shared" si="144"/>
        <v>458.38901659119472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2.7337885592863826</v>
      </c>
      <c r="AV183" s="23">
        <f>EXP(-LN(2)/25)*AV182+(1-EXP(-LN(2)/25))/(LN(2)/25)*Calculateur!AQ183*Calculateur!AS183*VLOOKUP('Données projet'!$B$10,Paramètres!$A$1:$I$89,3,0)*0.475*44/12</f>
        <v>0.6867002299552456</v>
      </c>
      <c r="AW183" s="23">
        <f>EXP(-LN(2)/2)*AW182+(1-EXP(-LN(2)/2))/(LN(2)/2)*AQ183*AT183*VLOOKUP('Données projet'!$B$10,Paramètres!$A$1:$I$89,3,0)*0.475*44/12</f>
        <v>1.1532190733964927E-21</v>
      </c>
      <c r="AX183" s="23">
        <f t="shared" si="166"/>
        <v>3.4204887892416282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>
        <f>BD183*VLOOKUP('Données projet'!$B$11,Paramètres!$A$1:$I$89,3,0)*VLOOKUP('Données projet'!$B$11,Paramètres!$A$1:$I$89,5,0)</f>
        <v>0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387.37910791664007</v>
      </c>
      <c r="BJ183" s="62">
        <f t="shared" si="146"/>
        <v>311.37245656657353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0.67811083234286507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2.7127891034595843E-21</v>
      </c>
      <c r="BS183" s="24">
        <f t="shared" si="169"/>
        <v>0.67811083234286507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80.063676766746568</v>
      </c>
      <c r="T184" s="62">
        <f t="shared" si="142"/>
        <v>410.68113780291992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4.0360061424513782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2.4486798491350994E-24</v>
      </c>
      <c r="AC184" s="24">
        <f t="shared" si="163"/>
        <v>4.0360061424513782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1.1368683772161603E-13</v>
      </c>
      <c r="AJ184" s="14">
        <f>AI184*VLOOKUP('Données projet'!$B$10,Paramètres!$A$1:$I$89,3,0)*VLOOKUP('Données projet'!$B$10,Paramètres!$A$1:$I$89,5,0)</f>
        <v>6.7984728957526396E-14</v>
      </c>
      <c r="AK184" s="14">
        <f t="shared" si="164"/>
        <v>1.0682447123141398E-12</v>
      </c>
      <c r="AL184" s="22">
        <f t="shared" si="165"/>
        <v>1.978932943548152E-12</v>
      </c>
      <c r="AM184" s="62">
        <f t="shared" si="113"/>
        <v>289.47336565868608</v>
      </c>
      <c r="AN184" s="62">
        <f ca="1">AVERAGE(OFFSET($AM$3,0,0,'Données projet'!$E$10+1,1))-AVERAGE(OFFSET($H$3,0,0,'Données projet'!$E$10+1,1))</f>
        <v>189.09998601768521</v>
      </c>
      <c r="AO184" s="62">
        <f t="shared" si="144"/>
        <v>458.38901659119472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2.680180633085151</v>
      </c>
      <c r="AV184" s="23">
        <f>EXP(-LN(2)/25)*AV183+(1-EXP(-LN(2)/25))/(LN(2)/25)*Calculateur!AQ184*Calculateur!AS184*VLOOKUP('Données projet'!$B$10,Paramètres!$A$1:$I$89,3,0)*0.475*44/12</f>
        <v>0.66792237605512383</v>
      </c>
      <c r="AW184" s="23">
        <f>EXP(-LN(2)/2)*AW183+(1-EXP(-LN(2)/2))/(LN(2)/2)*AQ184*AT184*VLOOKUP('Données projet'!$B$10,Paramètres!$A$1:$I$89,3,0)*0.475*44/12</f>
        <v>8.1544902699232684E-22</v>
      </c>
      <c r="AX184" s="23">
        <f t="shared" si="166"/>
        <v>3.3481030091402748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>
        <f>BD184*VLOOKUP('Données projet'!$B$11,Paramètres!$A$1:$I$89,3,0)*VLOOKUP('Données projet'!$B$11,Paramètres!$A$1:$I$89,5,0)</f>
        <v>0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387.37910791664007</v>
      </c>
      <c r="BJ184" s="62">
        <f t="shared" si="146"/>
        <v>311.37245656657353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0.66481349252738897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1.9182315709852467E-21</v>
      </c>
      <c r="BS184" s="24">
        <f t="shared" si="169"/>
        <v>0.66481349252738897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80.063676766746568</v>
      </c>
      <c r="T185" s="62">
        <f t="shared" si="142"/>
        <v>410.68113780291992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3.9568625237185788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1.7314781262782809E-24</v>
      </c>
      <c r="AC185" s="24">
        <f t="shared" si="163"/>
        <v>3.9568625237185788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1.1368683772161603E-13</v>
      </c>
      <c r="AJ185" s="14">
        <f>AI185*VLOOKUP('Données projet'!$B$10,Paramètres!$A$1:$I$89,3,0)*VLOOKUP('Données projet'!$B$10,Paramètres!$A$1:$I$89,5,0)</f>
        <v>6.7984728957526396E-14</v>
      </c>
      <c r="AK185" s="14">
        <f t="shared" si="164"/>
        <v>1.0682447123141398E-12</v>
      </c>
      <c r="AL185" s="22">
        <f t="shared" si="165"/>
        <v>1.978932943548152E-12</v>
      </c>
      <c r="AM185" s="62">
        <f t="shared" si="113"/>
        <v>289.5403274682464</v>
      </c>
      <c r="AN185" s="62">
        <f ca="1">AVERAGE(OFFSET($AM$3,0,0,'Données projet'!$E$10+1,1))-AVERAGE(OFFSET($H$3,0,0,'Données projet'!$E$10+1,1))</f>
        <v>189.09998601768521</v>
      </c>
      <c r="AO185" s="62">
        <f t="shared" si="144"/>
        <v>458.38901659119472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2.6276239256191194</v>
      </c>
      <c r="AV185" s="23">
        <f>EXP(-LN(2)/25)*AV184+(1-EXP(-LN(2)/25))/(LN(2)/25)*Calculateur!AQ185*Calculateur!AS185*VLOOKUP('Données projet'!$B$10,Paramètres!$A$1:$I$89,3,0)*0.475*44/12</f>
        <v>0.64965800355738523</v>
      </c>
      <c r="AW185" s="23">
        <f>EXP(-LN(2)/2)*AW184+(1-EXP(-LN(2)/2))/(LN(2)/2)*AQ185*AT185*VLOOKUP('Données projet'!$B$10,Paramètres!$A$1:$I$89,3,0)*0.475*44/12</f>
        <v>5.7660953669824634E-22</v>
      </c>
      <c r="AX185" s="23">
        <f t="shared" si="166"/>
        <v>3.2772819291765045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>
        <f>BD185*VLOOKUP('Données projet'!$B$11,Paramètres!$A$1:$I$89,3,0)*VLOOKUP('Données projet'!$B$11,Paramètres!$A$1:$I$89,5,0)</f>
        <v>0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387.37910791664007</v>
      </c>
      <c r="BJ185" s="62">
        <f t="shared" si="146"/>
        <v>311.37245656657353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0.6517769054351179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1.3563945517297921E-21</v>
      </c>
      <c r="BS185" s="24">
        <f t="shared" si="169"/>
        <v>0.6517769054351179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80.063676766746568</v>
      </c>
      <c r="T186" s="62">
        <f t="shared" si="142"/>
        <v>410.68113780291992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3.8792708630762887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1.2243399245675497E-24</v>
      </c>
      <c r="AC186" s="24">
        <f t="shared" si="163"/>
        <v>3.8792708630762887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1.1368683772161603E-13</v>
      </c>
      <c r="AJ186" s="14">
        <f>AI186*VLOOKUP('Données projet'!$B$10,Paramètres!$A$1:$I$89,3,0)*VLOOKUP('Données projet'!$B$10,Paramètres!$A$1:$I$89,5,0)</f>
        <v>6.7984728957526396E-14</v>
      </c>
      <c r="AK186" s="14">
        <f t="shared" si="164"/>
        <v>1.0682447123141398E-12</v>
      </c>
      <c r="AL186" s="22">
        <f t="shared" si="165"/>
        <v>1.978932943548152E-12</v>
      </c>
      <c r="AM186" s="62">
        <f t="shared" si="113"/>
        <v>289.60612764011495</v>
      </c>
      <c r="AN186" s="62">
        <f ca="1">AVERAGE(OFFSET($AM$3,0,0,'Données projet'!$E$10+1,1))-AVERAGE(OFFSET($H$3,0,0,'Données projet'!$E$10+1,1))</f>
        <v>189.09998601768521</v>
      </c>
      <c r="AO186" s="62">
        <f t="shared" si="144"/>
        <v>458.38901659119472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2.5760978231300702</v>
      </c>
      <c r="AV186" s="23">
        <f>EXP(-LN(2)/25)*AV185+(1-EXP(-LN(2)/25))/(LN(2)/25)*Calculateur!AQ186*Calculateur!AS186*VLOOKUP('Données projet'!$B$10,Paramètres!$A$1:$I$89,3,0)*0.475*44/12</f>
        <v>0.63189307128607897</v>
      </c>
      <c r="AW186" s="23">
        <f>EXP(-LN(2)/2)*AW185+(1-EXP(-LN(2)/2))/(LN(2)/2)*AQ186*AT186*VLOOKUP('Données projet'!$B$10,Paramètres!$A$1:$I$89,3,0)*0.475*44/12</f>
        <v>4.0772451349616342E-22</v>
      </c>
      <c r="AX186" s="23">
        <f t="shared" si="166"/>
        <v>3.2079908944161493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>
        <f>BD186*VLOOKUP('Données projet'!$B$11,Paramètres!$A$1:$I$89,3,0)*VLOOKUP('Données projet'!$B$11,Paramètres!$A$1:$I$89,5,0)</f>
        <v>0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387.37910791664007</v>
      </c>
      <c r="BJ186" s="62">
        <f t="shared" si="146"/>
        <v>311.37245656657353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0.63899595786419328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9.5911578549262333E-22</v>
      </c>
      <c r="BS186" s="24">
        <f t="shared" si="169"/>
        <v>0.63899595786419328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80.063676766746568</v>
      </c>
      <c r="T187" s="62">
        <f t="shared" si="142"/>
        <v>410.68113780291992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3.8032007275729538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8.6573906313914044E-25</v>
      </c>
      <c r="AC187" s="24">
        <f t="shared" si="163"/>
        <v>3.8032007275729538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1.1368683772161603E-13</v>
      </c>
      <c r="AJ187" s="14">
        <f>AI187*VLOOKUP('Données projet'!$B$10,Paramètres!$A$1:$I$89,3,0)*VLOOKUP('Données projet'!$B$10,Paramètres!$A$1:$I$89,5,0)</f>
        <v>6.7984728957526396E-14</v>
      </c>
      <c r="AK187" s="14">
        <f t="shared" si="164"/>
        <v>1.0682447123141398E-12</v>
      </c>
      <c r="AL187" s="22">
        <f t="shared" si="165"/>
        <v>1.978932943548152E-12</v>
      </c>
      <c r="AM187" s="62">
        <f t="shared" si="113"/>
        <v>289.67078632610873</v>
      </c>
      <c r="AN187" s="62">
        <f ca="1">AVERAGE(OFFSET($AM$3,0,0,'Données projet'!$E$10+1,1))-AVERAGE(OFFSET($H$3,0,0,'Données projet'!$E$10+1,1))</f>
        <v>189.09998601768521</v>
      </c>
      <c r="AO187" s="62">
        <f t="shared" si="144"/>
        <v>458.38901659119472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2.5255821160830121</v>
      </c>
      <c r="AV187" s="23">
        <f>EXP(-LN(2)/25)*AV186+(1-EXP(-LN(2)/25))/(LN(2)/25)*Calculateur!AQ187*Calculateur!AS187*VLOOKUP('Données projet'!$B$10,Paramètres!$A$1:$I$89,3,0)*0.475*44/12</f>
        <v>0.61461392202194876</v>
      </c>
      <c r="AW187" s="23">
        <f>EXP(-LN(2)/2)*AW186+(1-EXP(-LN(2)/2))/(LN(2)/2)*AQ187*AT187*VLOOKUP('Données projet'!$B$10,Paramètres!$A$1:$I$89,3,0)*0.475*44/12</f>
        <v>2.8830476834912317E-22</v>
      </c>
      <c r="AX187" s="23">
        <f t="shared" si="166"/>
        <v>3.140196038104961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>
        <f>BD187*VLOOKUP('Données projet'!$B$11,Paramètres!$A$1:$I$89,3,0)*VLOOKUP('Données projet'!$B$11,Paramètres!$A$1:$I$89,5,0)</f>
        <v>0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387.37910791664007</v>
      </c>
      <c r="BJ187" s="62">
        <f t="shared" si="146"/>
        <v>311.37245656657353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0.62646563687952617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6.7819727586489607E-22</v>
      </c>
      <c r="BS187" s="24">
        <f t="shared" si="169"/>
        <v>0.62646563687952617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80.063676766746568</v>
      </c>
      <c r="T188" s="62">
        <f t="shared" si="142"/>
        <v>410.68113780291992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3.7286222810286382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6.1216996228377484E-25</v>
      </c>
      <c r="AC188" s="24">
        <f t="shared" si="163"/>
        <v>3.7286222810286382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1.1368683772161603E-13</v>
      </c>
      <c r="AJ188" s="14">
        <f>AI188*VLOOKUP('Données projet'!$B$10,Paramètres!$A$1:$I$89,3,0)*VLOOKUP('Données projet'!$B$10,Paramètres!$A$1:$I$89,5,0)</f>
        <v>6.7984728957526396E-14</v>
      </c>
      <c r="AK188" s="14">
        <f t="shared" si="164"/>
        <v>1.0682447123141398E-12</v>
      </c>
      <c r="AL188" s="22">
        <f t="shared" si="165"/>
        <v>1.978932943548152E-12</v>
      </c>
      <c r="AM188" s="62">
        <f t="shared" si="113"/>
        <v>289.73432332845573</v>
      </c>
      <c r="AN188" s="62">
        <f ca="1">AVERAGE(OFFSET($AM$3,0,0,'Données projet'!$E$10+1,1))-AVERAGE(OFFSET($H$3,0,0,'Données projet'!$E$10+1,1))</f>
        <v>189.09998601768521</v>
      </c>
      <c r="AO188" s="62">
        <f t="shared" si="144"/>
        <v>458.38901659119472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2.476056991239608</v>
      </c>
      <c r="AV188" s="23">
        <f>EXP(-LN(2)/25)*AV187+(1-EXP(-LN(2)/25))/(LN(2)/25)*Calculateur!AQ188*Calculateur!AS188*VLOOKUP('Données projet'!$B$10,Paramètres!$A$1:$I$89,3,0)*0.475*44/12</f>
        <v>0.59780727200311712</v>
      </c>
      <c r="AW188" s="23">
        <f>EXP(-LN(2)/2)*AW187+(1-EXP(-LN(2)/2))/(LN(2)/2)*AQ188*AT188*VLOOKUP('Données projet'!$B$10,Paramètres!$A$1:$I$89,3,0)*0.475*44/12</f>
        <v>2.0386225674808171E-22</v>
      </c>
      <c r="AX188" s="23">
        <f t="shared" si="166"/>
        <v>3.0738642632427249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>
        <f>BD188*VLOOKUP('Données projet'!$B$11,Paramètres!$A$1:$I$89,3,0)*VLOOKUP('Données projet'!$B$11,Paramètres!$A$1:$I$89,5,0)</f>
        <v>0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387.37910791664007</v>
      </c>
      <c r="BJ188" s="62">
        <f t="shared" si="146"/>
        <v>311.37245656657353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0.61418102784662731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4.7955789274631166E-22</v>
      </c>
      <c r="BS188" s="24">
        <f t="shared" si="169"/>
        <v>0.61418102784662731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80.063676766746568</v>
      </c>
      <c r="T189" s="62">
        <f t="shared" si="142"/>
        <v>410.68113780291992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3.6555062723326959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4.3286953156957022E-25</v>
      </c>
      <c r="AC189" s="24">
        <f t="shared" si="163"/>
        <v>3.6555062723326959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1.1368683772161603E-13</v>
      </c>
      <c r="AJ189" s="14">
        <f>AI189*VLOOKUP('Données projet'!$B$10,Paramètres!$A$1:$I$89,3,0)*VLOOKUP('Données projet'!$B$10,Paramètres!$A$1:$I$89,5,0)</f>
        <v>6.7984728957526396E-14</v>
      </c>
      <c r="AK189" s="14">
        <f t="shared" si="164"/>
        <v>1.0682447123141398E-12</v>
      </c>
      <c r="AL189" s="22">
        <f t="shared" si="165"/>
        <v>1.978932943548152E-12</v>
      </c>
      <c r="AM189" s="62">
        <f t="shared" si="113"/>
        <v>289.7967581058594</v>
      </c>
      <c r="AN189" s="62">
        <f ca="1">AVERAGE(OFFSET($AM$3,0,0,'Données projet'!$E$10+1,1))-AVERAGE(OFFSET($H$3,0,0,'Données projet'!$E$10+1,1))</f>
        <v>189.09998601768521</v>
      </c>
      <c r="AO189" s="62">
        <f t="shared" si="144"/>
        <v>458.38901659119472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2.4275030238870396</v>
      </c>
      <c r="AV189" s="23">
        <f>EXP(-LN(2)/25)*AV188+(1-EXP(-LN(2)/25))/(LN(2)/25)*Calculateur!AQ189*Calculateur!AS189*VLOOKUP('Données projet'!$B$10,Paramètres!$A$1:$I$89,3,0)*0.475*44/12</f>
        <v>0.58146020071287374</v>
      </c>
      <c r="AW189" s="23">
        <f>EXP(-LN(2)/2)*AW188+(1-EXP(-LN(2)/2))/(LN(2)/2)*AQ189*AT189*VLOOKUP('Données projet'!$B$10,Paramètres!$A$1:$I$89,3,0)*0.475*44/12</f>
        <v>1.4415238417456158E-22</v>
      </c>
      <c r="AX189" s="23">
        <f t="shared" si="166"/>
        <v>3.0089632245999134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>
        <f>BD189*VLOOKUP('Données projet'!$B$11,Paramètres!$A$1:$I$89,3,0)*VLOOKUP('Données projet'!$B$11,Paramètres!$A$1:$I$89,5,0)</f>
        <v>0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387.37910791664007</v>
      </c>
      <c r="BJ189" s="62">
        <f t="shared" si="146"/>
        <v>311.37245656657353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0.60213731250399194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3.3909863793244803E-22</v>
      </c>
      <c r="BS189" s="24">
        <f t="shared" si="169"/>
        <v>0.60213731250399194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80.063676766746568</v>
      </c>
      <c r="T190" s="62">
        <f t="shared" si="142"/>
        <v>410.68113780291992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3.5838240239709194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3.0608498114188742E-25</v>
      </c>
      <c r="AC190" s="24">
        <f t="shared" si="163"/>
        <v>3.5838240239709194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1.1368683772161603E-13</v>
      </c>
      <c r="AJ190" s="14">
        <f>AI190*VLOOKUP('Données projet'!$B$10,Paramètres!$A$1:$I$89,3,0)*VLOOKUP('Données projet'!$B$10,Paramètres!$A$1:$I$89,5,0)</f>
        <v>6.7984728957526396E-14</v>
      </c>
      <c r="AK190" s="14">
        <f t="shared" si="164"/>
        <v>1.0682447123141398E-12</v>
      </c>
      <c r="AL190" s="22">
        <f t="shared" si="165"/>
        <v>1.978932943548152E-12</v>
      </c>
      <c r="AM190" s="62">
        <f t="shared" si="113"/>
        <v>289.8581097794584</v>
      </c>
      <c r="AN190" s="62">
        <f ca="1">AVERAGE(OFFSET($AM$3,0,0,'Données projet'!$E$10+1,1))-AVERAGE(OFFSET($H$3,0,0,'Données projet'!$E$10+1,1))</f>
        <v>189.09998601768521</v>
      </c>
      <c r="AO190" s="62">
        <f t="shared" si="144"/>
        <v>458.38901659119472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2.3799011702192594</v>
      </c>
      <c r="AV190" s="23">
        <f>EXP(-LN(2)/25)*AV189+(1-EXP(-LN(2)/25))/(LN(2)/25)*Calculateur!AQ190*Calculateur!AS190*VLOOKUP('Données projet'!$B$10,Paramètres!$A$1:$I$89,3,0)*0.475*44/12</f>
        <v>0.56556014094671725</v>
      </c>
      <c r="AW190" s="23">
        <f>EXP(-LN(2)/2)*AW189+(1-EXP(-LN(2)/2))/(LN(2)/2)*AQ190*AT190*VLOOKUP('Données projet'!$B$10,Paramètres!$A$1:$I$89,3,0)*0.475*44/12</f>
        <v>1.0193112837404086E-22</v>
      </c>
      <c r="AX190" s="23">
        <f t="shared" si="166"/>
        <v>2.9454613111659764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>
        <f>BD190*VLOOKUP('Données projet'!$B$11,Paramètres!$A$1:$I$89,3,0)*VLOOKUP('Données projet'!$B$11,Paramètres!$A$1:$I$89,5,0)</f>
        <v>0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387.37910791664007</v>
      </c>
      <c r="BJ190" s="62">
        <f t="shared" si="146"/>
        <v>311.37245656657353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0.59032976707328466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2.3977894637315583E-22</v>
      </c>
      <c r="BS190" s="24">
        <f t="shared" si="169"/>
        <v>0.59032976707328466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80.063676766746568</v>
      </c>
      <c r="T191" s="62">
        <f t="shared" si="142"/>
        <v>410.68113780291992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3.5135474207776629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2.1643476578478511E-25</v>
      </c>
      <c r="AC191" s="24">
        <f t="shared" si="163"/>
        <v>3.5135474207776629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1.1368683772161603E-13</v>
      </c>
      <c r="AJ191" s="14">
        <f>AI191*VLOOKUP('Données projet'!$B$10,Paramètres!$A$1:$I$89,3,0)*VLOOKUP('Données projet'!$B$10,Paramètres!$A$1:$I$89,5,0)</f>
        <v>6.7984728957526396E-14</v>
      </c>
      <c r="AK191" s="14">
        <f t="shared" si="164"/>
        <v>1.0682447123141398E-12</v>
      </c>
      <c r="AL191" s="22">
        <f t="shared" si="165"/>
        <v>1.978932943548152E-12</v>
      </c>
      <c r="AM191" s="62">
        <f t="shared" si="113"/>
        <v>289.91839713868222</v>
      </c>
      <c r="AN191" s="62">
        <f ca="1">AVERAGE(OFFSET($AM$3,0,0,'Données projet'!$E$10+1,1))-AVERAGE(OFFSET($H$3,0,0,'Données projet'!$E$10+1,1))</f>
        <v>189.09998601768521</v>
      </c>
      <c r="AO191" s="62">
        <f t="shared" si="144"/>
        <v>458.38901659119472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2.3332327598676401</v>
      </c>
      <c r="AV191" s="23">
        <f>EXP(-LN(2)/25)*AV190+(1-EXP(-LN(2)/25))/(LN(2)/25)*Calculateur!AQ191*Calculateur!AS191*VLOOKUP('Données projet'!$B$10,Paramètres!$A$1:$I$89,3,0)*0.475*44/12</f>
        <v>0.55009486915101402</v>
      </c>
      <c r="AW191" s="23">
        <f>EXP(-LN(2)/2)*AW190+(1-EXP(-LN(2)/2))/(LN(2)/2)*AQ191*AT191*VLOOKUP('Données projet'!$B$10,Paramètres!$A$1:$I$89,3,0)*0.475*44/12</f>
        <v>7.2076192087280792E-23</v>
      </c>
      <c r="AX191" s="23">
        <f t="shared" si="166"/>
        <v>2.883327629018654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>
        <f>BD191*VLOOKUP('Données projet'!$B$11,Paramètres!$A$1:$I$89,3,0)*VLOOKUP('Données projet'!$B$11,Paramètres!$A$1:$I$89,5,0)</f>
        <v>0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387.37910791664007</v>
      </c>
      <c r="BJ191" s="62">
        <f t="shared" si="146"/>
        <v>311.37245656657353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0.57875376040658189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1.6954931896622402E-22</v>
      </c>
      <c r="BS191" s="24">
        <f t="shared" si="169"/>
        <v>0.57875376040658189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80.063676766746568</v>
      </c>
      <c r="T192" s="62">
        <f t="shared" si="142"/>
        <v>410.68113780291992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3.4446488989085307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1.5304249057094371E-25</v>
      </c>
      <c r="AC192" s="24">
        <f t="shared" si="163"/>
        <v>3.4446488989085307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1.1368683772161603E-13</v>
      </c>
      <c r="AJ192" s="14">
        <f>AI192*VLOOKUP('Données projet'!$B$10,Paramètres!$A$1:$I$89,3,0)*VLOOKUP('Données projet'!$B$10,Paramètres!$A$1:$I$89,5,0)</f>
        <v>6.7984728957526396E-14</v>
      </c>
      <c r="AK192" s="14">
        <f t="shared" si="164"/>
        <v>1.0682447123141398E-12</v>
      </c>
      <c r="AL192" s="22">
        <f t="shared" si="165"/>
        <v>1.978932943548152E-12</v>
      </c>
      <c r="AM192" s="62">
        <f t="shared" si="113"/>
        <v>289.97763864700585</v>
      </c>
      <c r="AN192" s="62">
        <f ca="1">AVERAGE(OFFSET($AM$3,0,0,'Données projet'!$E$10+1,1))-AVERAGE(OFFSET($H$3,0,0,'Données projet'!$E$10+1,1))</f>
        <v>189.09998601768521</v>
      </c>
      <c r="AO192" s="62">
        <f t="shared" si="144"/>
        <v>458.38901659119472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2.2874794885780965</v>
      </c>
      <c r="AV192" s="23">
        <f>EXP(-LN(2)/25)*AV191+(1-EXP(-LN(2)/25))/(LN(2)/25)*Calculateur!AQ192*Calculateur!AS192*VLOOKUP('Données projet'!$B$10,Paramètres!$A$1:$I$89,3,0)*0.475*44/12</f>
        <v>0.53505249602584759</v>
      </c>
      <c r="AW192" s="23">
        <f>EXP(-LN(2)/2)*AW191+(1-EXP(-LN(2)/2))/(LN(2)/2)*AQ192*AT192*VLOOKUP('Données projet'!$B$10,Paramètres!$A$1:$I$89,3,0)*0.475*44/12</f>
        <v>5.0965564187020428E-23</v>
      </c>
      <c r="AX192" s="23">
        <f t="shared" si="166"/>
        <v>2.8225319846039438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>
        <f>BD192*VLOOKUP('Données projet'!$B$11,Paramètres!$A$1:$I$89,3,0)*VLOOKUP('Données projet'!$B$11,Paramètres!$A$1:$I$89,5,0)</f>
        <v>0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387.37910791664007</v>
      </c>
      <c r="BJ192" s="62">
        <f t="shared" si="146"/>
        <v>311.37245656657353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0.56740475216994635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1.1988947318657792E-22</v>
      </c>
      <c r="BS192" s="24">
        <f t="shared" si="169"/>
        <v>0.56740475216994635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80.063676766746568</v>
      </c>
      <c r="T193" s="62">
        <f t="shared" si="142"/>
        <v>410.68113780291992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3.3771014350293034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1.0821738289239256E-25</v>
      </c>
      <c r="AC193" s="24">
        <f t="shared" si="163"/>
        <v>3.3771014350293034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1.1368683772161603E-13</v>
      </c>
      <c r="AJ193" s="14">
        <f>AI193*VLOOKUP('Données projet'!$B$10,Paramètres!$A$1:$I$89,3,0)*VLOOKUP('Données projet'!$B$10,Paramètres!$A$1:$I$89,5,0)</f>
        <v>6.7984728957526396E-14</v>
      </c>
      <c r="AK193" s="14">
        <f t="shared" si="164"/>
        <v>1.0682447123141398E-12</v>
      </c>
      <c r="AL193" s="22">
        <f t="shared" si="165"/>
        <v>1.978932943548152E-12</v>
      </c>
      <c r="AM193" s="62">
        <f t="shared" si="113"/>
        <v>290.03585244760427</v>
      </c>
      <c r="AN193" s="62">
        <f ca="1">AVERAGE(OFFSET($AM$3,0,0,'Données projet'!$E$10+1,1))-AVERAGE(OFFSET($H$3,0,0,'Données projet'!$E$10+1,1))</f>
        <v>189.09998601768521</v>
      </c>
      <c r="AO193" s="62">
        <f t="shared" si="144"/>
        <v>458.38901659119472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2.2426234110318011</v>
      </c>
      <c r="AV193" s="23">
        <f>EXP(-LN(2)/25)*AV192+(1-EXP(-LN(2)/25))/(LN(2)/25)*Calculateur!AQ193*Calculateur!AS193*VLOOKUP('Données projet'!$B$10,Paramètres!$A$1:$I$89,3,0)*0.475*44/12</f>
        <v>0.52042145738483292</v>
      </c>
      <c r="AW193" s="23">
        <f>EXP(-LN(2)/2)*AW192+(1-EXP(-LN(2)/2))/(LN(2)/2)*AQ193*AT193*VLOOKUP('Données projet'!$B$10,Paramètres!$A$1:$I$89,3,0)*0.475*44/12</f>
        <v>3.6038096043640396E-23</v>
      </c>
      <c r="AX193" s="23">
        <f t="shared" si="166"/>
        <v>2.763044868416634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>
        <f>BD193*VLOOKUP('Données projet'!$B$11,Paramètres!$A$1:$I$89,3,0)*VLOOKUP('Données projet'!$B$11,Paramètres!$A$1:$I$89,5,0)</f>
        <v>0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387.37910791664007</v>
      </c>
      <c r="BJ193" s="62">
        <f t="shared" si="146"/>
        <v>311.37245656657353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0.55627829106261972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8.4774659483112009E-23</v>
      </c>
      <c r="BS193" s="24">
        <f t="shared" si="169"/>
        <v>0.55627829106261972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80.063676766746568</v>
      </c>
      <c r="T194" s="62">
        <f t="shared" si="142"/>
        <v>410.68113780291992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3.3108785357168631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7.6521245285471855E-26</v>
      </c>
      <c r="AC194" s="24">
        <f t="shared" si="163"/>
        <v>3.3108785357168631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1.1368683772161603E-13</v>
      </c>
      <c r="AJ194" s="14">
        <f>AI194*VLOOKUP('Données projet'!$B$10,Paramètres!$A$1:$I$89,3,0)*VLOOKUP('Données projet'!$B$10,Paramètres!$A$1:$I$89,5,0)</f>
        <v>6.7984728957526396E-14</v>
      </c>
      <c r="AK194" s="14">
        <f t="shared" si="164"/>
        <v>1.0682447123141398E-12</v>
      </c>
      <c r="AL194" s="22">
        <f t="shared" si="165"/>
        <v>1.978932943548152E-12</v>
      </c>
      <c r="AM194" s="62">
        <f t="shared" si="113"/>
        <v>290.09305636890883</v>
      </c>
      <c r="AN194" s="62">
        <f ca="1">AVERAGE(OFFSET($AM$3,0,0,'Données projet'!$E$10+1,1))-AVERAGE(OFFSET($H$3,0,0,'Données projet'!$E$10+1,1))</f>
        <v>189.09998601768521</v>
      </c>
      <c r="AO194" s="62">
        <f t="shared" si="144"/>
        <v>458.38901659119472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2.1986469338066827</v>
      </c>
      <c r="AV194" s="23">
        <f>EXP(-LN(2)/25)*AV193+(1-EXP(-LN(2)/25))/(LN(2)/25)*Calculateur!AQ194*Calculateur!AS194*VLOOKUP('Données projet'!$B$10,Paramètres!$A$1:$I$89,3,0)*0.475*44/12</f>
        <v>0.50619050526486964</v>
      </c>
      <c r="AW194" s="23">
        <f>EXP(-LN(2)/2)*AW193+(1-EXP(-LN(2)/2))/(LN(2)/2)*AQ194*AT194*VLOOKUP('Données projet'!$B$10,Paramètres!$A$1:$I$89,3,0)*0.475*44/12</f>
        <v>2.5482782093510214E-23</v>
      </c>
      <c r="AX194" s="23">
        <f t="shared" si="166"/>
        <v>2.7048374390715524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>
        <f>BD194*VLOOKUP('Données projet'!$B$11,Paramètres!$A$1:$I$89,3,0)*VLOOKUP('Données projet'!$B$11,Paramètres!$A$1:$I$89,5,0)</f>
        <v>0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387.37910791664007</v>
      </c>
      <c r="BJ194" s="62">
        <f t="shared" si="146"/>
        <v>311.37245656657353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0.54537001307113653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5.9944736593288958E-23</v>
      </c>
      <c r="BS194" s="24">
        <f t="shared" si="169"/>
        <v>0.54537001307113653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80.063676766746568</v>
      </c>
      <c r="T195" s="62">
        <f t="shared" si="142"/>
        <v>410.68113780291992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3.2459542270679593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5.4108691446196278E-26</v>
      </c>
      <c r="AC195" s="24">
        <f t="shared" si="163"/>
        <v>3.2459542270679593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1.1368683772161603E-13</v>
      </c>
      <c r="AJ195" s="14">
        <f>AI195*VLOOKUP('Données projet'!$B$10,Paramètres!$A$1:$I$89,3,0)*VLOOKUP('Données projet'!$B$10,Paramètres!$A$1:$I$89,5,0)</f>
        <v>6.7984728957526396E-14</v>
      </c>
      <c r="AK195" s="14">
        <f t="shared" si="164"/>
        <v>1.0682447123141398E-12</v>
      </c>
      <c r="AL195" s="22">
        <f t="shared" si="165"/>
        <v>1.978932943548152E-12</v>
      </c>
      <c r="AM195" s="62">
        <f t="shared" si="113"/>
        <v>290.14926793006765</v>
      </c>
      <c r="AN195" s="62">
        <f ca="1">AVERAGE(OFFSET($AM$3,0,0,'Données projet'!$E$10+1,1))-AVERAGE(OFFSET($H$3,0,0,'Données projet'!$E$10+1,1))</f>
        <v>189.09998601768521</v>
      </c>
      <c r="AO195" s="62">
        <f t="shared" si="144"/>
        <v>458.38901659119472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2.1555328084769463</v>
      </c>
      <c r="AV195" s="23">
        <f>EXP(-LN(2)/25)*AV194+(1-EXP(-LN(2)/25))/(LN(2)/25)*Calculateur!AQ195*Calculateur!AS195*VLOOKUP('Données projet'!$B$10,Paramètres!$A$1:$I$89,3,0)*0.475*44/12</f>
        <v>0.49234869927900005</v>
      </c>
      <c r="AW195" s="23">
        <f>EXP(-LN(2)/2)*AW194+(1-EXP(-LN(2)/2))/(LN(2)/2)*AQ195*AT195*VLOOKUP('Données projet'!$B$10,Paramètres!$A$1:$I$89,3,0)*0.475*44/12</f>
        <v>1.8019048021820198E-23</v>
      </c>
      <c r="AX195" s="23">
        <f t="shared" si="166"/>
        <v>2.6478815077559466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>
        <f>BD195*VLOOKUP('Données projet'!$B$11,Paramètres!$A$1:$I$89,3,0)*VLOOKUP('Données projet'!$B$11,Paramètres!$A$1:$I$89,5,0)</f>
        <v>0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387.37910791664007</v>
      </c>
      <c r="BJ195" s="62">
        <f t="shared" si="146"/>
        <v>311.37245656657353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0.53467563975767374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4.2387329741556004E-23</v>
      </c>
      <c r="BS195" s="24">
        <f t="shared" si="169"/>
        <v>0.53467563975767374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80.063676766746568</v>
      </c>
      <c r="T196" s="62">
        <f t="shared" si="142"/>
        <v>410.68113780291992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3.1823030445117424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3.8260622642735928E-26</v>
      </c>
      <c r="AC196" s="24">
        <f t="shared" si="163"/>
        <v>3.1823030445117424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1.1368683772161603E-13</v>
      </c>
      <c r="AJ196" s="14">
        <f>AI196*VLOOKUP('Données projet'!$B$10,Paramètres!$A$1:$I$89,3,0)*VLOOKUP('Données projet'!$B$10,Paramètres!$A$1:$I$89,5,0)</f>
        <v>6.7984728957526396E-14</v>
      </c>
      <c r="AK196" s="14">
        <f t="shared" si="164"/>
        <v>1.0682447123141398E-12</v>
      </c>
      <c r="AL196" s="22">
        <f t="shared" si="165"/>
        <v>1.978932943548152E-12</v>
      </c>
      <c r="AM196" s="62">
        <f t="shared" ref="AM196:AM203" si="193">AL196+(AD196+AE196)*44/12</f>
        <v>290.2045043463105</v>
      </c>
      <c r="AN196" s="62">
        <f ca="1">AVERAGE(OFFSET($AM$3,0,0,'Données projet'!$E$10+1,1))-AVERAGE(OFFSET($H$3,0,0,'Données projet'!$E$10+1,1))</f>
        <v>189.09998601768521</v>
      </c>
      <c r="AO196" s="62">
        <f t="shared" si="144"/>
        <v>458.38901659119472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2.1132641248479063</v>
      </c>
      <c r="AV196" s="23">
        <f>EXP(-LN(2)/25)*AV195+(1-EXP(-LN(2)/25))/(LN(2)/25)*Calculateur!AQ196*Calculateur!AS196*VLOOKUP('Données projet'!$B$10,Paramètres!$A$1:$I$89,3,0)*0.475*44/12</f>
        <v>0.47888539820572296</v>
      </c>
      <c r="AW196" s="23">
        <f>EXP(-LN(2)/2)*AW195+(1-EXP(-LN(2)/2))/(LN(2)/2)*AQ196*AT196*VLOOKUP('Données projet'!$B$10,Paramètres!$A$1:$I$89,3,0)*0.475*44/12</f>
        <v>1.2741391046755107E-23</v>
      </c>
      <c r="AX196" s="23">
        <f t="shared" si="166"/>
        <v>2.5921495230536293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>
        <f>BD196*VLOOKUP('Données projet'!$B$11,Paramètres!$A$1:$I$89,3,0)*VLOOKUP('Données projet'!$B$11,Paramètres!$A$1:$I$89,5,0)</f>
        <v>0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387.37910791664007</v>
      </c>
      <c r="BJ196" s="62">
        <f t="shared" si="146"/>
        <v>311.37245656657353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0.52419097658196434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2.9972368296644479E-23</v>
      </c>
      <c r="BS196" s="24">
        <f t="shared" si="169"/>
        <v>0.52419097658196434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80.063676766746568</v>
      </c>
      <c r="T197" s="62">
        <f t="shared" ref="T197:T203" si="204">$T$3</f>
        <v>410.68113780291992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3.119900022822065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2.7054345723098139E-26</v>
      </c>
      <c r="AC197" s="24">
        <f t="shared" si="163"/>
        <v>3.119900022822065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1.1368683772161603E-13</v>
      </c>
      <c r="AJ197" s="14">
        <f>AI197*VLOOKUP('Données projet'!$B$10,Paramètres!$A$1:$I$89,3,0)*VLOOKUP('Données projet'!$B$10,Paramètres!$A$1:$I$89,5,0)</f>
        <v>6.7984728957526396E-14</v>
      </c>
      <c r="AK197" s="14">
        <f t="shared" si="164"/>
        <v>1.0682447123141398E-12</v>
      </c>
      <c r="AL197" s="22">
        <f t="shared" si="165"/>
        <v>1.978932943548152E-12</v>
      </c>
      <c r="AM197" s="62">
        <f t="shared" si="193"/>
        <v>290.25878253422172</v>
      </c>
      <c r="AN197" s="62">
        <f ca="1">AVERAGE(OFFSET($AM$3,0,0,'Données projet'!$E$10+1,1))-AVERAGE(OFFSET($H$3,0,0,'Données projet'!$E$10+1,1))</f>
        <v>189.09998601768521</v>
      </c>
      <c r="AO197" s="62">
        <f t="shared" ref="AO197:AO203" si="205">$AO$3</f>
        <v>458.38901659119472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2.0718243043234805</v>
      </c>
      <c r="AV197" s="23">
        <f>EXP(-LN(2)/25)*AV196+(1-EXP(-LN(2)/25))/(LN(2)/25)*Calculateur!AQ197*Calculateur!AS197*VLOOKUP('Données projet'!$B$10,Paramètres!$A$1:$I$89,3,0)*0.475*44/12</f>
        <v>0.46579025180829886</v>
      </c>
      <c r="AW197" s="23">
        <f>EXP(-LN(2)/2)*AW196+(1-EXP(-LN(2)/2))/(LN(2)/2)*AQ197*AT197*VLOOKUP('Données projet'!$B$10,Paramètres!$A$1:$I$89,3,0)*0.475*44/12</f>
        <v>9.009524010910099E-24</v>
      </c>
      <c r="AX197" s="23">
        <f t="shared" si="166"/>
        <v>2.5376145561317793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>
        <f>BD197*VLOOKUP('Données projet'!$B$11,Paramètres!$A$1:$I$89,3,0)*VLOOKUP('Données projet'!$B$11,Paramètres!$A$1:$I$89,5,0)</f>
        <v>0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387.37910791664007</v>
      </c>
      <c r="BJ197" s="62">
        <f t="shared" ref="BJ197:BJ203" si="206">$BJ$3</f>
        <v>311.37245656657353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0.51391191125611757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2.1193664870778002E-23</v>
      </c>
      <c r="BS197" s="24">
        <f t="shared" si="169"/>
        <v>0.51391191125611757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80.063676766746568</v>
      </c>
      <c r="T198" s="62">
        <f t="shared" si="204"/>
        <v>410.68113780291992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3.0587206863256373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1.9130311321367964E-26</v>
      </c>
      <c r="AC198" s="24">
        <f t="shared" si="163"/>
        <v>3.0587206863256373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1.1368683772161603E-13</v>
      </c>
      <c r="AJ198" s="14">
        <f>AI198*VLOOKUP('Données projet'!$B$10,Paramètres!$A$1:$I$89,3,0)*VLOOKUP('Données projet'!$B$10,Paramètres!$A$1:$I$89,5,0)</f>
        <v>6.7984728957526396E-14</v>
      </c>
      <c r="AK198" s="14">
        <f t="shared" si="164"/>
        <v>1.0682447123141398E-12</v>
      </c>
      <c r="AL198" s="22">
        <f t="shared" si="165"/>
        <v>1.978932943548152E-12</v>
      </c>
      <c r="AM198" s="62">
        <f t="shared" si="193"/>
        <v>290.31211911692048</v>
      </c>
      <c r="AN198" s="62">
        <f ca="1">AVERAGE(OFFSET($AM$3,0,0,'Données projet'!$E$10+1,1))-AVERAGE(OFFSET($H$3,0,0,'Données projet'!$E$10+1,1))</f>
        <v>189.09998601768521</v>
      </c>
      <c r="AO198" s="62">
        <f t="shared" si="205"/>
        <v>458.38901659119472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2.031197093403744</v>
      </c>
      <c r="AV198" s="23">
        <f>EXP(-LN(2)/25)*AV197+(1-EXP(-LN(2)/25))/(LN(2)/25)*Calculateur!AQ198*Calculateur!AS198*VLOOKUP('Données projet'!$B$10,Paramètres!$A$1:$I$89,3,0)*0.475*44/12</f>
        <v>0.45305319287775614</v>
      </c>
      <c r="AW198" s="23">
        <f>EXP(-LN(2)/2)*AW197+(1-EXP(-LN(2)/2))/(LN(2)/2)*AQ198*AT198*VLOOKUP('Données projet'!$B$10,Paramètres!$A$1:$I$89,3,0)*0.475*44/12</f>
        <v>6.3706955233775535E-24</v>
      </c>
      <c r="AX198" s="23">
        <f t="shared" si="166"/>
        <v>2.4842502862815001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>
        <f>BD198*VLOOKUP('Données projet'!$B$11,Paramètres!$A$1:$I$89,3,0)*VLOOKUP('Données projet'!$B$11,Paramètres!$A$1:$I$89,5,0)</f>
        <v>0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387.37910791664007</v>
      </c>
      <c r="BJ198" s="62">
        <f t="shared" si="206"/>
        <v>311.37245656657353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0.50383441213169988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1.498618414832224E-23</v>
      </c>
      <c r="BS198" s="24">
        <f t="shared" si="169"/>
        <v>0.50383441213169988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80.063676766746568</v>
      </c>
      <c r="T199" s="62">
        <f t="shared" si="204"/>
        <v>410.68113780291992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2.9987410393021938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1.3527172861549069E-26</v>
      </c>
      <c r="AC199" s="24">
        <f t="shared" si="163"/>
        <v>2.9987410393021938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1.1368683772161603E-13</v>
      </c>
      <c r="AJ199" s="14">
        <f>AI199*VLOOKUP('Données projet'!$B$10,Paramètres!$A$1:$I$89,3,0)*VLOOKUP('Données projet'!$B$10,Paramètres!$A$1:$I$89,5,0)</f>
        <v>6.7984728957526396E-14</v>
      </c>
      <c r="AK199" s="14">
        <f t="shared" si="164"/>
        <v>1.0682447123141398E-12</v>
      </c>
      <c r="AL199" s="22">
        <f t="shared" si="165"/>
        <v>1.978932943548152E-12</v>
      </c>
      <c r="AM199" s="62">
        <f t="shared" si="193"/>
        <v>290.36453042915218</v>
      </c>
      <c r="AN199" s="62">
        <f ca="1">AVERAGE(OFFSET($AM$3,0,0,'Données projet'!$E$10+1,1))-AVERAGE(OFFSET($H$3,0,0,'Données projet'!$E$10+1,1))</f>
        <v>189.09998601768521</v>
      </c>
      <c r="AO199" s="62">
        <f t="shared" si="205"/>
        <v>458.38901659119472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1.9913665573099915</v>
      </c>
      <c r="AV199" s="23">
        <f>EXP(-LN(2)/25)*AV198+(1-EXP(-LN(2)/25))/(LN(2)/25)*Calculateur!AQ199*Calculateur!AS199*VLOOKUP('Données projet'!$B$10,Paramètres!$A$1:$I$89,3,0)*0.475*44/12</f>
        <v>0.44066442949348195</v>
      </c>
      <c r="AW199" s="23">
        <f>EXP(-LN(2)/2)*AW198+(1-EXP(-LN(2)/2))/(LN(2)/2)*AQ199*AT199*VLOOKUP('Données projet'!$B$10,Paramètres!$A$1:$I$89,3,0)*0.475*44/12</f>
        <v>4.5047620054550495E-24</v>
      </c>
      <c r="AX199" s="23">
        <f t="shared" si="166"/>
        <v>2.4320309868034733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>
        <f>BD199*VLOOKUP('Données projet'!$B$11,Paramètres!$A$1:$I$89,3,0)*VLOOKUP('Données projet'!$B$11,Paramètres!$A$1:$I$89,5,0)</f>
        <v>0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387.37910791664007</v>
      </c>
      <c r="BJ199" s="62">
        <f t="shared" si="206"/>
        <v>311.37245656657353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0.49395452661844447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1.0596832435389001E-23</v>
      </c>
      <c r="BS199" s="24">
        <f t="shared" si="169"/>
        <v>0.49395452661844447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80.063676766746568</v>
      </c>
      <c r="T200" s="62">
        <f t="shared" si="204"/>
        <v>410.68113780291992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2.9399375565729078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9.5651556606839819E-27</v>
      </c>
      <c r="AC200" s="24">
        <f t="shared" si="163"/>
        <v>2.9399375565729078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1.1368683772161603E-13</v>
      </c>
      <c r="AJ200" s="14">
        <f>AI200*VLOOKUP('Données projet'!$B$10,Paramètres!$A$1:$I$89,3,0)*VLOOKUP('Données projet'!$B$10,Paramètres!$A$1:$I$89,5,0)</f>
        <v>6.7984728957526396E-14</v>
      </c>
      <c r="AK200" s="14">
        <f t="shared" si="164"/>
        <v>1.0682447123141398E-12</v>
      </c>
      <c r="AL200" s="22">
        <f t="shared" si="165"/>
        <v>1.978932943548152E-12</v>
      </c>
      <c r="AM200" s="62">
        <f t="shared" si="193"/>
        <v>290.41603252229078</v>
      </c>
      <c r="AN200" s="62">
        <f ca="1">AVERAGE(OFFSET($AM$3,0,0,'Données projet'!$E$10+1,1))-AVERAGE(OFFSET($H$3,0,0,'Données projet'!$E$10+1,1))</f>
        <v>189.09998601768521</v>
      </c>
      <c r="AO200" s="62">
        <f t="shared" si="205"/>
        <v>458.38901659119472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1.9523170737348094</v>
      </c>
      <c r="AV200" s="23">
        <f>EXP(-LN(2)/25)*AV199+(1-EXP(-LN(2)/25))/(LN(2)/25)*Calculateur!AQ200*Calculateur!AS200*VLOOKUP('Données projet'!$B$10,Paramètres!$A$1:$I$89,3,0)*0.475*44/12</f>
        <v>0.42861443749544748</v>
      </c>
      <c r="AW200" s="23">
        <f>EXP(-LN(2)/2)*AW199+(1-EXP(-LN(2)/2))/(LN(2)/2)*AQ200*AT200*VLOOKUP('Données projet'!$B$10,Paramètres!$A$1:$I$89,3,0)*0.475*44/12</f>
        <v>3.1853477616887767E-24</v>
      </c>
      <c r="AX200" s="23">
        <f t="shared" si="166"/>
        <v>2.3809315112302567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>
        <f>BD200*VLOOKUP('Données projet'!$B$11,Paramètres!$A$1:$I$89,3,0)*VLOOKUP('Données projet'!$B$11,Paramètres!$A$1:$I$89,5,0)</f>
        <v>0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387.37910791664007</v>
      </c>
      <c r="BJ200" s="62">
        <f t="shared" si="206"/>
        <v>311.37245656657353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0.48426837963396885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7.4930920741611198E-24</v>
      </c>
      <c r="BS200" s="24">
        <f t="shared" si="169"/>
        <v>0.48426837963396885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80.063676766746568</v>
      </c>
      <c r="T201" s="62">
        <f t="shared" si="204"/>
        <v>410.68113780291992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2.8822871742733605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6.7635864307745347E-27</v>
      </c>
      <c r="AC201" s="24">
        <f t="shared" si="163"/>
        <v>2.8822871742733605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1.1368683772161603E-13</v>
      </c>
      <c r="AJ201" s="14">
        <f>AI201*VLOOKUP('Données projet'!$B$10,Paramètres!$A$1:$I$89,3,0)*VLOOKUP('Données projet'!$B$10,Paramètres!$A$1:$I$89,5,0)</f>
        <v>6.7984728957526396E-14</v>
      </c>
      <c r="AK201" s="14">
        <f t="shared" si="164"/>
        <v>1.0682447123141398E-12</v>
      </c>
      <c r="AL201" s="22">
        <f t="shared" si="165"/>
        <v>1.978932943548152E-12</v>
      </c>
      <c r="AM201" s="62">
        <f t="shared" si="193"/>
        <v>290.4666411692549</v>
      </c>
      <c r="AN201" s="62">
        <f ca="1">AVERAGE(OFFSET($AM$3,0,0,'Données projet'!$E$10+1,1))-AVERAGE(OFFSET($H$3,0,0,'Données projet'!$E$10+1,1))</f>
        <v>189.09998601768521</v>
      </c>
      <c r="AO201" s="62">
        <f t="shared" si="205"/>
        <v>458.38901659119472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1.9140333267147034</v>
      </c>
      <c r="AV201" s="23">
        <f>EXP(-LN(2)/25)*AV200+(1-EXP(-LN(2)/25))/(LN(2)/25)*Calculateur!AQ201*Calculateur!AS201*VLOOKUP('Données projet'!$B$10,Paramètres!$A$1:$I$89,3,0)*0.475*44/12</f>
        <v>0.41689395316228078</v>
      </c>
      <c r="AW201" s="23">
        <f>EXP(-LN(2)/2)*AW200+(1-EXP(-LN(2)/2))/(LN(2)/2)*AQ201*AT201*VLOOKUP('Données projet'!$B$10,Paramètres!$A$1:$I$89,3,0)*0.475*44/12</f>
        <v>2.2523810027275247E-24</v>
      </c>
      <c r="AX201" s="23">
        <f t="shared" si="166"/>
        <v>2.3309272798769842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>
        <f>BD201*VLOOKUP('Données projet'!$B$11,Paramètres!$A$1:$I$89,3,0)*VLOOKUP('Données projet'!$B$11,Paramètres!$A$1:$I$89,5,0)</f>
        <v>0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387.37910791664007</v>
      </c>
      <c r="BJ201" s="62">
        <f t="shared" si="206"/>
        <v>311.37245656657353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0.4747721720838925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5.2984162176945005E-24</v>
      </c>
      <c r="BS201" s="24">
        <f t="shared" si="169"/>
        <v>0.4747721720838925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80.063676766746568</v>
      </c>
      <c r="T202" s="62">
        <f t="shared" si="204"/>
        <v>410.68113780291992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2.8257672808074461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4.782577830341991E-27</v>
      </c>
      <c r="AC202" s="24">
        <f t="shared" si="163"/>
        <v>2.8257672808074461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1.1368683772161603E-13</v>
      </c>
      <c r="AJ202" s="14">
        <f>AI202*VLOOKUP('Données projet'!$B$10,Paramètres!$A$1:$I$89,3,0)*VLOOKUP('Données projet'!$B$10,Paramètres!$A$1:$I$89,5,0)</f>
        <v>6.7984728957526396E-14</v>
      </c>
      <c r="AK202" s="14">
        <f t="shared" si="164"/>
        <v>1.0682447123141398E-12</v>
      </c>
      <c r="AL202" s="22">
        <f t="shared" si="165"/>
        <v>1.978932943548152E-12</v>
      </c>
      <c r="AM202" s="62">
        <f t="shared" si="193"/>
        <v>290.51637186933812</v>
      </c>
      <c r="AN202" s="62">
        <f ca="1">AVERAGE(OFFSET($AM$3,0,0,'Données projet'!$E$10+1,1))-AVERAGE(OFFSET($H$3,0,0,'Données projet'!$E$10+1,1))</f>
        <v>189.09998601768521</v>
      </c>
      <c r="AO202" s="62">
        <f t="shared" si="205"/>
        <v>458.38901659119472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1.8765003006228818</v>
      </c>
      <c r="AV202" s="23">
        <f>EXP(-LN(2)/25)*AV201+(1-EXP(-LN(2)/25))/(LN(2)/25)*Calculateur!AQ202*Calculateur!AS202*VLOOKUP('Données projet'!$B$10,Paramètres!$A$1:$I$89,3,0)*0.475*44/12</f>
        <v>0.40549396608955807</v>
      </c>
      <c r="AW202" s="23">
        <f>EXP(-LN(2)/2)*AW201+(1-EXP(-LN(2)/2))/(LN(2)/2)*AQ202*AT202*VLOOKUP('Données projet'!$B$10,Paramètres!$A$1:$I$89,3,0)*0.475*44/12</f>
        <v>1.5926738808443884E-24</v>
      </c>
      <c r="AX202" s="23">
        <f t="shared" si="166"/>
        <v>2.2819942667124398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>
        <f>BD202*VLOOKUP('Données projet'!$B$11,Paramètres!$A$1:$I$89,3,0)*VLOOKUP('Données projet'!$B$11,Paramètres!$A$1:$I$89,5,0)</f>
        <v>0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387.37910791664007</v>
      </c>
      <c r="BJ202" s="62">
        <f t="shared" si="206"/>
        <v>311.37245656657353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0.46546217937175843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3.7465460370805599E-24</v>
      </c>
      <c r="BS202" s="24">
        <f t="shared" si="169"/>
        <v>0.46546217937175843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80.063676766746568</v>
      </c>
      <c r="T203" s="62">
        <f t="shared" si="204"/>
        <v>410.68113780291992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2.7703557079786671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3.3817932153872674E-27</v>
      </c>
      <c r="AC203" s="24">
        <f t="shared" si="163"/>
        <v>2.7703557079786671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1.1368683772161603E-13</v>
      </c>
      <c r="AJ203" s="14">
        <f>AI203*VLOOKUP('Données projet'!$B$10,Paramètres!$A$1:$I$89,3,0)*VLOOKUP('Données projet'!$B$10,Paramètres!$A$1:$I$89,5,0)</f>
        <v>6.7984728957526396E-14</v>
      </c>
      <c r="AK203" s="14">
        <f t="shared" si="164"/>
        <v>1.0682447123141398E-12</v>
      </c>
      <c r="AL203" s="22">
        <f t="shared" si="165"/>
        <v>1.978932943548152E-12</v>
      </c>
      <c r="AM203" s="62">
        <f t="shared" si="193"/>
        <v>290.5652398529561</v>
      </c>
      <c r="AN203" s="62">
        <f ca="1">AVERAGE(OFFSET($AM$3,0,0,'Données projet'!$E$10+1,1))-AVERAGE(OFFSET($H$3,0,0,'Données projet'!$E$10+1,1))</f>
        <v>189.09998601768521</v>
      </c>
      <c r="AO203" s="62">
        <f t="shared" si="205"/>
        <v>458.38901659119472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1.8397032742798354</v>
      </c>
      <c r="AV203" s="23">
        <f>EXP(-LN(2)/25)*AV202+(1-EXP(-LN(2)/25))/(LN(2)/25)*Calculateur!AQ203*Calculateur!AS203*VLOOKUP('Données projet'!$B$10,Paramètres!$A$1:$I$89,3,0)*0.475*44/12</f>
        <v>0.39440571226283822</v>
      </c>
      <c r="AW203" s="23">
        <f>EXP(-LN(2)/2)*AW202+(1-EXP(-LN(2)/2))/(LN(2)/2)*AQ203*AT203*VLOOKUP('Données projet'!$B$10,Paramètres!$A$1:$I$89,3,0)*0.475*44/12</f>
        <v>1.1261905013637624E-24</v>
      </c>
      <c r="AX203" s="23">
        <f t="shared" si="166"/>
        <v>2.2341089865426738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>
        <f>BD203*VLOOKUP('Données projet'!$B$11,Paramètres!$A$1:$I$89,3,0)*VLOOKUP('Données projet'!$B$11,Paramètres!$A$1:$I$89,5,0)</f>
        <v>0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387.37910791664007</v>
      </c>
      <c r="BJ203" s="62">
        <f t="shared" si="206"/>
        <v>311.37245656657353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0.45633474993817447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2.6492081088472503E-24</v>
      </c>
      <c r="BS203" s="24">
        <f t="shared" si="169"/>
        <v>0.45633474993817447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1.4312322243747371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1.4749438547769935</v>
      </c>
      <c r="BA205" s="88">
        <f>EXP(LN('Données projet'!B88)/'Données projet'!A88)</f>
        <v>1.244502252163008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4" workbookViewId="0">
      <selection activeCell="L30" sqref="L30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Peuplier Robusta</v>
      </c>
      <c r="B6" s="155">
        <f>'Données projet'!D9</f>
        <v>1.913184</v>
      </c>
      <c r="C6" s="156">
        <f ca="1">IF(OR('Données projet'!B9="",'Données projet'!C9="",'Données projet'!C9=0%),0,Calculateur!S3)</f>
        <v>80.063676766746568</v>
      </c>
      <c r="D6" s="156">
        <f>IF(OR('Données projet'!B9="",'Données projet'!C9="",'Données projet'!C9=0%),0,Calculateur!T3)</f>
        <v>410.68113780291992</v>
      </c>
      <c r="E6" s="156">
        <f ca="1">MIN(C6,D6)</f>
        <v>80.063676766746568</v>
      </c>
      <c r="F6" s="156">
        <f ca="1">E6*B6</f>
        <v>153.17654537131128</v>
      </c>
      <c r="G6" s="156">
        <f ca="1">F6*(100%-'Données projet'!$C$24)*(100%-'Données projet'!$C$25)*(100%-'Données projet'!$C$26)*(100%-'Données projet'!$C$27)</f>
        <v>117.18005720905313</v>
      </c>
      <c r="H6" s="157">
        <f>IF(OR('Données projet'!B9="",'Données projet'!C9="",'Données projet'!C9=0%),0,AVERAGE(Calculateur!$AC$3:$AC$33)*B6)</f>
        <v>89.205338649647629</v>
      </c>
      <c r="I6" s="158">
        <f>H6*(100%-'Données projet'!$C$24)*(100%-'Données projet'!$C$25)*(100%-'Données projet'!$C$26)*(100%-'Données projet'!$C$27)</f>
        <v>68.242084066980425</v>
      </c>
      <c r="J6" s="159">
        <f>IF(OR('Données projet'!B9="",'Données projet'!C9="",'Données projet'!C9=0%),0,SUM(Calculateur!$V$3:$V$33)*VLOOKUP('Données projet'!$B$9,Paramètres!$A$1:$I$89,9,0)*B6)</f>
        <v>610.87965120000001</v>
      </c>
      <c r="K6" s="160">
        <f>J6*(100%-'Données projet'!$C$24)*(100%-'Données projet'!$C$25)*(100%-'Données projet'!$C$26)*(100%-'Données projet'!$C$27)</f>
        <v>467.32293316799996</v>
      </c>
      <c r="L6" s="161">
        <f ca="1">G6+I6+K6</f>
        <v>652.74507444403355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Pin maritime</v>
      </c>
      <c r="B7" s="163">
        <f>'Données projet'!D10</f>
        <v>2.6832000000000003</v>
      </c>
      <c r="C7" s="156">
        <f ca="1">IF(OR('Données projet'!B10="",'Données projet'!C10="",'Données projet'!C10=0%),0,Calculateur!AN3)</f>
        <v>189.09998601768521</v>
      </c>
      <c r="D7" s="156">
        <f>IF(OR('Données projet'!B10="",'Données projet'!C10="",'Données projet'!C10=0%),0,Calculateur!AO3)</f>
        <v>458.38901659119472</v>
      </c>
      <c r="E7" s="156">
        <f t="shared" ref="E7:E15" ca="1" si="0">MIN(C7,D7)</f>
        <v>189.09998601768521</v>
      </c>
      <c r="F7" s="156">
        <f t="shared" ref="F7:F15" ca="1" si="1">E7*B7</f>
        <v>507.39308248265303</v>
      </c>
      <c r="G7" s="156">
        <f ca="1">F7*(100%-'Données projet'!$C$24)*(100%-'Données projet'!$C$25)*(100%-'Données projet'!$C$26)*(100%-'Données projet'!$C$27)</f>
        <v>388.15570809922957</v>
      </c>
      <c r="H7" s="164">
        <f>IF(OR('Données projet'!B10="",'Données projet'!C10="",'Données projet'!C10=0%),0,AVERAGE(Calculateur!$AX$3:$AX$33)*B7)</f>
        <v>40.336754779373663</v>
      </c>
      <c r="I7" s="158">
        <f>H7*(100%-'Données projet'!$C$24)*(100%-'Données projet'!$C$25)*(100%-'Données projet'!$C$26)*(100%-'Données projet'!$C$27)</f>
        <v>30.857617406220854</v>
      </c>
      <c r="J7" s="159">
        <f>IF(OR('Données projet'!B10="",'Données projet'!C10="",'Données projet'!C10=0%),0,SUM(Calculateur!$AQ$3:$AQ$33)*VLOOKUP('Données projet'!$B$10,Paramètres!$A$1:$I$89,9,0)*B7)</f>
        <v>699.72489599999994</v>
      </c>
      <c r="K7" s="160">
        <f>J7*(100%-'Données projet'!$C$24)*(100%-'Données projet'!$C$25)*(100%-'Données projet'!$C$26)*(100%-'Données projet'!$C$27)</f>
        <v>535.28954543999987</v>
      </c>
      <c r="L7" s="161">
        <f t="shared" ref="L7:L15" ca="1" si="2">G7+I7+K7</f>
        <v>954.30287094545031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Pin laricio</v>
      </c>
      <c r="B8" s="163">
        <f>'Données projet'!D11</f>
        <v>1.642992</v>
      </c>
      <c r="C8" s="156">
        <f ca="1">IF(OR('Données projet'!B11="",'Données projet'!C11="",'Données projet'!C11=0%),0,Calculateur!BI3)</f>
        <v>387.37910791664007</v>
      </c>
      <c r="D8" s="156">
        <f>IF(OR('Données projet'!B11="",'Données projet'!C11="",'Données projet'!C11=0%),0,Calculateur!BJ3)</f>
        <v>311.37245656657353</v>
      </c>
      <c r="E8" s="156">
        <f t="shared" ca="1" si="0"/>
        <v>311.37245656657353</v>
      </c>
      <c r="F8" s="156">
        <f t="shared" ca="1" si="1"/>
        <v>511.58245515922778</v>
      </c>
      <c r="G8" s="156">
        <f ca="1">F8*(100%-'Données projet'!$C$24)*(100%-'Données projet'!$C$25)*(100%-'Données projet'!$C$26)*(100%-'Données projet'!$C$27)</f>
        <v>391.36057819680923</v>
      </c>
      <c r="H8" s="164">
        <f>IF(OR('Données projet'!B11="",'Données projet'!C11="",'Données projet'!C11=0%),0,AVERAGE(Calculateur!$BS$3:$BS$33)*B8)</f>
        <v>4.688516758335787</v>
      </c>
      <c r="I8" s="158">
        <f>H8*(100%-'Données projet'!$C$24)*(100%-'Données projet'!$C$25)*(100%-'Données projet'!$C$26)*(100%-'Données projet'!$C$27)</f>
        <v>3.5867153201268773</v>
      </c>
      <c r="J8" s="159">
        <f>IF(OR('Données projet'!B11="",'Données projet'!C11="",'Données projet'!C11=0%),0,SUM(Calculateur!$BL$3:$BL$33)*VLOOKUP('Données projet'!$B$11,Paramètres!$A$1:$I$89,9,0)*B8)</f>
        <v>47.334599519999998</v>
      </c>
      <c r="K8" s="160">
        <f>J8*(100%-'Données projet'!$C$24)*(100%-'Données projet'!$C$25)*(100%-'Données projet'!$C$26)*(100%-'Données projet'!$C$27)</f>
        <v>36.210968632799997</v>
      </c>
      <c r="L8" s="161">
        <f t="shared" ca="1" si="2"/>
        <v>431.15826214973612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1172.1520830131922</v>
      </c>
      <c r="G16" s="175">
        <f t="shared" ca="1" si="3"/>
        <v>896.69634350509193</v>
      </c>
      <c r="H16" s="176">
        <f t="shared" si="3"/>
        <v>134.23061018735709</v>
      </c>
      <c r="I16" s="176">
        <f t="shared" si="3"/>
        <v>102.68641679332815</v>
      </c>
      <c r="J16" s="177">
        <f t="shared" si="3"/>
        <v>1357.9391467200001</v>
      </c>
      <c r="K16" s="177">
        <f t="shared" si="3"/>
        <v>1038.8234472407999</v>
      </c>
      <c r="L16" s="178">
        <f t="shared" ca="1" si="3"/>
        <v>2038.20620753922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Peuplier Robusta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Pin maritime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Pin laricio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A7" zoomScale="90" zoomScaleNormal="90" workbookViewId="0">
      <selection activeCell="L26" sqref="L26:P27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Peuplier Robusta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8890.5584237679541</v>
      </c>
      <c r="U10" s="190">
        <f>'Données projet'!D9</f>
        <v>1.913184</v>
      </c>
      <c r="V10" s="189">
        <f>U10*T10</f>
        <v>17009.27412741807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Pin maritime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4548.5890612361827</v>
      </c>
      <c r="U11" s="190">
        <f>'Données projet'!D10</f>
        <v>2.6832000000000003</v>
      </c>
      <c r="V11" s="189">
        <f t="shared" ref="V11" si="0">U11*T11</f>
        <v>12204.774169108927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Pin laricio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1806.7921046332258</v>
      </c>
      <c r="U12" s="190">
        <f>'Données projet'!D11</f>
        <v>1.642992</v>
      </c>
      <c r="V12" s="189">
        <f t="shared" ref="V12:V19" si="1">U12*T12</f>
        <v>2968.5449735755528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Peuplier Robusta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2500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/>
      <c r="D21" s="211" t="s">
        <v>132</v>
      </c>
      <c r="E21" s="206"/>
      <c r="F21" s="261"/>
      <c r="H21" s="203">
        <v>1</v>
      </c>
      <c r="I21" s="204">
        <v>550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v>350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16</v>
      </c>
      <c r="B23" s="193">
        <f>'Données projet'!D36</f>
        <v>310</v>
      </c>
      <c r="C23" s="206">
        <v>58</v>
      </c>
      <c r="D23" s="194">
        <f>B23*C23</f>
        <v>17980</v>
      </c>
      <c r="E23" s="206"/>
      <c r="F23" s="261"/>
      <c r="H23" s="203">
        <v>3</v>
      </c>
      <c r="I23" s="204">
        <v>650</v>
      </c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2658.0100852232572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0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>
        <v>4</v>
      </c>
      <c r="I24" s="204">
        <v>350</v>
      </c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7634.0253906424568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0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>
        <v>5</v>
      </c>
      <c r="I25" s="204">
        <v>650</v>
      </c>
      <c r="K25" s="225"/>
      <c r="L25" s="271" t="s">
        <v>285</v>
      </c>
      <c r="M25" s="271"/>
      <c r="N25" s="271"/>
      <c r="O25" s="271"/>
      <c r="P25" s="205">
        <v>100</v>
      </c>
      <c r="Q25" s="265"/>
      <c r="R25" s="25"/>
      <c r="S25" s="198" t="s">
        <v>266</v>
      </c>
      <c r="T25" s="341">
        <f ca="1">T23-T24</f>
        <v>-4976.0153054191996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1223.4015049106501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100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95.693779904306226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91.572995123738025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87.629660405490938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83.856134359321487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80.245104650068413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76.789573827816682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73.482845768245625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70.31851269688579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67.290442772139514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64.392768203004323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61.619873878473044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Pin maritime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58.966386486577086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56.427164101987636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53.997286221997754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51.672044231576791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49.446932279020878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 t="str">
        <f>IF(O49+1&lt;=MIN('Données projet'!$E$9:$E$18),O49+1,"STOP")</f>
        <v>STOP</v>
      </c>
      <c r="P50" s="197" t="e">
        <f t="shared" si="3"/>
        <v>#VALUE!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 t="e">
        <f>IF(O50+1&lt;=MIN('Données projet'!$E$9:$E$18),O50+1,"STOP")</f>
        <v>#VALUE!</v>
      </c>
      <c r="P51" s="197" t="e">
        <f t="shared" si="3"/>
        <v>#VALUE!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 t="e">
        <f>IF(O51+1&lt;=MIN('Données projet'!$E$9:$E$18),O51+1,"STOP")</f>
        <v>#VALUE!</v>
      </c>
      <c r="P52" s="197" t="e">
        <f t="shared" si="3"/>
        <v>#VALUE!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/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 t="e">
        <f>IF(O52+1&lt;=MIN('Données projet'!$E$9:$E$18),O52+1,"STOP")</f>
        <v>#VALUE!</v>
      </c>
      <c r="P53" s="197" t="e">
        <f t="shared" si="3"/>
        <v>#VALUE!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12</v>
      </c>
      <c r="B54" s="193">
        <f>'Données projet'!D62</f>
        <v>34</v>
      </c>
      <c r="C54" s="204">
        <v>12</v>
      </c>
      <c r="D54" s="191">
        <f>B54*C54</f>
        <v>408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e">
        <f>IF(O53+1&lt;=MIN('Données projet'!$E$9:$E$18),O53+1,"STOP")</f>
        <v>#VALUE!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17</v>
      </c>
      <c r="B55" s="193">
        <f>'Données projet'!D63</f>
        <v>43</v>
      </c>
      <c r="C55" s="204">
        <v>22</v>
      </c>
      <c r="D55" s="191">
        <f t="shared" ref="D55:D73" si="4">B55*C55</f>
        <v>946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22</v>
      </c>
      <c r="B56" s="193">
        <f>'Données projet'!D64</f>
        <v>56</v>
      </c>
      <c r="C56" s="204">
        <v>28</v>
      </c>
      <c r="D56" s="191">
        <f t="shared" si="4"/>
        <v>1568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30</v>
      </c>
      <c r="B57" s="193">
        <f>'Données projet'!D65</f>
        <v>309</v>
      </c>
      <c r="C57" s="204">
        <v>45</v>
      </c>
      <c r="D57" s="191">
        <f t="shared" si="4"/>
        <v>13905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Pin laricio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/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/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/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22</v>
      </c>
      <c r="B85" s="193">
        <f>'Données projet'!D88</f>
        <v>16</v>
      </c>
      <c r="C85" s="204">
        <v>10</v>
      </c>
      <c r="D85" s="191">
        <f>B85*C85</f>
        <v>160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25</v>
      </c>
      <c r="B86" s="193">
        <f>'Données projet'!D89</f>
        <v>17</v>
      </c>
      <c r="C86" s="204">
        <v>12</v>
      </c>
      <c r="D86" s="191">
        <f t="shared" ref="D86:D104" si="6">B86*C86</f>
        <v>204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30</v>
      </c>
      <c r="B87" s="193">
        <f>'Données projet'!D90</f>
        <v>34</v>
      </c>
      <c r="C87" s="204">
        <v>12</v>
      </c>
      <c r="D87" s="191">
        <f t="shared" si="6"/>
        <v>408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35</v>
      </c>
      <c r="B88" s="193">
        <f>'Données projet'!D91</f>
        <v>41</v>
      </c>
      <c r="C88" s="204">
        <v>15</v>
      </c>
      <c r="D88" s="191">
        <f t="shared" si="6"/>
        <v>615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40</v>
      </c>
      <c r="B89" s="193">
        <f>'Données projet'!D92</f>
        <v>41</v>
      </c>
      <c r="C89" s="204">
        <v>15</v>
      </c>
      <c r="D89" s="191">
        <f t="shared" si="6"/>
        <v>615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45</v>
      </c>
      <c r="B90" s="193">
        <f>'Données projet'!D93</f>
        <v>53</v>
      </c>
      <c r="C90" s="204">
        <v>25</v>
      </c>
      <c r="D90" s="191">
        <f t="shared" si="6"/>
        <v>1325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50</v>
      </c>
      <c r="B91" s="193">
        <f>'Données projet'!D94</f>
        <v>53</v>
      </c>
      <c r="C91" s="204">
        <v>25</v>
      </c>
      <c r="D91" s="191">
        <f t="shared" si="6"/>
        <v>1325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58</v>
      </c>
      <c r="B92" s="193">
        <f>'Données projet'!D95</f>
        <v>78</v>
      </c>
      <c r="C92" s="204">
        <v>25</v>
      </c>
      <c r="D92" s="191">
        <f t="shared" si="6"/>
        <v>1950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66</v>
      </c>
      <c r="B93" s="193">
        <f>'Données projet'!D96</f>
        <v>65</v>
      </c>
      <c r="C93" s="204">
        <v>35</v>
      </c>
      <c r="D93" s="191">
        <f t="shared" si="6"/>
        <v>2275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74</v>
      </c>
      <c r="B94" s="193">
        <f>'Données projet'!D97</f>
        <v>37</v>
      </c>
      <c r="C94" s="204">
        <v>35</v>
      </c>
      <c r="D94" s="191">
        <f t="shared" si="6"/>
        <v>1295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82</v>
      </c>
      <c r="B95" s="193">
        <f>'Données projet'!D98</f>
        <v>555</v>
      </c>
      <c r="C95" s="204">
        <v>45</v>
      </c>
      <c r="D95" s="191">
        <f t="shared" si="6"/>
        <v>24975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2025-01-13T10:58:36Z</dcterms:modified>
</cp:coreProperties>
</file>