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71 - BAZAS (33) - DE CHENERILLES Philippe\PDF documents remplis par bazas\"/>
    </mc:Choice>
  </mc:AlternateContent>
  <xr:revisionPtr revIDLastSave="0" documentId="13_ncr:1_{99AF4D72-8097-4E26-A581-5C57CD44ABF1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6" l="1"/>
  <c r="I24" i="6"/>
  <c r="I23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<sst xmlns="http://schemas.openxmlformats.org/spreadsheetml/2006/main" count="1169" uniqueCount="324">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</sst>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10.221654860295478</c:v>
                </c:pt>
                <c:pt idx="2">
                  <c:v>19.998949519771983</c:v>
                </c:pt>
                <c:pt idx="3">
                  <c:v>29.6327381398707</c:v>
                </c:pt>
                <c:pt idx="4">
                  <c:v>39.178066298279745</c:v>
                </c:pt>
                <c:pt idx="5">
                  <c:v>48.659882455320734</c:v>
                </c:pt>
                <c:pt idx="6">
                  <c:v>58.092418254388406</c:v>
                </c:pt>
                <c:pt idx="7">
                  <c:v>67.484848285704871</c:v>
                </c:pt>
                <c:pt idx="8">
                  <c:v>76.843563013572378</c:v>
                </c:pt>
                <c:pt idx="9">
                  <c:v>86.173259510546401</c:v>
                </c:pt>
                <c:pt idx="10">
                  <c:v>95.477529820975846</c:v>
                </c:pt>
                <c:pt idx="11">
                  <c:v>104.7592060079386</c:v>
                </c:pt>
                <c:pt idx="12">
                  <c:v>114.02057567980363</c:v>
                </c:pt>
                <c:pt idx="13">
                  <c:v>123.26352343536469</c:v>
                </c:pt>
                <c:pt idx="14">
                  <c:v>132.48962746478011</c:v>
                </c:pt>
                <c:pt idx="15">
                  <c:v>141.70022772708563</c:v>
                </c:pt>
                <c:pt idx="16">
                  <c:v>150.89647541242331</c:v>
                </c:pt>
                <c:pt idx="17">
                  <c:v>160.07936967898286</c:v>
                </c:pt>
                <c:pt idx="18">
                  <c:v>169.24978549655808</c:v>
                </c:pt>
                <c:pt idx="19">
                  <c:v>178.40849512525776</c:v>
                </c:pt>
                <c:pt idx="20">
                  <c:v>187.55618494338475</c:v>
                </c:pt>
                <c:pt idx="21">
                  <c:v>196.69346881409535</c:v>
                </c:pt>
                <c:pt idx="22">
                  <c:v>205.82089883389031</c:v>
                </c:pt>
                <c:pt idx="23">
                  <c:v>214.9389740715925</c:v>
                </c:pt>
                <c:pt idx="24">
                  <c:v>224.04814774461713</c:v>
                </c:pt>
                <c:pt idx="25">
                  <c:v>233.14883316549523</c:v>
                </c:pt>
                <c:pt idx="26">
                  <c:v>242.24140871017039</c:v>
                </c:pt>
                <c:pt idx="27">
                  <c:v>251.32622200044386</c:v>
                </c:pt>
                <c:pt idx="28">
                  <c:v>260.40359344937906</c:v>
                </c:pt>
                <c:pt idx="29">
                  <c:v>269.47381928598719</c:v>
                </c:pt>
                <c:pt idx="30">
                  <c:v>278.53717415099356</c:v>
                </c:pt>
                <c:pt idx="31">
                  <c:v>287.59391333677951</c:v>
                </c:pt>
                <c:pt idx="32">
                  <c:v>296.64427473018031</c:v>
                </c:pt>
                <c:pt idx="33">
                  <c:v>305.68848050561127</c:v>
                </c:pt>
                <c:pt idx="34">
                  <c:v>314.72673860720062</c:v>
                </c:pt>
                <c:pt idx="35">
                  <c:v>323.75924405165341</c:v>
                </c:pt>
                <c:pt idx="36">
                  <c:v>332.78618007803192</c:v>
                </c:pt>
                <c:pt idx="37">
                  <c:v>341.80771916619102</c:v>
                </c:pt>
                <c:pt idx="38">
                  <c:v>350.82402394201648</c:v>
                </c:pt>
                <c:pt idx="39">
                  <c:v>359.83524798469381</c:v>
                </c:pt>
                <c:pt idx="40">
                  <c:v>368.84153654885125</c:v>
                </c:pt>
                <c:pt idx="41">
                  <c:v>377.8430272124553</c:v>
                </c:pt>
                <c:pt idx="42">
                  <c:v>386.83985045971781</c:v>
                </c:pt>
                <c:pt idx="43">
                  <c:v>297.21717518827523</c:v>
                </c:pt>
                <c:pt idx="44">
                  <c:v>317.58724822366509</c:v>
                </c:pt>
                <c:pt idx="45">
                  <c:v>337.92839403108047</c:v>
                </c:pt>
                <c:pt idx="46">
                  <c:v>358.24259793484299</c:v>
                </c:pt>
                <c:pt idx="47">
                  <c:v>378.53160178526781</c:v>
                </c:pt>
                <c:pt idx="48">
                  <c:v>398.79694553728058</c:v>
                </c:pt>
                <c:pt idx="49">
                  <c:v>341.42696956725382</c:v>
                </c:pt>
                <c:pt idx="50">
                  <c:v>361.90308592785345</c:v>
                </c:pt>
                <c:pt idx="51">
                  <c:v>382.35388351937019</c:v>
                </c:pt>
                <c:pt idx="52">
                  <c:v>402.78090627015791</c:v>
                </c:pt>
                <c:pt idx="53">
                  <c:v>423.18552880120905</c:v>
                </c:pt>
                <c:pt idx="54">
                  <c:v>443.56898242812048</c:v>
                </c:pt>
                <c:pt idx="55">
                  <c:v>377.70056009818182</c:v>
                </c:pt>
                <c:pt idx="56">
                  <c:v>397.46876752677173</c:v>
                </c:pt>
                <c:pt idx="57">
                  <c:v>417.21568777134922</c:v>
                </c:pt>
                <c:pt idx="58">
                  <c:v>436.94246952460384</c:v>
                </c:pt>
                <c:pt idx="59">
                  <c:v>456.65014935173781</c:v>
                </c:pt>
                <c:pt idx="60">
                  <c:v>476.3396671012872</c:v>
                </c:pt>
                <c:pt idx="61">
                  <c:v>411.90761674960089</c:v>
                </c:pt>
                <c:pt idx="62">
                  <c:v>430.97676436350366</c:v>
                </c:pt>
                <c:pt idx="63">
                  <c:v>450.0277904288144</c:v>
                </c:pt>
                <c:pt idx="64">
                  <c:v>469.06156958966</c:v>
                </c:pt>
                <c:pt idx="65">
                  <c:v>488.07889975735389</c:v>
                </c:pt>
                <c:pt idx="66">
                  <c:v>507.08051163078659</c:v>
                </c:pt>
                <c:pt idx="67">
                  <c:v>438.10226396786555</c:v>
                </c:pt>
                <c:pt idx="68">
                  <c:v>456.48461552128629</c:v>
                </c:pt>
                <c:pt idx="69">
                  <c:v>474.85115911139542</c:v>
                </c:pt>
                <c:pt idx="70">
                  <c:v>493.2025918734027</c:v>
                </c:pt>
                <c:pt idx="71">
                  <c:v>511.53955486237896</c:v>
                </c:pt>
                <c:pt idx="72">
                  <c:v>529.86263945423718</c:v>
                </c:pt>
                <c:pt idx="73">
                  <c:v>460.62257788351417</c:v>
                </c:pt>
                <c:pt idx="74">
                  <c:v>477.66270222958747</c:v>
                </c:pt>
                <c:pt idx="75">
                  <c:v>494.68990346234278</c:v>
                </c:pt>
                <c:pt idx="76">
                  <c:v>511.70468879561594</c:v>
                </c:pt>
                <c:pt idx="77">
                  <c:v>528.70752897913144</c:v>
                </c:pt>
                <c:pt idx="78">
                  <c:v>545.69886203239582</c:v>
                </c:pt>
                <c:pt idx="79">
                  <c:v>480.47389339882125</c:v>
                </c:pt>
                <c:pt idx="80">
                  <c:v>496.50760006666104</c:v>
                </c:pt>
                <c:pt idx="81">
                  <c:v>512.53034158476851</c:v>
                </c:pt>
                <c:pt idx="82">
                  <c:v>528.5425088623582</c:v>
                </c:pt>
                <c:pt idx="83">
                  <c:v>544.54446720340138</c:v>
                </c:pt>
                <c:pt idx="84">
                  <c:v>560.53655870248656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5" zoomScale="90" zoomScaleNormal="90" workbookViewId="0">
      <selection activeCell="E36" sqref="E36:G4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1.96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1</v>
      </c>
      <c r="D9" s="36">
        <f t="shared" ref="D9:D18" si="0">C9*$C$5</f>
        <v>1.96</v>
      </c>
      <c r="E9" s="37">
        <v>84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1.96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42</v>
      </c>
      <c r="B36" s="63">
        <v>379</v>
      </c>
      <c r="C36" s="63">
        <v>1</v>
      </c>
      <c r="D36" s="63">
        <v>110</v>
      </c>
      <c r="E36" s="54"/>
      <c r="F36" s="54"/>
      <c r="G36" s="54"/>
      <c r="H36" s="54"/>
      <c r="I36" s="52">
        <f>IFERROR(B36/A36,"")</f>
        <v>9.0238095238095237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48</v>
      </c>
      <c r="B37" s="63">
        <v>391</v>
      </c>
      <c r="C37" s="63">
        <v>2</v>
      </c>
      <c r="D37" s="63">
        <v>78</v>
      </c>
      <c r="E37" s="54"/>
      <c r="F37" s="54"/>
      <c r="G37" s="54"/>
      <c r="H37" s="54"/>
      <c r="I37" s="56">
        <f t="shared" ref="I37:I55" si="1">IF(A37&lt;&gt;0,(B37-(B36-D36))/(A37-A36),"")</f>
        <v>20.333333333333332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54</v>
      </c>
      <c r="B38" s="63">
        <v>436</v>
      </c>
      <c r="C38" s="63">
        <v>3</v>
      </c>
      <c r="D38" s="63">
        <v>86</v>
      </c>
      <c r="E38" s="54"/>
      <c r="F38" s="54"/>
      <c r="G38" s="54"/>
      <c r="H38" s="54"/>
      <c r="I38" s="56">
        <f t="shared" si="1"/>
        <v>20.5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60</v>
      </c>
      <c r="B39" s="63">
        <v>469</v>
      </c>
      <c r="C39" s="63">
        <v>4</v>
      </c>
      <c r="D39" s="63">
        <v>84</v>
      </c>
      <c r="E39" s="54"/>
      <c r="F39" s="54"/>
      <c r="G39" s="54"/>
      <c r="H39" s="54"/>
      <c r="I39" s="52">
        <f t="shared" si="1"/>
        <v>19.833333333333332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66</v>
      </c>
      <c r="B40" s="63">
        <v>500</v>
      </c>
      <c r="C40" s="63">
        <v>5</v>
      </c>
      <c r="D40" s="63">
        <v>88</v>
      </c>
      <c r="E40" s="54"/>
      <c r="F40" s="54"/>
      <c r="G40" s="54"/>
      <c r="H40" s="54"/>
      <c r="I40" s="52">
        <f t="shared" si="1"/>
        <v>19.166666666666668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72</v>
      </c>
      <c r="B41" s="63">
        <v>523</v>
      </c>
      <c r="C41" s="63">
        <v>6</v>
      </c>
      <c r="D41" s="63">
        <v>87</v>
      </c>
      <c r="E41" s="54"/>
      <c r="F41" s="54"/>
      <c r="G41" s="54"/>
      <c r="H41" s="54"/>
      <c r="I41" s="56">
        <f t="shared" si="1"/>
        <v>18.5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78</v>
      </c>
      <c r="B42" s="63">
        <v>539</v>
      </c>
      <c r="C42" s="63">
        <v>7</v>
      </c>
      <c r="D42" s="63">
        <v>82</v>
      </c>
      <c r="E42" s="54"/>
      <c r="F42" s="54"/>
      <c r="G42" s="54"/>
      <c r="H42" s="54"/>
      <c r="I42" s="56">
        <f t="shared" si="1"/>
        <v>17.166666666666668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84</v>
      </c>
      <c r="B43" s="63">
        <v>554</v>
      </c>
      <c r="C43" s="63">
        <v>8</v>
      </c>
      <c r="D43" s="63">
        <v>554</v>
      </c>
      <c r="E43" s="54"/>
      <c r="F43" s="54"/>
      <c r="G43" s="54"/>
      <c r="H43" s="54"/>
      <c r="I43" s="52">
        <f t="shared" si="1"/>
        <v>16.166666666666668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9" sqref="C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Cèdre de l'Atlas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375.51430445321802</v>
      </c>
      <c r="T3" s="62">
        <f>IF('Données projet'!E9&gt;30,$R$33-$H$33,LOOKUP('Données projet'!$E$9,$A$3:$A$203,R3:R203)-LOOKUP('Données projet'!$E$9,$A$3:$A$203,$H$3:$H$203))</f>
        <v>334.3112657507022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9.0238095238095237</v>
      </c>
      <c r="N4" s="14">
        <f>IF('Données projet'!$A$36&gt;35,N3+M4-V3,IF(A4&lt;'Données projet'!$A$36,$K$205^A4,IF(A4='Données projet'!$A$36,'Données projet'!$B$36,N3+M4-V3)))</f>
        <v>9.0238095238095237</v>
      </c>
      <c r="O4" s="14">
        <f>N4*VLOOKUP('Données projet'!$B$9,Paramètres!$A$1:$I$89,3,0)*VLOOKUP('Données projet'!$B$9,Paramètres!$A$1:$I$89,5,0)</f>
        <v>4.2231428571428564</v>
      </c>
      <c r="P4" s="14">
        <f>EXP(-1.0587+0.8836*LN(O4)+0.284)</f>
        <v>1.645749885610529</v>
      </c>
      <c r="Q4" s="22">
        <f t="shared" ref="Q4:Q34" si="2">(O4+P4)*0.475*44/12</f>
        <v>10.221654860295478</v>
      </c>
      <c r="R4" s="62">
        <f t="shared" si="0"/>
        <v>178.03408881321931</v>
      </c>
      <c r="S4" s="62">
        <f ca="1">AVERAGE(OFFSET($R$3,0,0,'Données projet'!$E$9+1,1))-AVERAGE(OFFSET($H$3,0,0,'Données projet'!$E$9+1,1))</f>
        <v>375.51430445321802</v>
      </c>
      <c r="T4" s="62">
        <f>$T$3</f>
        <v>334.3112657507022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9.0238095238095237</v>
      </c>
      <c r="N5" s="14">
        <f>IF('Données projet'!$A$36&gt;35,N4+M5-V4,IF(A5&lt;'Données projet'!$A$36,$K$205^A5,IF(A5='Données projet'!$A$36,'Données projet'!$B$36,N4+M5-V4)))</f>
        <v>18.047619047619047</v>
      </c>
      <c r="O5" s="14">
        <f>N5*VLOOKUP('Données projet'!$B$9,Paramètres!$A$1:$I$89,3,0)*VLOOKUP('Données projet'!$B$9,Paramètres!$A$1:$I$89,5,0)</f>
        <v>8.4462857142857128</v>
      </c>
      <c r="P5" s="14">
        <f t="shared" ref="P5:P68" si="33">EXP(-1.0587+0.8836*LN(O5)+0.284)</f>
        <v>3.0363647276886327</v>
      </c>
      <c r="Q5" s="22">
        <f t="shared" si="2"/>
        <v>19.998949519771983</v>
      </c>
      <c r="R5" s="62">
        <f t="shared" si="0"/>
        <v>190.59623080727283</v>
      </c>
      <c r="S5" s="62">
        <f ca="1">AVERAGE(OFFSET($R$3,0,0,'Données projet'!$E$9+1,1))-AVERAGE(OFFSET($H$3,0,0,'Données projet'!$E$9+1,1))</f>
        <v>375.51430445321802</v>
      </c>
      <c r="T5" s="62">
        <f t="shared" ref="T5:T68" si="34">$T$3</f>
        <v>334.3112657507022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9.0238095238095237</v>
      </c>
      <c r="N6" s="14">
        <f>IF('Données projet'!$A$36&gt;35,N5+M6-V5,IF(A6&lt;'Données projet'!$A$36,$K$205^A6,IF(A6='Données projet'!$A$36,'Données projet'!$B$36,N5+M6-V5)))</f>
        <v>27.071428571428569</v>
      </c>
      <c r="O6" s="14">
        <f>N6*VLOOKUP('Données projet'!$B$9,Paramètres!$A$1:$I$89,3,0)*VLOOKUP('Données projet'!$B$9,Paramètres!$A$1:$I$89,5,0)</f>
        <v>12.66942857142857</v>
      </c>
      <c r="P6" s="14">
        <f t="shared" si="33"/>
        <v>4.3445837576837958</v>
      </c>
      <c r="Q6" s="22">
        <f t="shared" si="2"/>
        <v>29.6327381398707</v>
      </c>
      <c r="R6" s="62">
        <f t="shared" si="0"/>
        <v>202.98775870975558</v>
      </c>
      <c r="S6" s="62">
        <f ca="1">AVERAGE(OFFSET($R$3,0,0,'Données projet'!$E$9+1,1))-AVERAGE(OFFSET($H$3,0,0,'Données projet'!$E$9+1,1))</f>
        <v>375.51430445321802</v>
      </c>
      <c r="T6" s="62">
        <f t="shared" si="34"/>
        <v>334.3112657507022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9.0238095238095237</v>
      </c>
      <c r="N7" s="14">
        <f>IF('Données projet'!$A$36&gt;35,N6+M7-V6,IF(A7&lt;'Données projet'!$A$36,$K$205^A7,IF(A7='Données projet'!$A$36,'Données projet'!$B$36,N6+M7-V6)))</f>
        <v>36.095238095238095</v>
      </c>
      <c r="O7" s="14">
        <f>N7*VLOOKUP('Données projet'!$B$9,Paramètres!$A$1:$I$89,3,0)*VLOOKUP('Données projet'!$B$9,Paramètres!$A$1:$I$89,5,0)</f>
        <v>16.892571428571426</v>
      </c>
      <c r="P7" s="14">
        <f t="shared" si="33"/>
        <v>5.6020120919719671</v>
      </c>
      <c r="Q7" s="22">
        <f t="shared" si="2"/>
        <v>39.178066298279745</v>
      </c>
      <c r="R7" s="62">
        <f t="shared" si="0"/>
        <v>215.26418836245671</v>
      </c>
      <c r="S7" s="62">
        <f ca="1">AVERAGE(OFFSET($R$3,0,0,'Données projet'!$E$9+1,1))-AVERAGE(OFFSET($H$3,0,0,'Données projet'!$E$9+1,1))</f>
        <v>375.51430445321802</v>
      </c>
      <c r="T7" s="62">
        <f t="shared" si="34"/>
        <v>334.3112657507022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9.0238095238095237</v>
      </c>
      <c r="N8" s="14">
        <f>IF('Données projet'!$A$36&gt;35,N7+M8-V7,IF(A8&lt;'Données projet'!$A$36,$K$205^A8,IF(A8='Données projet'!$A$36,'Données projet'!$B$36,N7+M8-V7)))</f>
        <v>45.11904761904762</v>
      </c>
      <c r="O8" s="14">
        <f>N8*VLOOKUP('Données projet'!$B$9,Paramètres!$A$1:$I$89,3,0)*VLOOKUP('Données projet'!$B$9,Paramètres!$A$1:$I$89,5,0)</f>
        <v>21.115714285714287</v>
      </c>
      <c r="P8" s="14">
        <f t="shared" si="33"/>
        <v>6.8229742053789595</v>
      </c>
      <c r="Q8" s="22">
        <f t="shared" si="2"/>
        <v>48.659882455320734</v>
      </c>
      <c r="R8" s="62">
        <f t="shared" si="0"/>
        <v>227.45093033176809</v>
      </c>
      <c r="S8" s="62">
        <f ca="1">AVERAGE(OFFSET($R$3,0,0,'Données projet'!$E$9+1,1))-AVERAGE(OFFSET($H$3,0,0,'Données projet'!$E$9+1,1))</f>
        <v>375.51430445321802</v>
      </c>
      <c r="T8" s="62">
        <f t="shared" si="34"/>
        <v>334.3112657507022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9.0238095238095237</v>
      </c>
      <c r="N9" s="14">
        <f>IF('Données projet'!$A$36&gt;35,N8+M9-V8,IF(A9&lt;'Données projet'!$A$36,$K$205^A9,IF(A9='Données projet'!$A$36,'Données projet'!$B$36,N8+M9-V8)))</f>
        <v>54.142857142857146</v>
      </c>
      <c r="O9" s="14">
        <f>N9*VLOOKUP('Données projet'!$B$9,Paramètres!$A$1:$I$89,3,0)*VLOOKUP('Données projet'!$B$9,Paramètres!$A$1:$I$89,5,0)</f>
        <v>25.338857142857144</v>
      </c>
      <c r="P9" s="14">
        <f t="shared" si="33"/>
        <v>8.0156413764089276</v>
      </c>
      <c r="Q9" s="22">
        <f t="shared" si="2"/>
        <v>58.092418254388406</v>
      </c>
      <c r="R9" s="62">
        <f t="shared" si="0"/>
        <v>239.56267035064738</v>
      </c>
      <c r="S9" s="62">
        <f ca="1">AVERAGE(OFFSET($R$3,0,0,'Données projet'!$E$9+1,1))-AVERAGE(OFFSET($H$3,0,0,'Données projet'!$E$9+1,1))</f>
        <v>375.51430445321802</v>
      </c>
      <c r="T9" s="62">
        <f t="shared" si="34"/>
        <v>334.3112657507022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9.0238095238095237</v>
      </c>
      <c r="N10" s="14">
        <f>IF('Données projet'!$A$36&gt;35,N9+M10-V9,IF(A10&lt;'Données projet'!$A$36,$K$205^A10,IF(A10='Données projet'!$A$36,'Données projet'!$B$36,N9+M10-V9)))</f>
        <v>63.166666666666671</v>
      </c>
      <c r="O10" s="14">
        <f>N10*VLOOKUP('Données projet'!$B$9,Paramètres!$A$1:$I$89,3,0)*VLOOKUP('Données projet'!$B$9,Paramètres!$A$1:$I$89,5,0)</f>
        <v>29.562000000000005</v>
      </c>
      <c r="P10" s="14">
        <f t="shared" si="33"/>
        <v>9.1852813123664294</v>
      </c>
      <c r="Q10" s="22">
        <f t="shared" si="2"/>
        <v>67.484848285704871</v>
      </c>
      <c r="R10" s="62">
        <f t="shared" si="0"/>
        <v>251.60902922144112</v>
      </c>
      <c r="S10" s="62">
        <f ca="1">AVERAGE(OFFSET($R$3,0,0,'Données projet'!$E$9+1,1))-AVERAGE(OFFSET($H$3,0,0,'Données projet'!$E$9+1,1))</f>
        <v>375.51430445321802</v>
      </c>
      <c r="T10" s="62">
        <f t="shared" si="34"/>
        <v>334.3112657507022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9.0238095238095237</v>
      </c>
      <c r="N11" s="14">
        <f>IF('Données projet'!$A$36&gt;35,N10+M11-V10,IF(A11&lt;'Données projet'!$A$36,$K$205^A11,IF(A11='Données projet'!$A$36,'Données projet'!$B$36,N10+M11-V10)))</f>
        <v>72.19047619047619</v>
      </c>
      <c r="O11" s="14">
        <f>N11*VLOOKUP('Données projet'!$B$9,Paramètres!$A$1:$I$89,3,0)*VLOOKUP('Données projet'!$B$9,Paramètres!$A$1:$I$89,5,0)</f>
        <v>33.785142857142851</v>
      </c>
      <c r="P11" s="14">
        <f t="shared" si="33"/>
        <v>10.33556317935804</v>
      </c>
      <c r="Q11" s="22">
        <f t="shared" si="2"/>
        <v>76.843563013572378</v>
      </c>
      <c r="R11" s="62">
        <f t="shared" si="0"/>
        <v>263.59683587979293</v>
      </c>
      <c r="S11" s="62">
        <f ca="1">AVERAGE(OFFSET($R$3,0,0,'Données projet'!$E$9+1,1))-AVERAGE(OFFSET($H$3,0,0,'Données projet'!$E$9+1,1))</f>
        <v>375.51430445321802</v>
      </c>
      <c r="T11" s="62">
        <f t="shared" si="34"/>
        <v>334.3112657507022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9.0238095238095237</v>
      </c>
      <c r="N12" s="14">
        <f>IF('Données projet'!$A$36&gt;35,N11+M12-V11,IF(A12&lt;'Données projet'!$A$36,$K$205^A12,IF(A12='Données projet'!$A$36,'Données projet'!$B$36,N11+M12-V11)))</f>
        <v>81.214285714285708</v>
      </c>
      <c r="O12" s="14">
        <f>N12*VLOOKUP('Données projet'!$B$9,Paramètres!$A$1:$I$89,3,0)*VLOOKUP('Données projet'!$B$9,Paramètres!$A$1:$I$89,5,0)</f>
        <v>38.008285714285712</v>
      </c>
      <c r="P12" s="14">
        <f t="shared" si="33"/>
        <v>11.469183861147634</v>
      </c>
      <c r="Q12" s="22">
        <f t="shared" si="2"/>
        <v>86.173259510546401</v>
      </c>
      <c r="R12" s="62">
        <f t="shared" si="0"/>
        <v>275.53121826310246</v>
      </c>
      <c r="S12" s="62">
        <f ca="1">AVERAGE(OFFSET($R$3,0,0,'Données projet'!$E$9+1,1))-AVERAGE(OFFSET($H$3,0,0,'Données projet'!$E$9+1,1))</f>
        <v>375.51430445321802</v>
      </c>
      <c r="T12" s="62">
        <f t="shared" si="34"/>
        <v>334.3112657507022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9.0238095238095237</v>
      </c>
      <c r="N13" s="14">
        <f>IF('Données projet'!$A$36&gt;35,N12+M13-V12,IF(A13&lt;'Données projet'!$A$36,$K$205^A13,IF(A13='Données projet'!$A$36,'Données projet'!$B$36,N12+M13-V12)))</f>
        <v>90.238095238095227</v>
      </c>
      <c r="O13" s="14">
        <f>N13*VLOOKUP('Données projet'!$B$9,Paramètres!$A$1:$I$89,3,0)*VLOOKUP('Données projet'!$B$9,Paramètres!$A$1:$I$89,5,0)</f>
        <v>42.231428571428566</v>
      </c>
      <c r="P13" s="14">
        <f t="shared" si="33"/>
        <v>12.58820577554321</v>
      </c>
      <c r="Q13" s="22">
        <f t="shared" si="2"/>
        <v>95.477529820975846</v>
      </c>
      <c r="R13" s="62">
        <f t="shared" si="0"/>
        <v>287.41619180602072</v>
      </c>
      <c r="S13" s="62">
        <f ca="1">AVERAGE(OFFSET($R$3,0,0,'Données projet'!$E$9+1,1))-AVERAGE(OFFSET($H$3,0,0,'Données projet'!$E$9+1,1))</f>
        <v>375.51430445321802</v>
      </c>
      <c r="T13" s="62">
        <f t="shared" si="34"/>
        <v>334.3112657507022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9.0238095238095237</v>
      </c>
      <c r="N14" s="14">
        <f>IF('Données projet'!$A$36&gt;35,N13+M14-V13,IF(A14&lt;'Données projet'!$A$36,$K$205^A14,IF(A14='Données projet'!$A$36,'Données projet'!$B$36,N13+M14-V13)))</f>
        <v>99.261904761904745</v>
      </c>
      <c r="O14" s="14">
        <f>N14*VLOOKUP('Données projet'!$B$9,Paramètres!$A$1:$I$89,3,0)*VLOOKUP('Données projet'!$B$9,Paramètres!$A$1:$I$89,5,0)</f>
        <v>46.45457142857142</v>
      </c>
      <c r="P14" s="14">
        <f t="shared" si="33"/>
        <v>13.694254987469888</v>
      </c>
      <c r="Q14" s="22">
        <f t="shared" si="2"/>
        <v>104.7592060079386</v>
      </c>
      <c r="R14" s="62">
        <f t="shared" si="0"/>
        <v>299.25500461705275</v>
      </c>
      <c r="S14" s="62">
        <f ca="1">AVERAGE(OFFSET($R$3,0,0,'Données projet'!$E$9+1,1))-AVERAGE(OFFSET($H$3,0,0,'Données projet'!$E$9+1,1))</f>
        <v>375.51430445321802</v>
      </c>
      <c r="T14" s="62">
        <f t="shared" si="34"/>
        <v>334.3112657507022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9.0238095238095237</v>
      </c>
      <c r="N15" s="14">
        <f>IF('Données projet'!$A$36&gt;35,N14+M15-V14,IF(A15&lt;'Données projet'!$A$36,$K$205^A15,IF(A15='Données projet'!$A$36,'Données projet'!$B$36,N14+M15-V14)))</f>
        <v>108.28571428571426</v>
      </c>
      <c r="O15" s="14">
        <f>N15*VLOOKUP('Données projet'!$B$9,Paramètres!$A$1:$I$89,3,0)*VLOOKUP('Données projet'!$B$9,Paramètres!$A$1:$I$89,5,0)</f>
        <v>50.677714285714281</v>
      </c>
      <c r="P15" s="14">
        <f t="shared" si="33"/>
        <v>14.788644956278235</v>
      </c>
      <c r="Q15" s="22">
        <f t="shared" si="2"/>
        <v>114.02057567980363</v>
      </c>
      <c r="R15" s="62">
        <f t="shared" si="0"/>
        <v>311.05035313253649</v>
      </c>
      <c r="S15" s="62">
        <f ca="1">AVERAGE(OFFSET($R$3,0,0,'Données projet'!$E$9+1,1))-AVERAGE(OFFSET($H$3,0,0,'Données projet'!$E$9+1,1))</f>
        <v>375.51430445321802</v>
      </c>
      <c r="T15" s="62">
        <f t="shared" si="34"/>
        <v>334.3112657507022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9.0238095238095237</v>
      </c>
      <c r="N16" s="14">
        <f>IF('Données projet'!$A$36&gt;35,N15+M16-V15,IF(A16&lt;'Données projet'!$A$36,$K$205^A16,IF(A16='Données projet'!$A$36,'Données projet'!$B$36,N15+M16-V15)))</f>
        <v>117.30952380952378</v>
      </c>
      <c r="O16" s="14">
        <f>N16*VLOOKUP('Données projet'!$B$9,Paramètres!$A$1:$I$89,3,0)*VLOOKUP('Données projet'!$B$9,Paramètres!$A$1:$I$89,5,0)</f>
        <v>54.900857142857127</v>
      </c>
      <c r="P16" s="14">
        <f t="shared" si="33"/>
        <v>15.872457748261361</v>
      </c>
      <c r="Q16" s="22">
        <f t="shared" si="2"/>
        <v>123.26352343536469</v>
      </c>
      <c r="R16" s="62">
        <f t="shared" si="0"/>
        <v>322.80452368698349</v>
      </c>
      <c r="S16" s="62">
        <f ca="1">AVERAGE(OFFSET($R$3,0,0,'Données projet'!$E$9+1,1))-AVERAGE(OFFSET($H$3,0,0,'Données projet'!$E$9+1,1))</f>
        <v>375.51430445321802</v>
      </c>
      <c r="T16" s="62">
        <f t="shared" si="34"/>
        <v>334.3112657507022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9.0238095238095237</v>
      </c>
      <c r="N17" s="14">
        <f>IF('Données projet'!$A$36&gt;35,N16+M17-V16,IF(A17&lt;'Données projet'!$A$36,$K$205^A17,IF(A17='Données projet'!$A$36,'Données projet'!$B$36,N16+M17-V16)))</f>
        <v>126.3333333333333</v>
      </c>
      <c r="O17" s="14">
        <f>N17*VLOOKUP('Données projet'!$B$9,Paramètres!$A$1:$I$89,3,0)*VLOOKUP('Données projet'!$B$9,Paramètres!$A$1:$I$89,5,0)</f>
        <v>59.123999999999988</v>
      </c>
      <c r="P17" s="14">
        <f t="shared" si="33"/>
        <v>16.946599501309151</v>
      </c>
      <c r="Q17" s="22">
        <f t="shared" si="2"/>
        <v>132.48962746478011</v>
      </c>
      <c r="R17" s="62">
        <f t="shared" si="0"/>
        <v>334.51948923705334</v>
      </c>
      <c r="S17" s="62">
        <f ca="1">AVERAGE(OFFSET($R$3,0,0,'Données projet'!$E$9+1,1))-AVERAGE(OFFSET($H$3,0,0,'Données projet'!$E$9+1,1))</f>
        <v>375.51430445321802</v>
      </c>
      <c r="T17" s="62">
        <f t="shared" si="34"/>
        <v>334.3112657507022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9.0238095238095237</v>
      </c>
      <c r="N18" s="14">
        <f>IF('Données projet'!$A$36&gt;35,N17+M18-V17,IF(A18&lt;'Données projet'!$A$36,$K$205^A18,IF(A18='Données projet'!$A$36,'Données projet'!$B$36,N17+M18-V17)))</f>
        <v>135.35714285714283</v>
      </c>
      <c r="O18" s="14">
        <f>N18*VLOOKUP('Données projet'!$B$9,Paramètres!$A$1:$I$89,3,0)*VLOOKUP('Données projet'!$B$9,Paramètres!$A$1:$I$89,5,0)</f>
        <v>63.347142857142849</v>
      </c>
      <c r="P18" s="14">
        <f t="shared" si="33"/>
        <v>18.011839569891965</v>
      </c>
      <c r="Q18" s="22">
        <f t="shared" si="2"/>
        <v>141.70022772708563</v>
      </c>
      <c r="R18" s="62">
        <f t="shared" si="0"/>
        <v>346.19697765996671</v>
      </c>
      <c r="S18" s="62">
        <f ca="1">AVERAGE(OFFSET($R$3,0,0,'Données projet'!$E$9+1,1))-AVERAGE(OFFSET($H$3,0,0,'Données projet'!$E$9+1,1))</f>
        <v>375.51430445321802</v>
      </c>
      <c r="T18" s="62">
        <f t="shared" si="34"/>
        <v>334.3112657507022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9.0238095238095237</v>
      </c>
      <c r="N19" s="14">
        <f>IF('Données projet'!$A$36&gt;35,N18+M19-V18,IF(A19&lt;'Données projet'!$A$36,$K$205^A19,IF(A19='Données projet'!$A$36,'Données projet'!$B$36,N18+M19-V18)))</f>
        <v>144.38095238095235</v>
      </c>
      <c r="O19" s="14">
        <f>N19*VLOOKUP('Données projet'!$B$9,Paramètres!$A$1:$I$89,3,0)*VLOOKUP('Données projet'!$B$9,Paramètres!$A$1:$I$89,5,0)</f>
        <v>67.570285714285703</v>
      </c>
      <c r="P19" s="14">
        <f t="shared" si="33"/>
        <v>19.068838924426259</v>
      </c>
      <c r="Q19" s="22">
        <f t="shared" si="2"/>
        <v>150.89647541242331</v>
      </c>
      <c r="R19" s="62">
        <f t="shared" si="0"/>
        <v>357.8385213345374</v>
      </c>
      <c r="S19" s="62">
        <f ca="1">AVERAGE(OFFSET($R$3,0,0,'Données projet'!$E$9+1,1))-AVERAGE(OFFSET($H$3,0,0,'Données projet'!$E$9+1,1))</f>
        <v>375.51430445321802</v>
      </c>
      <c r="T19" s="62">
        <f t="shared" si="34"/>
        <v>334.3112657507022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9.0238095238095237</v>
      </c>
      <c r="N20" s="14">
        <f>IF('Données projet'!$A$36&gt;35,N19+M20-V19,IF(A20&lt;'Données projet'!$A$36,$K$205^A20,IF(A20='Données projet'!$A$36,'Données projet'!$B$36,N19+M20-V19)))</f>
        <v>153.40476190476187</v>
      </c>
      <c r="O20" s="14">
        <f>N20*VLOOKUP('Données projet'!$B$9,Paramètres!$A$1:$I$89,3,0)*VLOOKUP('Données projet'!$B$9,Paramètres!$A$1:$I$89,5,0)</f>
        <v>71.793428571428549</v>
      </c>
      <c r="P20" s="14">
        <f t="shared" si="33"/>
        <v>20.118171244255393</v>
      </c>
      <c r="Q20" s="22">
        <f t="shared" si="2"/>
        <v>160.07936967898286</v>
      </c>
      <c r="R20" s="62">
        <f t="shared" si="0"/>
        <v>369.44549399485561</v>
      </c>
      <c r="S20" s="62">
        <f ca="1">AVERAGE(OFFSET($R$3,0,0,'Données projet'!$E$9+1,1))-AVERAGE(OFFSET($H$3,0,0,'Données projet'!$E$9+1,1))</f>
        <v>375.51430445321802</v>
      </c>
      <c r="T20" s="62">
        <f t="shared" si="34"/>
        <v>334.3112657507022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9.0238095238095237</v>
      </c>
      <c r="N21" s="14">
        <f>IF('Données projet'!$A$36&gt;35,N20+M21-V20,IF(A21&lt;'Données projet'!$A$36,$K$205^A21,IF(A21='Données projet'!$A$36,'Données projet'!$B$36,N20+M21-V20)))</f>
        <v>162.42857142857139</v>
      </c>
      <c r="O21" s="14">
        <f>N21*VLOOKUP('Données projet'!$B$9,Paramètres!$A$1:$I$89,3,0)*VLOOKUP('Données projet'!$B$9,Paramètres!$A$1:$I$89,5,0)</f>
        <v>76.01657142857141</v>
      </c>
      <c r="P21" s="14">
        <f t="shared" si="33"/>
        <v>21.160338904380602</v>
      </c>
      <c r="Q21" s="22">
        <f t="shared" si="2"/>
        <v>169.24978549655808</v>
      </c>
      <c r="R21" s="62">
        <f t="shared" si="0"/>
        <v>381.01913868856116</v>
      </c>
      <c r="S21" s="62">
        <f ca="1">AVERAGE(OFFSET($R$3,0,0,'Données projet'!$E$9+1,1))-AVERAGE(OFFSET($H$3,0,0,'Données projet'!$E$9+1,1))</f>
        <v>375.51430445321802</v>
      </c>
      <c r="T21" s="62">
        <f t="shared" si="34"/>
        <v>334.3112657507022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9.0238095238095237</v>
      </c>
      <c r="N22" s="14">
        <f>IF('Données projet'!$A$36&gt;35,N21+M22-V21,IF(A22&lt;'Données projet'!$A$36,$K$205^A22,IF(A22='Données projet'!$A$36,'Données projet'!$B$36,N21+M22-V21)))</f>
        <v>171.45238095238091</v>
      </c>
      <c r="O22" s="14">
        <f>N22*VLOOKUP('Données projet'!$B$9,Paramètres!$A$1:$I$89,3,0)*VLOOKUP('Données projet'!$B$9,Paramètres!$A$1:$I$89,5,0)</f>
        <v>80.239714285714257</v>
      </c>
      <c r="P22" s="14">
        <f t="shared" si="33"/>
        <v>22.195785307735175</v>
      </c>
      <c r="Q22" s="22">
        <f t="shared" si="2"/>
        <v>178.40849512525776</v>
      </c>
      <c r="R22" s="62">
        <f t="shared" si="0"/>
        <v>392.56058936828128</v>
      </c>
      <c r="S22" s="62">
        <f ca="1">AVERAGE(OFFSET($R$3,0,0,'Données projet'!$E$9+1,1))-AVERAGE(OFFSET($H$3,0,0,'Données projet'!$E$9+1,1))</f>
        <v>375.51430445321802</v>
      </c>
      <c r="T22" s="62">
        <f t="shared" si="34"/>
        <v>334.3112657507022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9.0238095238095237</v>
      </c>
      <c r="N23" s="14">
        <f>IF('Données projet'!$A$36&gt;35,N22+M23-V22,IF(A23&lt;'Données projet'!$A$36,$K$205^A23,IF(A23='Données projet'!$A$36,'Données projet'!$B$36,N22+M23-V22)))</f>
        <v>180.47619047619042</v>
      </c>
      <c r="O23" s="14">
        <f>N23*VLOOKUP('Données projet'!$B$9,Paramètres!$A$1:$I$89,3,0)*VLOOKUP('Données projet'!$B$9,Paramètres!$A$1:$I$89,5,0)</f>
        <v>84.462857142857118</v>
      </c>
      <c r="P23" s="14">
        <f t="shared" si="33"/>
        <v>23.22490454712457</v>
      </c>
      <c r="Q23" s="22">
        <f t="shared" si="2"/>
        <v>187.55618494338475</v>
      </c>
      <c r="R23" s="62">
        <f t="shared" si="0"/>
        <v>404.07088783028047</v>
      </c>
      <c r="S23" s="62">
        <f ca="1">AVERAGE(OFFSET($R$3,0,0,'Données projet'!$E$9+1,1))-AVERAGE(OFFSET($H$3,0,0,'Données projet'!$E$9+1,1))</f>
        <v>375.51430445321802</v>
      </c>
      <c r="T23" s="62">
        <f t="shared" si="34"/>
        <v>334.3112657507022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9.0238095238095237</v>
      </c>
      <c r="N24" s="14">
        <f>IF('Données projet'!$A$36&gt;35,N23+M24-V23,IF(A24&lt;'Données projet'!$A$36,$K$205^A24,IF(A24='Données projet'!$A$36,'Données projet'!$B$36,N23+M24-V23)))</f>
        <v>189.49999999999994</v>
      </c>
      <c r="O24" s="14">
        <f>N24*VLOOKUP('Données projet'!$B$9,Paramètres!$A$1:$I$89,3,0)*VLOOKUP('Données projet'!$B$9,Paramètres!$A$1:$I$89,5,0)</f>
        <v>88.685999999999964</v>
      </c>
      <c r="P24" s="14">
        <f t="shared" si="33"/>
        <v>24.248049079863389</v>
      </c>
      <c r="Q24" s="22">
        <f t="shared" si="2"/>
        <v>196.69346881409535</v>
      </c>
      <c r="R24" s="62">
        <f t="shared" si="0"/>
        <v>415.55099718996973</v>
      </c>
      <c r="S24" s="62">
        <f ca="1">AVERAGE(OFFSET($R$3,0,0,'Données projet'!$E$9+1,1))-AVERAGE(OFFSET($H$3,0,0,'Données projet'!$E$9+1,1))</f>
        <v>375.51430445321802</v>
      </c>
      <c r="T24" s="62">
        <f t="shared" si="34"/>
        <v>334.3112657507022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9.0238095238095237</v>
      </c>
      <c r="N25" s="14">
        <f>IF('Données projet'!$A$36&gt;35,N24+M25-V24,IF(A25&lt;'Données projet'!$A$36,$K$205^A25,IF(A25='Données projet'!$A$36,'Données projet'!$B$36,N24+M25-V24)))</f>
        <v>198.52380952380946</v>
      </c>
      <c r="O25" s="14">
        <f>N25*VLOOKUP('Données projet'!$B$9,Paramètres!$A$1:$I$89,3,0)*VLOOKUP('Données projet'!$B$9,Paramètres!$A$1:$I$89,5,0)</f>
        <v>92.909142857142839</v>
      </c>
      <c r="P25" s="14">
        <f t="shared" si="33"/>
        <v>25.26553589915784</v>
      </c>
      <c r="Q25" s="22">
        <f t="shared" si="2"/>
        <v>205.82089883389031</v>
      </c>
      <c r="R25" s="62">
        <f t="shared" si="0"/>
        <v>427.0018127373587</v>
      </c>
      <c r="S25" s="62">
        <f ca="1">AVERAGE(OFFSET($R$3,0,0,'Données projet'!$E$9+1,1))-AVERAGE(OFFSET($H$3,0,0,'Données projet'!$E$9+1,1))</f>
        <v>375.51430445321802</v>
      </c>
      <c r="T25" s="62">
        <f t="shared" si="34"/>
        <v>334.3112657507022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9.0238095238095237</v>
      </c>
      <c r="N26" s="14">
        <f>IF('Données projet'!$A$36&gt;35,N25+M26-V25,IF(A26&lt;'Données projet'!$A$36,$K$205^A26,IF(A26='Données projet'!$A$36,'Données projet'!$B$36,N25+M26-V25)))</f>
        <v>207.54761904761898</v>
      </c>
      <c r="O26" s="14">
        <f>N26*VLOOKUP('Données projet'!$B$9,Paramètres!$A$1:$I$89,3,0)*VLOOKUP('Données projet'!$B$9,Paramètres!$A$1:$I$89,5,0)</f>
        <v>97.132285714285686</v>
      </c>
      <c r="P26" s="14">
        <f t="shared" si="33"/>
        <v>26.277651551700433</v>
      </c>
      <c r="Q26" s="22">
        <f t="shared" si="2"/>
        <v>214.9389740715925</v>
      </c>
      <c r="R26" s="62">
        <f t="shared" si="0"/>
        <v>438.42417078113897</v>
      </c>
      <c r="S26" s="62">
        <f ca="1">AVERAGE(OFFSET($R$3,0,0,'Données projet'!$E$9+1,1))-AVERAGE(OFFSET($H$3,0,0,'Données projet'!$E$9+1,1))</f>
        <v>375.51430445321802</v>
      </c>
      <c r="T26" s="62">
        <f t="shared" si="34"/>
        <v>334.3112657507022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9.0238095238095237</v>
      </c>
      <c r="N27" s="14">
        <f>IF('Données projet'!$A$36&gt;35,N26+M27-V26,IF(A27&lt;'Données projet'!$A$36,$K$205^A27,IF(A27='Données projet'!$A$36,'Données projet'!$B$36,N26+M27-V26)))</f>
        <v>216.5714285714285</v>
      </c>
      <c r="O27" s="14">
        <f>N27*VLOOKUP('Données projet'!$B$9,Paramètres!$A$1:$I$89,3,0)*VLOOKUP('Données projet'!$B$9,Paramètres!$A$1:$I$89,5,0)</f>
        <v>101.35542857142853</v>
      </c>
      <c r="P27" s="14">
        <f t="shared" si="33"/>
        <v>27.284656258016717</v>
      </c>
      <c r="Q27" s="22">
        <f t="shared" si="2"/>
        <v>224.04814774461713</v>
      </c>
      <c r="R27" s="62">
        <f t="shared" si="0"/>
        <v>449.81885592823693</v>
      </c>
      <c r="S27" s="62">
        <f ca="1">AVERAGE(OFFSET($R$3,0,0,'Données projet'!$E$9+1,1))-AVERAGE(OFFSET($H$3,0,0,'Données projet'!$E$9+1,1))</f>
        <v>375.51430445321802</v>
      </c>
      <c r="T27" s="62">
        <f t="shared" si="34"/>
        <v>334.3112657507022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9.0238095238095237</v>
      </c>
      <c r="N28" s="14">
        <f>IF('Données projet'!$A$36&gt;35,N27+M28-V27,IF(A28&lt;'Données projet'!$A$36,$K$205^A28,IF(A28='Données projet'!$A$36,'Données projet'!$B$36,N27+M28-V27)))</f>
        <v>225.59523809523802</v>
      </c>
      <c r="O28" s="14">
        <f>N28*VLOOKUP('Données projet'!$B$9,Paramètres!$A$1:$I$89,3,0)*VLOOKUP('Données projet'!$B$9,Paramètres!$A$1:$I$89,5,0)</f>
        <v>105.57857142857139</v>
      </c>
      <c r="P28" s="14">
        <f t="shared" si="33"/>
        <v>28.286787326736878</v>
      </c>
      <c r="Q28" s="22">
        <f t="shared" si="2"/>
        <v>233.14883316549523</v>
      </c>
      <c r="R28" s="62">
        <f t="shared" si="0"/>
        <v>461.18660713182737</v>
      </c>
      <c r="S28" s="62">
        <f ca="1">AVERAGE(OFFSET($R$3,0,0,'Données projet'!$E$9+1,1))-AVERAGE(OFFSET($H$3,0,0,'Données projet'!$E$9+1,1))</f>
        <v>375.51430445321802</v>
      </c>
      <c r="T28" s="62">
        <f t="shared" si="34"/>
        <v>334.3112657507022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9.0238095238095237</v>
      </c>
      <c r="N29" s="14">
        <f>IF('Données projet'!$A$36&gt;35,N28+M29-V28,IF(A29&lt;'Données projet'!$A$36,$K$205^A29,IF(A29='Données projet'!$A$36,'Données projet'!$B$36,N28+M29-V28)))</f>
        <v>234.61904761904754</v>
      </c>
      <c r="O29" s="14">
        <f>N29*VLOOKUP('Données projet'!$B$9,Paramètres!$A$1:$I$89,3,0)*VLOOKUP('Données projet'!$B$9,Paramètres!$A$1:$I$89,5,0)</f>
        <v>109.80171428571424</v>
      </c>
      <c r="P29" s="14">
        <f t="shared" si="33"/>
        <v>29.28426200720655</v>
      </c>
      <c r="Q29" s="22">
        <f t="shared" si="2"/>
        <v>242.24140871017039</v>
      </c>
      <c r="R29" s="62">
        <f t="shared" si="0"/>
        <v>472.5281227593606</v>
      </c>
      <c r="S29" s="62">
        <f ca="1">AVERAGE(OFFSET($R$3,0,0,'Données projet'!$E$9+1,1))-AVERAGE(OFFSET($H$3,0,0,'Données projet'!$E$9+1,1))</f>
        <v>375.51430445321802</v>
      </c>
      <c r="T29" s="62">
        <f t="shared" si="34"/>
        <v>334.3112657507022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9.0238095238095237</v>
      </c>
      <c r="N30" s="14">
        <f>IF('Données projet'!$A$36&gt;35,N29+M30-V29,IF(A30&lt;'Données projet'!$A$36,$K$205^A30,IF(A30='Données projet'!$A$36,'Données projet'!$B$36,N29+M30-V29)))</f>
        <v>243.64285714285705</v>
      </c>
      <c r="O30" s="14">
        <f>N30*VLOOKUP('Données projet'!$B$9,Paramètres!$A$1:$I$89,3,0)*VLOOKUP('Données projet'!$B$9,Paramètres!$A$1:$I$89,5,0)</f>
        <v>114.0248571428571</v>
      </c>
      <c r="P30" s="14">
        <f t="shared" si="33"/>
        <v>30.277279890890583</v>
      </c>
      <c r="Q30" s="22">
        <f t="shared" si="2"/>
        <v>251.32622200044386</v>
      </c>
      <c r="R30" s="62">
        <f t="shared" si="0"/>
        <v>483.84406487300737</v>
      </c>
      <c r="S30" s="62">
        <f ca="1">AVERAGE(OFFSET($R$3,0,0,'Données projet'!$E$9+1,1))-AVERAGE(OFFSET($H$3,0,0,'Données projet'!$E$9+1,1))</f>
        <v>375.51430445321802</v>
      </c>
      <c r="T30" s="62">
        <f t="shared" si="34"/>
        <v>334.3112657507022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9.0238095238095237</v>
      </c>
      <c r="N31" s="14">
        <f>IF('Données projet'!$A$36&gt;35,N30+M31-V30,IF(A31&lt;'Données projet'!$A$36,$K$205^A31,IF(A31='Données projet'!$A$36,'Données projet'!$B$36,N30+M31-V30)))</f>
        <v>252.66666666666657</v>
      </c>
      <c r="O31" s="14">
        <f>N31*VLOOKUP('Données projet'!$B$9,Paramètres!$A$1:$I$89,3,0)*VLOOKUP('Données projet'!$B$9,Paramètres!$A$1:$I$89,5,0)</f>
        <v>118.24799999999996</v>
      </c>
      <c r="P31" s="14">
        <f t="shared" si="33"/>
        <v>31.266024947011953</v>
      </c>
      <c r="Q31" s="22">
        <f t="shared" si="2"/>
        <v>260.40359344937906</v>
      </c>
      <c r="R31" s="62">
        <f t="shared" si="0"/>
        <v>495.13506287136317</v>
      </c>
      <c r="S31" s="62">
        <f ca="1">AVERAGE(OFFSET($R$3,0,0,'Données projet'!$E$9+1,1))-AVERAGE(OFFSET($H$3,0,0,'Données projet'!$E$9+1,1))</f>
        <v>375.51430445321802</v>
      </c>
      <c r="T31" s="62">
        <f t="shared" si="34"/>
        <v>334.3112657507022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9.0238095238095237</v>
      </c>
      <c r="N32" s="14">
        <f>IF('Données projet'!$A$36&gt;35,N31+M32-V31,IF(A32&lt;'Données projet'!$A$36,$K$205^A32,IF(A32='Données projet'!$A$36,'Données projet'!$B$36,N31+M32-V31)))</f>
        <v>261.69047619047609</v>
      </c>
      <c r="O32" s="14">
        <f>N32*VLOOKUP('Données projet'!$B$9,Paramètres!$A$1:$I$89,3,0)*VLOOKUP('Données projet'!$B$9,Paramètres!$A$1:$I$89,5,0)</f>
        <v>122.47114285714281</v>
      </c>
      <c r="P32" s="14">
        <f t="shared" si="33"/>
        <v>32.250667259213493</v>
      </c>
      <c r="Q32" s="22">
        <f t="shared" si="2"/>
        <v>269.47381928598719</v>
      </c>
      <c r="R32" s="62">
        <f t="shared" si="0"/>
        <v>506.40171660876302</v>
      </c>
      <c r="S32" s="62">
        <f ca="1">AVERAGE(OFFSET($R$3,0,0,'Données projet'!$E$9+1,1))-AVERAGE(OFFSET($H$3,0,0,'Données projet'!$E$9+1,1))</f>
        <v>375.51430445321802</v>
      </c>
      <c r="T32" s="62">
        <f t="shared" si="34"/>
        <v>334.3112657507022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9.0238095238095237</v>
      </c>
      <c r="N33" s="14">
        <f>IF('Données projet'!$A$36&gt;35,N32+M33-V32,IF(A33&lt;'Données projet'!$A$36,$K$205^A33,IF(A33='Données projet'!$A$36,'Données projet'!$B$36,N32+M33-V32)))</f>
        <v>270.71428571428561</v>
      </c>
      <c r="O33" s="14">
        <f>N33*VLOOKUP('Données projet'!$B$9,Paramètres!$A$1:$I$89,3,0)*VLOOKUP('Données projet'!$B$9,Paramètres!$A$1:$I$89,5,0)</f>
        <v>126.69428571428566</v>
      </c>
      <c r="P33" s="14">
        <f t="shared" si="33"/>
        <v>33.231364515949913</v>
      </c>
      <c r="Q33" s="22">
        <f t="shared" si="2"/>
        <v>278.53717415099356</v>
      </c>
      <c r="R33" s="62">
        <f t="shared" si="0"/>
        <v>517.64459908403558</v>
      </c>
      <c r="S33" s="62">
        <f ca="1">AVERAGE(OFFSET($R$3,0,0,'Données projet'!$E$9+1,1))-AVERAGE(OFFSET($H$3,0,0,'Données projet'!$E$9+1,1))</f>
        <v>375.51430445321802</v>
      </c>
      <c r="T33" s="62">
        <f t="shared" si="34"/>
        <v>334.3112657507022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9.0238095238095237</v>
      </c>
      <c r="N34" s="14">
        <f>IF('Données projet'!$A$36&gt;35,N33+M34-V33,IF(A34&lt;'Données projet'!$A$36,$K$205^A34,IF(A34='Données projet'!$A$36,'Données projet'!$B$36,N33+M34-V33)))</f>
        <v>279.73809523809513</v>
      </c>
      <c r="O34" s="14">
        <f>N34*VLOOKUP('Données projet'!$B$9,Paramètres!$A$1:$I$89,3,0)*VLOOKUP('Données projet'!$B$9,Paramètres!$A$1:$I$89,5,0)</f>
        <v>130.9174285714285</v>
      </c>
      <c r="P34" s="14">
        <f t="shared" si="33"/>
        <v>34.208263296578863</v>
      </c>
      <c r="Q34" s="22">
        <f t="shared" si="2"/>
        <v>287.59391333677951</v>
      </c>
      <c r="R34" s="62">
        <f t="shared" si="0"/>
        <v>527.64203654959704</v>
      </c>
      <c r="S34" s="62">
        <f ca="1">AVERAGE(OFFSET($R$3,0,0,'Données projet'!$E$9+1,1))-AVERAGE(OFFSET($H$3,0,0,'Données projet'!$E$9+1,1))</f>
        <v>375.51430445321802</v>
      </c>
      <c r="T34" s="62">
        <f t="shared" si="34"/>
        <v>334.3112657507022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9.0238095238095237</v>
      </c>
      <c r="N35" s="14">
        <f>IF('Données projet'!$A$36&gt;35,N34+M35-V34,IF(A35&lt;'Données projet'!$A$36,$K$205^A35,IF(A35='Données projet'!$A$36,'Données projet'!$B$36,N34+M35-V34)))</f>
        <v>288.76190476190465</v>
      </c>
      <c r="O35" s="14">
        <f>N35*VLOOKUP('Données projet'!$B$9,Paramètres!$A$1:$I$89,3,0)*VLOOKUP('Données projet'!$B$9,Paramètres!$A$1:$I$89,5,0)</f>
        <v>135.14057142857138</v>
      </c>
      <c r="P35" s="14">
        <f t="shared" si="33"/>
        <v>35.181500186843166</v>
      </c>
      <c r="Q35" s="22">
        <f t="shared" ref="Q35:Q66" si="53">(O35+P35)*0.475*44/12</f>
        <v>296.64427473018031</v>
      </c>
      <c r="R35" s="62">
        <f t="shared" si="0"/>
        <v>537.61677721070566</v>
      </c>
      <c r="S35" s="62">
        <f ca="1">AVERAGE(OFFSET($R$3,0,0,'Données projet'!$E$9+1,1))-AVERAGE(OFFSET($H$3,0,0,'Données projet'!$E$9+1,1))</f>
        <v>375.51430445321802</v>
      </c>
      <c r="T35" s="62">
        <f t="shared" si="34"/>
        <v>334.3112657507022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9.0238095238095237</v>
      </c>
      <c r="N36" s="14">
        <f>IF('Données projet'!$A$36&gt;35,N35+M36-V35,IF(A36&lt;'Données projet'!$A$36,$K$205^A36,IF(A36='Données projet'!$A$36,'Données projet'!$B$36,N35+M36-V35)))</f>
        <v>297.78571428571416</v>
      </c>
      <c r="O36" s="14">
        <f>N36*VLOOKUP('Données projet'!$B$9,Paramètres!$A$1:$I$89,3,0)*VLOOKUP('Données projet'!$B$9,Paramètres!$A$1:$I$89,5,0)</f>
        <v>139.36371428571422</v>
      </c>
      <c r="P36" s="14">
        <f t="shared" si="33"/>
        <v>36.151202751000412</v>
      </c>
      <c r="Q36" s="22">
        <f t="shared" si="53"/>
        <v>305.68848050561127</v>
      </c>
      <c r="R36" s="62">
        <f t="shared" si="0"/>
        <v>547.56932634015197</v>
      </c>
      <c r="S36" s="62">
        <f ca="1">AVERAGE(OFFSET($R$3,0,0,'Données projet'!$E$9+1,1))-AVERAGE(OFFSET($H$3,0,0,'Données projet'!$E$9+1,1))</f>
        <v>375.51430445321802</v>
      </c>
      <c r="T36" s="62">
        <f t="shared" si="34"/>
        <v>334.3112657507022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9.0238095238095237</v>
      </c>
      <c r="N37" s="14">
        <f>IF('Données projet'!$A$36&gt;35,N36+M37-V36,IF(A37&lt;'Données projet'!$A$36,$K$205^A37,IF(A37='Données projet'!$A$36,'Données projet'!$B$36,N36+M37-V36)))</f>
        <v>306.80952380952368</v>
      </c>
      <c r="O37" s="14">
        <f>N37*VLOOKUP('Données projet'!$B$9,Paramètres!$A$1:$I$89,3,0)*VLOOKUP('Données projet'!$B$9,Paramètres!$A$1:$I$89,5,0)</f>
        <v>143.58685714285707</v>
      </c>
      <c r="P37" s="14">
        <f t="shared" si="33"/>
        <v>37.117490382808377</v>
      </c>
      <c r="Q37" s="22">
        <f t="shared" si="53"/>
        <v>314.72673860720062</v>
      </c>
      <c r="R37" s="62">
        <f t="shared" si="0"/>
        <v>557.50017006931625</v>
      </c>
      <c r="S37" s="62">
        <f ca="1">AVERAGE(OFFSET($R$3,0,0,'Données projet'!$E$9+1,1))-AVERAGE(OFFSET($H$3,0,0,'Données projet'!$E$9+1,1))</f>
        <v>375.51430445321802</v>
      </c>
      <c r="T37" s="62">
        <f t="shared" si="34"/>
        <v>334.3112657507022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9.0238095238095237</v>
      </c>
      <c r="N38" s="14">
        <f>IF('Données projet'!$A$36&gt;35,N37+M38-V37,IF(A38&lt;'Données projet'!$A$36,$K$205^A38,IF(A38='Données projet'!$A$36,'Données projet'!$B$36,N37+M38-V37)))</f>
        <v>315.8333333333332</v>
      </c>
      <c r="O38" s="14">
        <f>N38*VLOOKUP('Données projet'!$B$9,Paramètres!$A$1:$I$89,3,0)*VLOOKUP('Données projet'!$B$9,Paramètres!$A$1:$I$89,5,0)</f>
        <v>147.80999999999995</v>
      </c>
      <c r="P38" s="14">
        <f t="shared" si="33"/>
        <v>38.080475053580983</v>
      </c>
      <c r="Q38" s="22">
        <f t="shared" si="53"/>
        <v>323.75924405165341</v>
      </c>
      <c r="R38" s="62">
        <f t="shared" si="0"/>
        <v>567.40977677622789</v>
      </c>
      <c r="S38" s="62">
        <f ca="1">AVERAGE(OFFSET($R$3,0,0,'Données projet'!$E$9+1,1))-AVERAGE(OFFSET($H$3,0,0,'Données projet'!$E$9+1,1))</f>
        <v>375.51430445321802</v>
      </c>
      <c r="T38" s="62">
        <f t="shared" si="34"/>
        <v>334.3112657507022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9.0238095238095237</v>
      </c>
      <c r="N39" s="14">
        <f>IF('Données projet'!$A$36&gt;35,N38+M39-V38,IF(A39&lt;'Données projet'!$A$36,$K$205^A39,IF(A39='Données projet'!$A$36,'Données projet'!$B$36,N38+M39-V38)))</f>
        <v>324.85714285714272</v>
      </c>
      <c r="O39" s="14">
        <f>N39*VLOOKUP('Données projet'!$B$9,Paramètres!$A$1:$I$89,3,0)*VLOOKUP('Données projet'!$B$9,Paramètres!$A$1:$I$89,5,0)</f>
        <v>152.03314285714279</v>
      </c>
      <c r="P39" s="14">
        <f t="shared" si="33"/>
        <v>39.040261972349207</v>
      </c>
      <c r="Q39" s="22">
        <f t="shared" si="53"/>
        <v>332.78618007803192</v>
      </c>
      <c r="R39" s="62">
        <f t="shared" si="0"/>
        <v>577.29859831906629</v>
      </c>
      <c r="S39" s="62">
        <f ca="1">AVERAGE(OFFSET($R$3,0,0,'Données projet'!$E$9+1,1))-AVERAGE(OFFSET($H$3,0,0,'Données projet'!$E$9+1,1))</f>
        <v>375.51430445321802</v>
      </c>
      <c r="T39" s="62">
        <f t="shared" si="34"/>
        <v>334.3112657507022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9.0238095238095237</v>
      </c>
      <c r="N40" s="14">
        <f>IF('Données projet'!$A$36&gt;35,N39+M40-V39,IF(A40&lt;'Données projet'!$A$36,$K$205^A40,IF(A40='Données projet'!$A$36,'Données projet'!$B$36,N39+M40-V39)))</f>
        <v>333.88095238095224</v>
      </c>
      <c r="O40" s="14">
        <f>N40*VLOOKUP('Données projet'!$B$9,Paramètres!$A$1:$I$89,3,0)*VLOOKUP('Données projet'!$B$9,Paramètres!$A$1:$I$89,5,0)</f>
        <v>156.25628571428567</v>
      </c>
      <c r="P40" s="14">
        <f t="shared" si="33"/>
        <v>39.99695017060872</v>
      </c>
      <c r="Q40" s="22">
        <f t="shared" si="53"/>
        <v>341.80771916619102</v>
      </c>
      <c r="R40" s="62">
        <f t="shared" si="0"/>
        <v>587.16707113686209</v>
      </c>
      <c r="S40" s="62">
        <f ca="1">AVERAGE(OFFSET($R$3,0,0,'Données projet'!$E$9+1,1))-AVERAGE(OFFSET($H$3,0,0,'Données projet'!$E$9+1,1))</f>
        <v>375.51430445321802</v>
      </c>
      <c r="T40" s="62">
        <f t="shared" si="34"/>
        <v>334.3112657507022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9.0238095238095237</v>
      </c>
      <c r="N41" s="14">
        <f>IF('Données projet'!$A$36&gt;35,N40+M41-V40,IF(A41&lt;'Données projet'!$A$36,$K$205^A41,IF(A41='Données projet'!$A$36,'Données projet'!$B$36,N40+M41-V40)))</f>
        <v>342.90476190476176</v>
      </c>
      <c r="O41" s="14">
        <f>N41*VLOOKUP('Données projet'!$B$9,Paramètres!$A$1:$I$89,3,0)*VLOOKUP('Données projet'!$B$9,Paramètres!$A$1:$I$89,5,0)</f>
        <v>160.47942857142851</v>
      </c>
      <c r="P41" s="14">
        <f t="shared" si="33"/>
        <v>40.950633022073781</v>
      </c>
      <c r="Q41" s="22">
        <f t="shared" si="53"/>
        <v>350.82402394201648</v>
      </c>
      <c r="R41" s="62">
        <f t="shared" si="0"/>
        <v>597.01561723557518</v>
      </c>
      <c r="S41" s="62">
        <f ca="1">AVERAGE(OFFSET($R$3,0,0,'Données projet'!$E$9+1,1))-AVERAGE(OFFSET($H$3,0,0,'Données projet'!$E$9+1,1))</f>
        <v>375.51430445321802</v>
      </c>
      <c r="T41" s="62">
        <f t="shared" si="34"/>
        <v>334.3112657507022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9.0238095238095237</v>
      </c>
      <c r="N42" s="14">
        <f>IF('Données projet'!$A$36&gt;35,N41+M42-V41,IF(A42&lt;'Données projet'!$A$36,$K$205^A42,IF(A42='Données projet'!$A$36,'Données projet'!$B$36,N41+M42-V41)))</f>
        <v>351.92857142857127</v>
      </c>
      <c r="O42" s="14">
        <f>N42*VLOOKUP('Données projet'!$B$9,Paramètres!$A$1:$I$89,3,0)*VLOOKUP('Données projet'!$B$9,Paramètres!$A$1:$I$89,5,0)</f>
        <v>164.70257142857136</v>
      </c>
      <c r="P42" s="14">
        <f t="shared" si="33"/>
        <v>41.901398706181055</v>
      </c>
      <c r="Q42" s="22">
        <f t="shared" si="53"/>
        <v>359.83524798469381</v>
      </c>
      <c r="R42" s="62">
        <f t="shared" si="0"/>
        <v>606.84464507480095</v>
      </c>
      <c r="S42" s="62">
        <f ca="1">AVERAGE(OFFSET($R$3,0,0,'Données projet'!$E$9+1,1))-AVERAGE(OFFSET($H$3,0,0,'Données projet'!$E$9+1,1))</f>
        <v>375.51430445321802</v>
      </c>
      <c r="T42" s="62">
        <f t="shared" si="34"/>
        <v>334.3112657507022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9.0238095238095237</v>
      </c>
      <c r="N43" s="14">
        <f>IF('Données projet'!$A$36&gt;35,N42+M43-V42,IF(A43&lt;'Données projet'!$A$36,$K$205^A43,IF(A43='Données projet'!$A$36,'Données projet'!$B$36,N42+M43-V42)))</f>
        <v>360.95238095238079</v>
      </c>
      <c r="O43" s="14">
        <f>N43*VLOOKUP('Données projet'!$B$9,Paramètres!$A$1:$I$89,3,0)*VLOOKUP('Données projet'!$B$9,Paramètres!$A$1:$I$89,5,0)</f>
        <v>168.92571428571424</v>
      </c>
      <c r="P43" s="14">
        <f t="shared" si="33"/>
        <v>42.849330622717098</v>
      </c>
      <c r="Q43" s="22">
        <f t="shared" si="53"/>
        <v>368.84153654885125</v>
      </c>
      <c r="R43" s="62">
        <f t="shared" si="0"/>
        <v>616.65455036797209</v>
      </c>
      <c r="S43" s="62">
        <f ca="1">AVERAGE(OFFSET($R$3,0,0,'Données projet'!$E$9+1,1))-AVERAGE(OFFSET($H$3,0,0,'Données projet'!$E$9+1,1))</f>
        <v>375.51430445321802</v>
      </c>
      <c r="T43" s="62">
        <f t="shared" si="34"/>
        <v>334.3112657507022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9.0238095238095237</v>
      </c>
      <c r="N44" s="14">
        <f>IF('Données projet'!$A$36&gt;35,N43+M44-V43,IF(A44&lt;'Données projet'!$A$36,$K$205^A44,IF(A44='Données projet'!$A$36,'Données projet'!$B$36,N43+M44-V43)))</f>
        <v>369.97619047619031</v>
      </c>
      <c r="O44" s="14">
        <f>N44*VLOOKUP('Données projet'!$B$9,Paramètres!$A$1:$I$89,3,0)*VLOOKUP('Données projet'!$B$9,Paramètres!$A$1:$I$89,5,0)</f>
        <v>173.14885714285705</v>
      </c>
      <c r="P44" s="14">
        <f t="shared" si="33"/>
        <v>43.794507763815865</v>
      </c>
      <c r="Q44" s="22">
        <f t="shared" si="53"/>
        <v>377.8430272124553</v>
      </c>
      <c r="R44" s="62">
        <f t="shared" si="0"/>
        <v>626.44571680695924</v>
      </c>
      <c r="S44" s="62">
        <f ca="1">AVERAGE(OFFSET($R$3,0,0,'Données projet'!$E$9+1,1))-AVERAGE(OFFSET($H$3,0,0,'Données projet'!$E$9+1,1))</f>
        <v>375.51430445321802</v>
      </c>
      <c r="T44" s="62">
        <f t="shared" si="34"/>
        <v>334.3112657507022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379</v>
      </c>
      <c r="L45" s="13">
        <f>VLOOKUP(A45,'Données projet'!$A$35:$I$55,9,0)</f>
        <v>9.0238095238095237</v>
      </c>
      <c r="M45" s="13">
        <f t="array" ref="M45">INDEX(L:L,MIN(IF(ISNUMBER(L45:L241),ROW(L45:L241),"")))</f>
        <v>9.0238095238095237</v>
      </c>
      <c r="N45" s="14">
        <f>IF('Données projet'!$A$36&gt;35,N44+M45-V44,IF(A45&lt;'Données projet'!$A$36,$K$205^A45,IF(A45='Données projet'!$A$36,'Données projet'!$B$36,N44+M45-V44)))</f>
        <v>378.99999999999983</v>
      </c>
      <c r="O45" s="14">
        <f>N45*VLOOKUP('Données projet'!$B$9,Paramètres!$A$1:$I$89,3,0)*VLOOKUP('Données projet'!$B$9,Paramètres!$A$1:$I$89,5,0)</f>
        <v>177.37199999999993</v>
      </c>
      <c r="P45" s="14">
        <f t="shared" si="33"/>
        <v>44.737005048641883</v>
      </c>
      <c r="Q45" s="22">
        <f t="shared" si="53"/>
        <v>386.83985045971781</v>
      </c>
      <c r="R45" s="62">
        <f t="shared" si="0"/>
        <v>636.21851672035257</v>
      </c>
      <c r="S45" s="62">
        <f ca="1">AVERAGE(OFFSET($R$3,0,0,'Données projet'!$E$9+1,1))-AVERAGE(OFFSET($H$3,0,0,'Données projet'!$E$9+1,1))</f>
        <v>375.51430445321802</v>
      </c>
      <c r="T45" s="62">
        <f t="shared" si="34"/>
        <v>334.3112657507022</v>
      </c>
      <c r="U45" s="16">
        <f>IF(ISNA(VLOOKUP(A45,'Données projet'!$A$35:$I$55,3,0)),0,VLOOKUP(A45,'Données projet'!$A$35:$I$55,3,0))</f>
        <v>1</v>
      </c>
      <c r="V45" s="16">
        <f>IF(ISNA(VLOOKUP(A45,'Données projet'!$A$35:$I$55,4,0)),0,VLOOKUP(A45,'Données projet'!$A$35:$I$55,4,0))</f>
        <v>110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20.333333333333332</v>
      </c>
      <c r="N46" s="14">
        <f>IF('Données projet'!$A$36&gt;35,N45+M46-V45,IF(A46&lt;'Données projet'!$A$36,$K$205^A46,IF(A46='Données projet'!$A$36,'Données projet'!$B$36,N45+M46-V45)))</f>
        <v>289.33333333333314</v>
      </c>
      <c r="O46" s="14">
        <f>N46*VLOOKUP('Données projet'!$B$9,Paramètres!$A$1:$I$89,3,0)*VLOOKUP('Données projet'!$B$9,Paramètres!$A$1:$I$89,5,0)</f>
        <v>135.4079999999999</v>
      </c>
      <c r="P46" s="14">
        <f t="shared" si="33"/>
        <v>35.243009677478696</v>
      </c>
      <c r="Q46" s="22">
        <f t="shared" si="53"/>
        <v>297.21717518827523</v>
      </c>
      <c r="R46" s="62">
        <f t="shared" si="0"/>
        <v>547.35835665470722</v>
      </c>
      <c r="S46" s="62">
        <f ca="1">AVERAGE(OFFSET($R$3,0,0,'Données projet'!$E$9+1,1))-AVERAGE(OFFSET($H$3,0,0,'Données projet'!$E$9+1,1))</f>
        <v>375.51430445321802</v>
      </c>
      <c r="T46" s="62">
        <f t="shared" si="34"/>
        <v>334.3112657507022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20.333333333333332</v>
      </c>
      <c r="N47" s="14">
        <f>IF('Données projet'!$A$36&gt;35,N46+M47-V46,IF(A47&lt;'Données projet'!$A$36,$K$205^A47,IF(A47='Données projet'!$A$36,'Données projet'!$B$36,N46+M47-V46)))</f>
        <v>309.66666666666646</v>
      </c>
      <c r="O47" s="14">
        <f>N47*VLOOKUP('Données projet'!$B$9,Paramètres!$A$1:$I$89,3,0)*VLOOKUP('Données projet'!$B$9,Paramètres!$A$1:$I$89,5,0)</f>
        <v>144.92399999999989</v>
      </c>
      <c r="P47" s="14">
        <f t="shared" si="33"/>
        <v>37.422745391578168</v>
      </c>
      <c r="Q47" s="22">
        <f t="shared" si="53"/>
        <v>317.58724822366509</v>
      </c>
      <c r="R47" s="62">
        <f t="shared" si="0"/>
        <v>568.47771696180257</v>
      </c>
      <c r="S47" s="62">
        <f ca="1">AVERAGE(OFFSET($R$3,0,0,'Données projet'!$E$9+1,1))-AVERAGE(OFFSET($H$3,0,0,'Données projet'!$E$9+1,1))</f>
        <v>375.51430445321802</v>
      </c>
      <c r="T47" s="62">
        <f t="shared" si="34"/>
        <v>334.3112657507022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20.333333333333332</v>
      </c>
      <c r="N48" s="14">
        <f>IF('Données projet'!$A$36&gt;35,N47+M48-V47,IF(A48&lt;'Données projet'!$A$36,$K$205^A48,IF(A48='Données projet'!$A$36,'Données projet'!$B$36,N47+M48-V47)))</f>
        <v>329.99999999999977</v>
      </c>
      <c r="O48" s="14">
        <f>N48*VLOOKUP('Données projet'!$B$9,Paramètres!$A$1:$I$89,3,0)*VLOOKUP('Données projet'!$B$9,Paramètres!$A$1:$I$89,5,0)</f>
        <v>154.43999999999988</v>
      </c>
      <c r="P48" s="14">
        <f t="shared" si="33"/>
        <v>39.585872170955454</v>
      </c>
      <c r="Q48" s="22">
        <f t="shared" si="53"/>
        <v>337.92839403108047</v>
      </c>
      <c r="R48" s="62">
        <f t="shared" si="0"/>
        <v>589.55515158191463</v>
      </c>
      <c r="S48" s="62">
        <f ca="1">AVERAGE(OFFSET($R$3,0,0,'Données projet'!$E$9+1,1))-AVERAGE(OFFSET($H$3,0,0,'Données projet'!$E$9+1,1))</f>
        <v>375.51430445321802</v>
      </c>
      <c r="T48" s="62">
        <f t="shared" si="34"/>
        <v>334.3112657507022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20.333333333333332</v>
      </c>
      <c r="N49" s="14">
        <f>IF('Données projet'!$A$36&gt;35,N48+M49-V48,IF(A49&lt;'Données projet'!$A$36,$K$205^A49,IF(A49='Données projet'!$A$36,'Données projet'!$B$36,N48+M49-V48)))</f>
        <v>350.33333333333309</v>
      </c>
      <c r="O49" s="14">
        <f>N49*VLOOKUP('Données projet'!$B$9,Paramètres!$A$1:$I$89,3,0)*VLOOKUP('Données projet'!$B$9,Paramètres!$A$1:$I$89,5,0)</f>
        <v>163.95599999999988</v>
      </c>
      <c r="P49" s="14">
        <f t="shared" si="33"/>
        <v>41.733529914742526</v>
      </c>
      <c r="Q49" s="22">
        <f t="shared" si="53"/>
        <v>358.24259793484299</v>
      </c>
      <c r="R49" s="62">
        <f t="shared" si="0"/>
        <v>610.59287133356861</v>
      </c>
      <c r="S49" s="62">
        <f ca="1">AVERAGE(OFFSET($R$3,0,0,'Données projet'!$E$9+1,1))-AVERAGE(OFFSET($H$3,0,0,'Données projet'!$E$9+1,1))</f>
        <v>375.51430445321802</v>
      </c>
      <c r="T49" s="62">
        <f t="shared" si="34"/>
        <v>334.3112657507022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20.333333333333332</v>
      </c>
      <c r="N50" s="14">
        <f>IF('Données projet'!$A$36&gt;35,N49+M50-V49,IF(A50&lt;'Données projet'!$A$36,$K$205^A50,IF(A50='Données projet'!$A$36,'Données projet'!$B$36,N49+M50-V49)))</f>
        <v>370.6666666666664</v>
      </c>
      <c r="O50" s="14">
        <f>N50*VLOOKUP('Données projet'!$B$9,Paramètres!$A$1:$I$89,3,0)*VLOOKUP('Données projet'!$B$9,Paramètres!$A$1:$I$89,5,0)</f>
        <v>173.47199999999989</v>
      </c>
      <c r="P50" s="14">
        <f t="shared" si="33"/>
        <v>43.866718728383532</v>
      </c>
      <c r="Q50" s="22">
        <f t="shared" si="53"/>
        <v>378.53160178526781</v>
      </c>
      <c r="R50" s="62">
        <f t="shared" si="0"/>
        <v>631.59283964946326</v>
      </c>
      <c r="S50" s="62">
        <f ca="1">AVERAGE(OFFSET($R$3,0,0,'Données projet'!$E$9+1,1))-AVERAGE(OFFSET($H$3,0,0,'Données projet'!$E$9+1,1))</f>
        <v>375.51430445321802</v>
      </c>
      <c r="T50" s="62">
        <f t="shared" si="34"/>
        <v>334.3112657507022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391</v>
      </c>
      <c r="L51" s="13">
        <f>VLOOKUP(A51,'Données projet'!$A$35:$I$55,9,0)</f>
        <v>20.333333333333332</v>
      </c>
      <c r="M51" s="13">
        <f t="array" ref="M51">INDEX(L:L,MIN(IF(ISNUMBER(L51:L247),ROW(L51:L247),"")))</f>
        <v>20.333333333333332</v>
      </c>
      <c r="N51" s="14">
        <f>IF('Données projet'!$A$36&gt;35,N50+M51-V50,IF(A51&lt;'Données projet'!$A$36,$K$205^A51,IF(A51='Données projet'!$A$36,'Données projet'!$B$36,N50+M51-V50)))</f>
        <v>390.99999999999972</v>
      </c>
      <c r="O51" s="14">
        <f>N51*VLOOKUP('Données projet'!$B$9,Paramètres!$A$1:$I$89,3,0)*VLOOKUP('Données projet'!$B$9,Paramètres!$A$1:$I$89,5,0)</f>
        <v>182.98799999999989</v>
      </c>
      <c r="P51" s="14">
        <f t="shared" si="33"/>
        <v>45.986322796524831</v>
      </c>
      <c r="Q51" s="22">
        <f t="shared" si="53"/>
        <v>398.79694553728058</v>
      </c>
      <c r="R51" s="62">
        <f t="shared" si="0"/>
        <v>652.55681422294833</v>
      </c>
      <c r="S51" s="62">
        <f ca="1">AVERAGE(OFFSET($R$3,0,0,'Données projet'!$E$9+1,1))-AVERAGE(OFFSET($H$3,0,0,'Données projet'!$E$9+1,1))</f>
        <v>375.51430445321802</v>
      </c>
      <c r="T51" s="62">
        <f t="shared" si="34"/>
        <v>334.3112657507022</v>
      </c>
      <c r="U51" s="16">
        <f>IF(ISNA(VLOOKUP(A51,'Données projet'!$A$35:$I$55,3,0)),0,VLOOKUP(A51,'Données projet'!$A$35:$I$55,3,0))</f>
        <v>2</v>
      </c>
      <c r="V51" s="16">
        <f>IF(ISNA(VLOOKUP(A51,'Données projet'!$A$35:$I$55,4,0)),0,VLOOKUP(A51,'Données projet'!$A$35:$I$55,4,0))</f>
        <v>78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20.5</v>
      </c>
      <c r="N52" s="14">
        <f>IF('Données projet'!$A$36&gt;35,N51+M52-V51,IF(A52&lt;'Données projet'!$A$36,$K$205^A52,IF(A52='Données projet'!$A$36,'Données projet'!$B$36,N51+M52-V51)))</f>
        <v>333.49999999999972</v>
      </c>
      <c r="O52" s="14">
        <f>N52*VLOOKUP('Données projet'!$B$9,Paramètres!$A$1:$I$89,3,0)*VLOOKUP('Données projet'!$B$9,Paramètres!$A$1:$I$89,5,0)</f>
        <v>156.07799999999986</v>
      </c>
      <c r="P52" s="14">
        <f t="shared" si="33"/>
        <v>39.956623674978431</v>
      </c>
      <c r="Q52" s="22">
        <f t="shared" si="53"/>
        <v>341.42696956725382</v>
      </c>
      <c r="R52" s="62">
        <f t="shared" si="0"/>
        <v>595.87334939154584</v>
      </c>
      <c r="S52" s="62">
        <f ca="1">AVERAGE(OFFSET($R$3,0,0,'Données projet'!$E$9+1,1))-AVERAGE(OFFSET($H$3,0,0,'Données projet'!$E$9+1,1))</f>
        <v>375.51430445321802</v>
      </c>
      <c r="T52" s="62">
        <f t="shared" si="34"/>
        <v>334.3112657507022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20.5</v>
      </c>
      <c r="N53" s="14">
        <f>IF('Données projet'!$A$36&gt;35,N52+M53-V52,IF(A53&lt;'Données projet'!$A$36,$K$205^A53,IF(A53='Données projet'!$A$36,'Données projet'!$B$36,N52+M53-V52)))</f>
        <v>353.99999999999972</v>
      </c>
      <c r="O53" s="14">
        <f>N53*VLOOKUP('Données projet'!$B$9,Paramètres!$A$1:$I$89,3,0)*VLOOKUP('Données projet'!$B$9,Paramètres!$A$1:$I$89,5,0)</f>
        <v>165.67199999999988</v>
      </c>
      <c r="P53" s="14">
        <f t="shared" si="33"/>
        <v>42.119245508815517</v>
      </c>
      <c r="Q53" s="22">
        <f t="shared" si="53"/>
        <v>361.90308592785345</v>
      </c>
      <c r="R53" s="62">
        <f t="shared" si="0"/>
        <v>617.02406745732355</v>
      </c>
      <c r="S53" s="62">
        <f ca="1">AVERAGE(OFFSET($R$3,0,0,'Données projet'!$E$9+1,1))-AVERAGE(OFFSET($H$3,0,0,'Données projet'!$E$9+1,1))</f>
        <v>375.51430445321802</v>
      </c>
      <c r="T53" s="62">
        <f t="shared" si="34"/>
        <v>334.3112657507022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20.5</v>
      </c>
      <c r="N54" s="14">
        <f>IF('Données projet'!$A$36&gt;35,N53+M54-V53,IF(A54&lt;'Données projet'!$A$36,$K$205^A54,IF(A54='Données projet'!$A$36,'Données projet'!$B$36,N53+M54-V53)))</f>
        <v>374.49999999999972</v>
      </c>
      <c r="O54" s="14">
        <f>N54*VLOOKUP('Données projet'!$B$9,Paramètres!$A$1:$I$89,3,0)*VLOOKUP('Données projet'!$B$9,Paramètres!$A$1:$I$89,5,0)</f>
        <v>175.26599999999985</v>
      </c>
      <c r="P54" s="14">
        <f t="shared" si="33"/>
        <v>44.267330250356274</v>
      </c>
      <c r="Q54" s="22">
        <f t="shared" si="53"/>
        <v>382.35388351937019</v>
      </c>
      <c r="R54" s="62">
        <f t="shared" si="0"/>
        <v>638.13776392261707</v>
      </c>
      <c r="S54" s="62">
        <f ca="1">AVERAGE(OFFSET($R$3,0,0,'Données projet'!$E$9+1,1))-AVERAGE(OFFSET($H$3,0,0,'Données projet'!$E$9+1,1))</f>
        <v>375.51430445321802</v>
      </c>
      <c r="T54" s="62">
        <f t="shared" si="34"/>
        <v>334.3112657507022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20.5</v>
      </c>
      <c r="N55" s="14">
        <f>IF('Données projet'!$A$36&gt;35,N54+M55-V54,IF(A55&lt;'Données projet'!$A$36,$K$205^A55,IF(A55='Données projet'!$A$36,'Données projet'!$B$36,N54+M55-V54)))</f>
        <v>394.99999999999972</v>
      </c>
      <c r="O55" s="14">
        <f>N55*VLOOKUP('Données projet'!$B$9,Paramètres!$A$1:$I$89,3,0)*VLOOKUP('Données projet'!$B$9,Paramètres!$A$1:$I$89,5,0)</f>
        <v>184.85999999999987</v>
      </c>
      <c r="P55" s="14">
        <f t="shared" si="33"/>
        <v>46.401764365641043</v>
      </c>
      <c r="Q55" s="22">
        <f t="shared" si="53"/>
        <v>402.78090627015791</v>
      </c>
      <c r="R55" s="62">
        <f t="shared" si="0"/>
        <v>659.21618573374121</v>
      </c>
      <c r="S55" s="62">
        <f ca="1">AVERAGE(OFFSET($R$3,0,0,'Données projet'!$E$9+1,1))-AVERAGE(OFFSET($H$3,0,0,'Données projet'!$E$9+1,1))</f>
        <v>375.51430445321802</v>
      </c>
      <c r="T55" s="62">
        <f t="shared" si="34"/>
        <v>334.3112657507022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20.5</v>
      </c>
      <c r="N56" s="14">
        <f>IF('Données projet'!$A$36&gt;35,N55+M56-V55,IF(A56&lt;'Données projet'!$A$36,$K$205^A56,IF(A56='Données projet'!$A$36,'Données projet'!$B$36,N55+M56-V55)))</f>
        <v>415.49999999999972</v>
      </c>
      <c r="O56" s="14">
        <f>N56*VLOOKUP('Données projet'!$B$9,Paramètres!$A$1:$I$89,3,0)*VLOOKUP('Données projet'!$B$9,Paramètres!$A$1:$I$89,5,0)</f>
        <v>194.45399999999987</v>
      </c>
      <c r="P56" s="14">
        <f t="shared" si="33"/>
        <v>48.523337110742148</v>
      </c>
      <c r="Q56" s="22">
        <f t="shared" si="53"/>
        <v>423.18552880120905</v>
      </c>
      <c r="R56" s="62">
        <f t="shared" si="0"/>
        <v>680.26090700774228</v>
      </c>
      <c r="S56" s="62">
        <f ca="1">AVERAGE(OFFSET($R$3,0,0,'Données projet'!$E$9+1,1))-AVERAGE(OFFSET($H$3,0,0,'Données projet'!$E$9+1,1))</f>
        <v>375.51430445321802</v>
      </c>
      <c r="T56" s="62">
        <f t="shared" si="34"/>
        <v>334.3112657507022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436</v>
      </c>
      <c r="L57" s="13">
        <f>VLOOKUP(A57,'Données projet'!$A$35:$I$55,9,0)</f>
        <v>20.5</v>
      </c>
      <c r="M57" s="13">
        <f t="array" ref="M57">INDEX(L:L,MIN(IF(ISNUMBER(L57:L253),ROW(L57:L253),"")))</f>
        <v>20.5</v>
      </c>
      <c r="N57" s="14">
        <f>IF('Données projet'!$A$36&gt;35,N56+M57-V56,IF(A57&lt;'Données projet'!$A$36,$K$205^A57,IF(A57='Données projet'!$A$36,'Données projet'!$B$36,N56+M57-V56)))</f>
        <v>435.99999999999972</v>
      </c>
      <c r="O57" s="14">
        <f>N57*VLOOKUP('Données projet'!$B$9,Paramètres!$A$1:$I$89,3,0)*VLOOKUP('Données projet'!$B$9,Paramètres!$A$1:$I$89,5,0)</f>
        <v>204.04799999999986</v>
      </c>
      <c r="P57" s="14">
        <f t="shared" si="33"/>
        <v>50.632755461121967</v>
      </c>
      <c r="Q57" s="22">
        <f t="shared" si="53"/>
        <v>443.56898242812048</v>
      </c>
      <c r="R57" s="62">
        <f t="shared" si="0"/>
        <v>701.27335509545981</v>
      </c>
      <c r="S57" s="62">
        <f ca="1">AVERAGE(OFFSET($R$3,0,0,'Données projet'!$E$9+1,1))-AVERAGE(OFFSET($H$3,0,0,'Données projet'!$E$9+1,1))</f>
        <v>375.51430445321802</v>
      </c>
      <c r="T57" s="62">
        <f t="shared" si="34"/>
        <v>334.3112657507022</v>
      </c>
      <c r="U57" s="16">
        <f>IF(ISNA(VLOOKUP(A57,'Données projet'!$A$35:$I$55,3,0)),0,VLOOKUP(A57,'Données projet'!$A$35:$I$55,3,0))</f>
        <v>3</v>
      </c>
      <c r="V57" s="16">
        <f>IF(ISNA(VLOOKUP(A57,'Données projet'!$A$35:$I$55,4,0)),0,VLOOKUP(A57,'Données projet'!$A$35:$I$55,4,0))</f>
        <v>86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19.833333333333332</v>
      </c>
      <c r="N58" s="14">
        <f>IF('Données projet'!$A$36&gt;35,N57+M58-V57,IF(A58&lt;'Données projet'!$A$36,$K$205^A58,IF(A58='Données projet'!$A$36,'Données projet'!$B$36,N57+M58-V57)))</f>
        <v>369.83333333333303</v>
      </c>
      <c r="O58" s="14">
        <f>N58*VLOOKUP('Données projet'!$B$9,Paramètres!$A$1:$I$89,3,0)*VLOOKUP('Données projet'!$B$9,Paramètres!$A$1:$I$89,5,0)</f>
        <v>173.08199999999985</v>
      </c>
      <c r="P58" s="14">
        <f t="shared" si="33"/>
        <v>43.77956560661174</v>
      </c>
      <c r="Q58" s="22">
        <f t="shared" si="53"/>
        <v>377.70056009818182</v>
      </c>
      <c r="R58" s="62">
        <f t="shared" si="0"/>
        <v>636.02301557865326</v>
      </c>
      <c r="S58" s="62">
        <f ca="1">AVERAGE(OFFSET($R$3,0,0,'Données projet'!$E$9+1,1))-AVERAGE(OFFSET($H$3,0,0,'Données projet'!$E$9+1,1))</f>
        <v>375.51430445321802</v>
      </c>
      <c r="T58" s="62">
        <f t="shared" si="34"/>
        <v>334.3112657507022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19.833333333333332</v>
      </c>
      <c r="N59" s="14">
        <f>IF('Données projet'!$A$36&gt;35,N58+M59-V58,IF(A59&lt;'Données projet'!$A$36,$K$205^A59,IF(A59='Données projet'!$A$36,'Données projet'!$B$36,N58+M59-V58)))</f>
        <v>389.66666666666634</v>
      </c>
      <c r="O59" s="14">
        <f>N59*VLOOKUP('Données projet'!$B$9,Paramètres!$A$1:$I$89,3,0)*VLOOKUP('Données projet'!$B$9,Paramètres!$A$1:$I$89,5,0)</f>
        <v>182.36399999999986</v>
      </c>
      <c r="P59" s="14">
        <f t="shared" si="33"/>
        <v>45.84773255125662</v>
      </c>
      <c r="Q59" s="22">
        <f t="shared" si="53"/>
        <v>397.46876752677173</v>
      </c>
      <c r="R59" s="62">
        <f t="shared" si="0"/>
        <v>656.39858346539347</v>
      </c>
      <c r="S59" s="62">
        <f ca="1">AVERAGE(OFFSET($R$3,0,0,'Données projet'!$E$9+1,1))-AVERAGE(OFFSET($H$3,0,0,'Données projet'!$E$9+1,1))</f>
        <v>375.51430445321802</v>
      </c>
      <c r="T59" s="62">
        <f t="shared" si="34"/>
        <v>334.3112657507022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19.833333333333332</v>
      </c>
      <c r="N60" s="14">
        <f>IF('Données projet'!$A$36&gt;35,N59+M60-V59,IF(A60&lt;'Données projet'!$A$36,$K$205^A60,IF(A60='Données projet'!$A$36,'Données projet'!$B$36,N59+M60-V59)))</f>
        <v>409.49999999999966</v>
      </c>
      <c r="O60" s="14">
        <f>N60*VLOOKUP('Données projet'!$B$9,Paramètres!$A$1:$I$89,3,0)*VLOOKUP('Données projet'!$B$9,Paramètres!$A$1:$I$89,5,0)</f>
        <v>191.64599999999984</v>
      </c>
      <c r="P60" s="14">
        <f t="shared" si="33"/>
        <v>47.903677189291592</v>
      </c>
      <c r="Q60" s="22">
        <f t="shared" si="53"/>
        <v>417.21568777134922</v>
      </c>
      <c r="R60" s="62">
        <f t="shared" si="0"/>
        <v>676.74232782202694</v>
      </c>
      <c r="S60" s="62">
        <f ca="1">AVERAGE(OFFSET($R$3,0,0,'Données projet'!$E$9+1,1))-AVERAGE(OFFSET($H$3,0,0,'Données projet'!$E$9+1,1))</f>
        <v>375.51430445321802</v>
      </c>
      <c r="T60" s="62">
        <f t="shared" si="34"/>
        <v>334.3112657507022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19.833333333333332</v>
      </c>
      <c r="N61" s="14">
        <f>IF('Données projet'!$A$36&gt;35,N60+M61-V60,IF(A61&lt;'Données projet'!$A$36,$K$205^A61,IF(A61='Données projet'!$A$36,'Données projet'!$B$36,N60+M61-V60)))</f>
        <v>429.33333333333297</v>
      </c>
      <c r="O61" s="14">
        <f>N61*VLOOKUP('Données projet'!$B$9,Paramètres!$A$1:$I$89,3,0)*VLOOKUP('Données projet'!$B$9,Paramètres!$A$1:$I$89,5,0)</f>
        <v>200.92799999999983</v>
      </c>
      <c r="P61" s="14">
        <f t="shared" si="33"/>
        <v>49.948059057188999</v>
      </c>
      <c r="Q61" s="22">
        <f t="shared" si="53"/>
        <v>436.94246952460384</v>
      </c>
      <c r="R61" s="62">
        <f t="shared" si="0"/>
        <v>697.0555801232922</v>
      </c>
      <c r="S61" s="62">
        <f ca="1">AVERAGE(OFFSET($R$3,0,0,'Données projet'!$E$9+1,1))-AVERAGE(OFFSET($H$3,0,0,'Données projet'!$E$9+1,1))</f>
        <v>375.51430445321802</v>
      </c>
      <c r="T61" s="62">
        <f t="shared" si="34"/>
        <v>334.3112657507022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19.833333333333332</v>
      </c>
      <c r="N62" s="14">
        <f>IF('Données projet'!$A$36&gt;35,N61+M62-V61,IF(A62&lt;'Données projet'!$A$36,$K$205^A62,IF(A62='Données projet'!$A$36,'Données projet'!$B$36,N61+M62-V61)))</f>
        <v>449.16666666666629</v>
      </c>
      <c r="O62" s="14">
        <f>N62*VLOOKUP('Données projet'!$B$9,Paramètres!$A$1:$I$89,3,0)*VLOOKUP('Données projet'!$B$9,Paramètres!$A$1:$I$89,5,0)</f>
        <v>210.20999999999981</v>
      </c>
      <c r="P62" s="14">
        <f t="shared" si="33"/>
        <v>51.981473312002805</v>
      </c>
      <c r="Q62" s="22">
        <f t="shared" si="53"/>
        <v>456.65014935173781</v>
      </c>
      <c r="R62" s="62">
        <f t="shared" si="0"/>
        <v>717.33955654558054</v>
      </c>
      <c r="S62" s="62">
        <f ca="1">AVERAGE(OFFSET($R$3,0,0,'Données projet'!$E$9+1,1))-AVERAGE(OFFSET($H$3,0,0,'Données projet'!$E$9+1,1))</f>
        <v>375.51430445321802</v>
      </c>
      <c r="T62" s="62">
        <f t="shared" si="34"/>
        <v>334.3112657507022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469</v>
      </c>
      <c r="L63" s="13">
        <f>VLOOKUP(A63,'Données projet'!$A$35:$I$55,9,0)</f>
        <v>19.833333333333332</v>
      </c>
      <c r="M63" s="13">
        <f t="array" ref="M63">INDEX(L:L,MIN(IF(ISNUMBER(L63:L259),ROW(L63:L259),"")))</f>
        <v>19.833333333333332</v>
      </c>
      <c r="N63" s="14">
        <f>IF('Données projet'!$A$36&gt;35,N62+M63-V62,IF(A63&lt;'Données projet'!$A$36,$K$205^A63,IF(A63='Données projet'!$A$36,'Données projet'!$B$36,N62+M63-V62)))</f>
        <v>468.9999999999996</v>
      </c>
      <c r="O63" s="14">
        <f>N63*VLOOKUP('Données projet'!$B$9,Paramètres!$A$1:$I$89,3,0)*VLOOKUP('Données projet'!$B$9,Paramètres!$A$1:$I$89,5,0)</f>
        <v>219.49199999999982</v>
      </c>
      <c r="P63" s="14">
        <f t="shared" si="33"/>
        <v>54.004459579686618</v>
      </c>
      <c r="Q63" s="22">
        <f t="shared" si="53"/>
        <v>476.3396671012872</v>
      </c>
      <c r="R63" s="62">
        <f t="shared" si="0"/>
        <v>737.59537343276475</v>
      </c>
      <c r="S63" s="62">
        <f ca="1">AVERAGE(OFFSET($R$3,0,0,'Données projet'!$E$9+1,1))-AVERAGE(OFFSET($H$3,0,0,'Données projet'!$E$9+1,1))</f>
        <v>375.51430445321802</v>
      </c>
      <c r="T63" s="62">
        <f t="shared" si="34"/>
        <v>334.3112657507022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84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19.166666666666668</v>
      </c>
      <c r="N64" s="14">
        <f>IF('Données projet'!$A$36&gt;35,N63+M64-V63,IF(A64&lt;'Données projet'!$A$36,$K$205^A64,IF(A64='Données projet'!$A$36,'Données projet'!$B$36,N63+M64-V63)))</f>
        <v>404.16666666666629</v>
      </c>
      <c r="O64" s="14">
        <f>N64*VLOOKUP('Données projet'!$B$9,Paramètres!$A$1:$I$89,3,0)*VLOOKUP('Données projet'!$B$9,Paramètres!$A$1:$I$89,5,0)</f>
        <v>189.14999999999984</v>
      </c>
      <c r="P64" s="14">
        <f t="shared" si="33"/>
        <v>47.351980908861918</v>
      </c>
      <c r="Q64" s="22">
        <f t="shared" si="53"/>
        <v>411.90761674960089</v>
      </c>
      <c r="R64" s="62">
        <f t="shared" si="0"/>
        <v>673.71979819473017</v>
      </c>
      <c r="S64" s="62">
        <f ca="1">AVERAGE(OFFSET($R$3,0,0,'Données projet'!$E$9+1,1))-AVERAGE(OFFSET($H$3,0,0,'Données projet'!$E$9+1,1))</f>
        <v>375.51430445321802</v>
      </c>
      <c r="T64" s="62">
        <f t="shared" si="34"/>
        <v>334.3112657507022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19.166666666666668</v>
      </c>
      <c r="N65" s="14">
        <f>IF('Données projet'!$A$36&gt;35,N64+M65-V64,IF(A65&lt;'Données projet'!$A$36,$K$205^A65,IF(A65='Données projet'!$A$36,'Données projet'!$B$36,N64+M65-V64)))</f>
        <v>423.33333333333297</v>
      </c>
      <c r="O65" s="14">
        <f>N65*VLOOKUP('Données projet'!$B$9,Paramètres!$A$1:$I$89,3,0)*VLOOKUP('Données projet'!$B$9,Paramètres!$A$1:$I$89,5,0)</f>
        <v>198.11999999999983</v>
      </c>
      <c r="P65" s="14">
        <f t="shared" si="33"/>
        <v>49.330773797227167</v>
      </c>
      <c r="Q65" s="22">
        <f t="shared" si="53"/>
        <v>430.97676436350366</v>
      </c>
      <c r="R65" s="62">
        <f t="shared" si="0"/>
        <v>693.33576732315498</v>
      </c>
      <c r="S65" s="62">
        <f ca="1">AVERAGE(OFFSET($R$3,0,0,'Données projet'!$E$9+1,1))-AVERAGE(OFFSET($H$3,0,0,'Données projet'!$E$9+1,1))</f>
        <v>375.51430445321802</v>
      </c>
      <c r="T65" s="62">
        <f t="shared" si="34"/>
        <v>334.3112657507022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19.166666666666668</v>
      </c>
      <c r="N66" s="14">
        <f>IF('Données projet'!$A$36&gt;35,N65+M66-V65,IF(A66&lt;'Données projet'!$A$36,$K$205^A66,IF(A66='Données projet'!$A$36,'Données projet'!$B$36,N65+M66-V65)))</f>
        <v>442.49999999999966</v>
      </c>
      <c r="O66" s="14">
        <f>N66*VLOOKUP('Données projet'!$B$9,Paramètres!$A$1:$I$89,3,0)*VLOOKUP('Données projet'!$B$9,Paramètres!$A$1:$I$89,5,0)</f>
        <v>207.08999999999983</v>
      </c>
      <c r="P66" s="14">
        <f t="shared" si="33"/>
        <v>51.299161968697469</v>
      </c>
      <c r="Q66" s="22">
        <f t="shared" si="53"/>
        <v>450.0277904288144</v>
      </c>
      <c r="R66" s="62">
        <f t="shared" si="0"/>
        <v>712.92412877222046</v>
      </c>
      <c r="S66" s="62">
        <f ca="1">AVERAGE(OFFSET($R$3,0,0,'Données projet'!$E$9+1,1))-AVERAGE(OFFSET($H$3,0,0,'Données projet'!$E$9+1,1))</f>
        <v>375.51430445321802</v>
      </c>
      <c r="T66" s="62">
        <f t="shared" si="34"/>
        <v>334.3112657507022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19.166666666666668</v>
      </c>
      <c r="N67" s="14">
        <f>IF('Données projet'!$A$36&gt;35,N66+M67-V66,IF(A67&lt;'Données projet'!$A$36,$K$205^A67,IF(A67='Données projet'!$A$36,'Données projet'!$B$36,N66+M67-V66)))</f>
        <v>461.66666666666634</v>
      </c>
      <c r="O67" s="14">
        <f>N67*VLOOKUP('Données projet'!$B$9,Paramètres!$A$1:$I$89,3,0)*VLOOKUP('Données projet'!$B$9,Paramètres!$A$1:$I$89,5,0)</f>
        <v>216.05999999999983</v>
      </c>
      <c r="P67" s="14">
        <f t="shared" si="33"/>
        <v>53.25764761128822</v>
      </c>
      <c r="Q67" s="22">
        <f t="shared" ref="Q67:Q98" si="54">(O67+P67)*0.475*44/12</f>
        <v>469.06156958966</v>
      </c>
      <c r="R67" s="62">
        <f t="shared" ref="R67:R130" si="55">Q67+(I67+J67)*44/12</f>
        <v>732.48592174921475</v>
      </c>
      <c r="S67" s="62">
        <f ca="1">AVERAGE(OFFSET($R$3,0,0,'Données projet'!$E$9+1,1))-AVERAGE(OFFSET($H$3,0,0,'Données projet'!$E$9+1,1))</f>
        <v>375.51430445321802</v>
      </c>
      <c r="T67" s="62">
        <f t="shared" si="34"/>
        <v>334.3112657507022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19.166666666666668</v>
      </c>
      <c r="N68" s="14">
        <f>IF('Données projet'!$A$36&gt;35,N67+M68-V67,IF(A68&lt;'Données projet'!$A$36,$K$205^A68,IF(A68='Données projet'!$A$36,'Données projet'!$B$36,N67+M68-V67)))</f>
        <v>480.83333333333303</v>
      </c>
      <c r="O68" s="14">
        <f>N68*VLOOKUP('Données projet'!$B$9,Paramètres!$A$1:$I$89,3,0)*VLOOKUP('Données projet'!$B$9,Paramètres!$A$1:$I$89,5,0)</f>
        <v>225.02999999999986</v>
      </c>
      <c r="P68" s="14">
        <f t="shared" si="33"/>
        <v>55.206688855897156</v>
      </c>
      <c r="Q68" s="22">
        <f t="shared" si="54"/>
        <v>488.07889975735389</v>
      </c>
      <c r="R68" s="62">
        <f t="shared" si="55"/>
        <v>752.0221058738091</v>
      </c>
      <c r="S68" s="62">
        <f ca="1">AVERAGE(OFFSET($R$3,0,0,'Données projet'!$E$9+1,1))-AVERAGE(OFFSET($H$3,0,0,'Données projet'!$E$9+1,1))</f>
        <v>375.51430445321802</v>
      </c>
      <c r="T68" s="62">
        <f t="shared" si="34"/>
        <v>334.3112657507022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500</v>
      </c>
      <c r="L69" s="13">
        <f>VLOOKUP(A69,'Données projet'!$A$35:$I$55,9,0)</f>
        <v>19.166666666666668</v>
      </c>
      <c r="M69" s="13">
        <f t="array" ref="M69">INDEX(L:L,MIN(IF(ISNUMBER(L69:L265),ROW(L69:L265),"")))</f>
        <v>19.166666666666668</v>
      </c>
      <c r="N69" s="14">
        <f>IF('Données projet'!$A$36&gt;35,N68+M69-V68,IF(A69&lt;'Données projet'!$A$36,$K$205^A69,IF(A69='Données projet'!$A$36,'Données projet'!$B$36,N68+M69-V68)))</f>
        <v>499.99999999999972</v>
      </c>
      <c r="O69" s="14">
        <f>N69*VLOOKUP('Données projet'!$B$9,Paramètres!$A$1:$I$89,3,0)*VLOOKUP('Données projet'!$B$9,Paramètres!$A$1:$I$89,5,0)</f>
        <v>233.99999999999986</v>
      </c>
      <c r="P69" s="14">
        <f t="shared" ref="P69:P132" si="87">EXP(-1.0587+0.8836*LN(O69)+0.284)</f>
        <v>57.14670524255709</v>
      </c>
      <c r="Q69" s="22">
        <f t="shared" si="54"/>
        <v>507.08051163078659</v>
      </c>
      <c r="R69" s="62">
        <f t="shared" si="55"/>
        <v>771.53357074797373</v>
      </c>
      <c r="S69" s="62">
        <f ca="1">AVERAGE(OFFSET($R$3,0,0,'Données projet'!$E$9+1,1))-AVERAGE(OFFSET($H$3,0,0,'Données projet'!$E$9+1,1))</f>
        <v>375.51430445321802</v>
      </c>
      <c r="T69" s="62">
        <f t="shared" ref="T69:T132" si="88">$T$3</f>
        <v>334.3112657507022</v>
      </c>
      <c r="U69" s="16">
        <f>IF(ISNA(VLOOKUP(A69,'Données projet'!$A$35:$I$55,3,0)),0,VLOOKUP(A69,'Données projet'!$A$35:$I$55,3,0))</f>
        <v>5</v>
      </c>
      <c r="V69" s="16">
        <f>IF(ISNA(VLOOKUP(A69,'Données projet'!$A$35:$I$55,4,0)),0,VLOOKUP(A69,'Données projet'!$A$35:$I$55,4,0))</f>
        <v>88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18.5</v>
      </c>
      <c r="N70" s="14">
        <f>IF('Données projet'!$A$36&gt;35,N69+M70-V69,IF(A70&lt;'Données projet'!$A$36,$K$205^A70,IF(A70='Données projet'!$A$36,'Données projet'!$B$36,N69+M70-V69)))</f>
        <v>430.49999999999977</v>
      </c>
      <c r="O70" s="14">
        <f>N70*VLOOKUP('Données projet'!$B$9,Paramètres!$A$1:$I$89,3,0)*VLOOKUP('Données projet'!$B$9,Paramètres!$A$1:$I$89,5,0)</f>
        <v>201.47399999999988</v>
      </c>
      <c r="P70" s="14">
        <f t="shared" si="87"/>
        <v>50.067969742315285</v>
      </c>
      <c r="Q70" s="22">
        <f t="shared" si="54"/>
        <v>438.10226396786555</v>
      </c>
      <c r="R70" s="62">
        <f t="shared" si="55"/>
        <v>703.05633127608246</v>
      </c>
      <c r="S70" s="62">
        <f ca="1">AVERAGE(OFFSET($R$3,0,0,'Données projet'!$E$9+1,1))-AVERAGE(OFFSET($H$3,0,0,'Données projet'!$E$9+1,1))</f>
        <v>375.51430445321802</v>
      </c>
      <c r="T70" s="62">
        <f t="shared" si="88"/>
        <v>334.3112657507022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18.5</v>
      </c>
      <c r="N71" s="14">
        <f>IF('Données projet'!$A$36&gt;35,N70+M71-V70,IF(A71&lt;'Données projet'!$A$36,$K$205^A71,IF(A71='Données projet'!$A$36,'Données projet'!$B$36,N70+M71-V70)))</f>
        <v>448.99999999999977</v>
      </c>
      <c r="O71" s="14">
        <f>N71*VLOOKUP('Données projet'!$B$9,Paramètres!$A$1:$I$89,3,0)*VLOOKUP('Données projet'!$B$9,Paramètres!$A$1:$I$89,5,0)</f>
        <v>210.13199999999989</v>
      </c>
      <c r="P71" s="14">
        <f t="shared" si="87"/>
        <v>51.964429964375014</v>
      </c>
      <c r="Q71" s="22">
        <f t="shared" si="54"/>
        <v>456.48461552128629</v>
      </c>
      <c r="R71" s="62">
        <f t="shared" si="55"/>
        <v>721.93099964850512</v>
      </c>
      <c r="S71" s="62">
        <f ca="1">AVERAGE(OFFSET($R$3,0,0,'Données projet'!$E$9+1,1))-AVERAGE(OFFSET($H$3,0,0,'Données projet'!$E$9+1,1))</f>
        <v>375.51430445321802</v>
      </c>
      <c r="T71" s="62">
        <f t="shared" si="88"/>
        <v>334.3112657507022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18.5</v>
      </c>
      <c r="N72" s="14">
        <f>IF('Données projet'!$A$36&gt;35,N71+M72-V71,IF(A72&lt;'Données projet'!$A$36,$K$205^A72,IF(A72='Données projet'!$A$36,'Données projet'!$B$36,N71+M72-V71)))</f>
        <v>467.49999999999977</v>
      </c>
      <c r="O72" s="14">
        <f>N72*VLOOKUP('Données projet'!$B$9,Paramètres!$A$1:$I$89,3,0)*VLOOKUP('Données projet'!$B$9,Paramètres!$A$1:$I$89,5,0)</f>
        <v>218.78999999999991</v>
      </c>
      <c r="P72" s="14">
        <f t="shared" si="87"/>
        <v>53.851813843863511</v>
      </c>
      <c r="Q72" s="22">
        <f t="shared" si="54"/>
        <v>474.85115911139542</v>
      </c>
      <c r="R72" s="62">
        <f t="shared" si="55"/>
        <v>740.78131946146198</v>
      </c>
      <c r="S72" s="62">
        <f ca="1">AVERAGE(OFFSET($R$3,0,0,'Données projet'!$E$9+1,1))-AVERAGE(OFFSET($H$3,0,0,'Données projet'!$E$9+1,1))</f>
        <v>375.51430445321802</v>
      </c>
      <c r="T72" s="62">
        <f t="shared" si="88"/>
        <v>334.3112657507022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18.5</v>
      </c>
      <c r="N73" s="14">
        <f>IF('Données projet'!$A$36&gt;35,N72+M73-V72,IF(A73&lt;'Données projet'!$A$36,$K$205^A73,IF(A73='Données projet'!$A$36,'Données projet'!$B$36,N72+M73-V72)))</f>
        <v>485.99999999999977</v>
      </c>
      <c r="O73" s="14">
        <f>N73*VLOOKUP('Données projet'!$B$9,Paramètres!$A$1:$I$89,3,0)*VLOOKUP('Données projet'!$B$9,Paramètres!$A$1:$I$89,5,0)</f>
        <v>227.44799999999989</v>
      </c>
      <c r="P73" s="14">
        <f t="shared" si="87"/>
        <v>55.730521649800686</v>
      </c>
      <c r="Q73" s="22">
        <f t="shared" si="54"/>
        <v>493.2025918734027</v>
      </c>
      <c r="R73" s="62">
        <f t="shared" si="55"/>
        <v>759.60813601041218</v>
      </c>
      <c r="S73" s="62">
        <f ca="1">AVERAGE(OFFSET($R$3,0,0,'Données projet'!$E$9+1,1))-AVERAGE(OFFSET($H$3,0,0,'Données projet'!$E$9+1,1))</f>
        <v>375.51430445321802</v>
      </c>
      <c r="T73" s="62">
        <f t="shared" si="88"/>
        <v>334.3112657507022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18.5</v>
      </c>
      <c r="N74" s="14">
        <f>IF('Données projet'!$A$36&gt;35,N73+M74-V73,IF(A74&lt;'Données projet'!$A$36,$K$205^A74,IF(A74='Données projet'!$A$36,'Données projet'!$B$36,N73+M74-V73)))</f>
        <v>504.49999999999977</v>
      </c>
      <c r="O74" s="14">
        <f>N74*VLOOKUP('Données projet'!$B$9,Paramètres!$A$1:$I$89,3,0)*VLOOKUP('Données projet'!$B$9,Paramètres!$A$1:$I$89,5,0)</f>
        <v>236.10599999999991</v>
      </c>
      <c r="P74" s="14">
        <f t="shared" si="87"/>
        <v>57.600921452083711</v>
      </c>
      <c r="Q74" s="22">
        <f t="shared" si="54"/>
        <v>511.53955486237896</v>
      </c>
      <c r="R74" s="62">
        <f t="shared" si="55"/>
        <v>778.41223594042685</v>
      </c>
      <c r="S74" s="62">
        <f ca="1">AVERAGE(OFFSET($R$3,0,0,'Données projet'!$E$9+1,1))-AVERAGE(OFFSET($H$3,0,0,'Données projet'!$E$9+1,1))</f>
        <v>375.51430445321802</v>
      </c>
      <c r="T74" s="62">
        <f t="shared" si="88"/>
        <v>334.3112657507022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>
        <f>VLOOKUP(A75,'Données projet'!$A$35:$I$55,2,0)</f>
        <v>523</v>
      </c>
      <c r="L75" s="13">
        <f>VLOOKUP(A75,'Données projet'!$A$35:$I$55,9,0)</f>
        <v>18.5</v>
      </c>
      <c r="M75" s="13">
        <f t="array" ref="M75">INDEX(L:L,MIN(IF(ISNUMBER(L75:L271),ROW(L75:L271),"")))</f>
        <v>18.5</v>
      </c>
      <c r="N75" s="14">
        <f>IF('Données projet'!$A$36&gt;35,N74+M75-V74,IF(A75&lt;'Données projet'!$A$36,$K$205^A75,IF(A75='Données projet'!$A$36,'Données projet'!$B$36,N74+M75-V74)))</f>
        <v>522.99999999999977</v>
      </c>
      <c r="O75" s="14">
        <f>N75*VLOOKUP('Données projet'!$B$9,Paramètres!$A$1:$I$89,3,0)*VLOOKUP('Données projet'!$B$9,Paramètres!$A$1:$I$89,5,0)</f>
        <v>244.7639999999999</v>
      </c>
      <c r="P75" s="14">
        <f t="shared" si="87"/>
        <v>59.463352796691375</v>
      </c>
      <c r="Q75" s="22">
        <f t="shared" si="54"/>
        <v>529.86263945423718</v>
      </c>
      <c r="R75" s="62">
        <f t="shared" si="55"/>
        <v>797.19435369175835</v>
      </c>
      <c r="S75" s="62">
        <f ca="1">AVERAGE(OFFSET($R$3,0,0,'Données projet'!$E$9+1,1))-AVERAGE(OFFSET($H$3,0,0,'Données projet'!$E$9+1,1))</f>
        <v>375.51430445321802</v>
      </c>
      <c r="T75" s="62">
        <f t="shared" si="88"/>
        <v>334.3112657507022</v>
      </c>
      <c r="U75" s="16">
        <f>IF(ISNA(VLOOKUP(A75,'Données projet'!$A$35:$I$55,3,0)),0,VLOOKUP(A75,'Données projet'!$A$35:$I$55,3,0))</f>
        <v>6</v>
      </c>
      <c r="V75" s="16">
        <f>IF(ISNA(VLOOKUP(A75,'Données projet'!$A$35:$I$55,4,0)),0,VLOOKUP(A75,'Données projet'!$A$35:$I$55,4,0))</f>
        <v>87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17.166666666666668</v>
      </c>
      <c r="N76" s="14">
        <f>IF('Données projet'!$A$36&gt;35,N75+M76-V75,IF(A76&lt;'Données projet'!$A$36,$K$205^A76,IF(A76='Données projet'!$A$36,'Données projet'!$B$36,N75+M76-V75)))</f>
        <v>453.1666666666664</v>
      </c>
      <c r="O76" s="14">
        <f>N76*VLOOKUP('Données projet'!$B$9,Paramètres!$A$1:$I$89,3,0)*VLOOKUP('Données projet'!$B$9,Paramètres!$A$1:$I$89,5,0)</f>
        <v>212.08199999999988</v>
      </c>
      <c r="P76" s="14">
        <f t="shared" si="87"/>
        <v>52.390293521635037</v>
      </c>
      <c r="Q76" s="22">
        <f t="shared" si="54"/>
        <v>460.62257788351417</v>
      </c>
      <c r="R76" s="62">
        <f t="shared" si="55"/>
        <v>728.4053620814359</v>
      </c>
      <c r="S76" s="62">
        <f ca="1">AVERAGE(OFFSET($R$3,0,0,'Données projet'!$E$9+1,1))-AVERAGE(OFFSET($H$3,0,0,'Données projet'!$E$9+1,1))</f>
        <v>375.51430445321802</v>
      </c>
      <c r="T76" s="62">
        <f t="shared" si="88"/>
        <v>334.3112657507022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17.166666666666668</v>
      </c>
      <c r="N77" s="14">
        <f>IF('Données projet'!$A$36&gt;35,N76+M77-V76,IF(A77&lt;'Données projet'!$A$36,$K$205^A77,IF(A77='Données projet'!$A$36,'Données projet'!$B$36,N76+M77-V76)))</f>
        <v>470.33333333333309</v>
      </c>
      <c r="O77" s="14">
        <f>N77*VLOOKUP('Données projet'!$B$9,Paramètres!$A$1:$I$89,3,0)*VLOOKUP('Données projet'!$B$9,Paramètres!$A$1:$I$89,5,0)</f>
        <v>220.1159999999999</v>
      </c>
      <c r="P77" s="14">
        <f t="shared" si="87"/>
        <v>54.140096973925921</v>
      </c>
      <c r="Q77" s="22">
        <f t="shared" si="54"/>
        <v>477.66270222958747</v>
      </c>
      <c r="R77" s="62">
        <f t="shared" si="55"/>
        <v>745.88873133253833</v>
      </c>
      <c r="S77" s="62">
        <f ca="1">AVERAGE(OFFSET($R$3,0,0,'Données projet'!$E$9+1,1))-AVERAGE(OFFSET($H$3,0,0,'Données projet'!$E$9+1,1))</f>
        <v>375.51430445321802</v>
      </c>
      <c r="T77" s="62">
        <f t="shared" si="88"/>
        <v>334.3112657507022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17.166666666666668</v>
      </c>
      <c r="N78" s="14">
        <f>IF('Données projet'!$A$36&gt;35,N77+M78-V77,IF(A78&lt;'Données projet'!$A$36,$K$205^A78,IF(A78='Données projet'!$A$36,'Données projet'!$B$36,N77+M78-V77)))</f>
        <v>487.49999999999977</v>
      </c>
      <c r="O78" s="14">
        <f>N78*VLOOKUP('Données projet'!$B$9,Paramètres!$A$1:$I$89,3,0)*VLOOKUP('Données projet'!$B$9,Paramètres!$A$1:$I$89,5,0)</f>
        <v>228.14999999999989</v>
      </c>
      <c r="P78" s="14">
        <f t="shared" si="87"/>
        <v>55.882480456847652</v>
      </c>
      <c r="Q78" s="22">
        <f t="shared" si="54"/>
        <v>494.68990346234278</v>
      </c>
      <c r="R78" s="62">
        <f t="shared" si="55"/>
        <v>763.35148816216758</v>
      </c>
      <c r="S78" s="62">
        <f ca="1">AVERAGE(OFFSET($R$3,0,0,'Données projet'!$E$9+1,1))-AVERAGE(OFFSET($H$3,0,0,'Données projet'!$E$9+1,1))</f>
        <v>375.51430445321802</v>
      </c>
      <c r="T78" s="62">
        <f t="shared" si="88"/>
        <v>334.3112657507022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17.166666666666668</v>
      </c>
      <c r="N79" s="14">
        <f>IF('Données projet'!$A$36&gt;35,N78+M79-V78,IF(A79&lt;'Données projet'!$A$36,$K$205^A79,IF(A79='Données projet'!$A$36,'Données projet'!$B$36,N78+M79-V78)))</f>
        <v>504.66666666666646</v>
      </c>
      <c r="O79" s="14">
        <f>N79*VLOOKUP('Données projet'!$B$9,Paramètres!$A$1:$I$89,3,0)*VLOOKUP('Données projet'!$B$9,Paramètres!$A$1:$I$89,5,0)</f>
        <v>236.18399999999991</v>
      </c>
      <c r="P79" s="14">
        <f t="shared" si="87"/>
        <v>57.617735193655143</v>
      </c>
      <c r="Q79" s="22">
        <f t="shared" si="54"/>
        <v>511.70468879561594</v>
      </c>
      <c r="R79" s="62">
        <f t="shared" si="55"/>
        <v>780.79427317646537</v>
      </c>
      <c r="S79" s="62">
        <f ca="1">AVERAGE(OFFSET($R$3,0,0,'Données projet'!$E$9+1,1))-AVERAGE(OFFSET($H$3,0,0,'Données projet'!$E$9+1,1))</f>
        <v>375.51430445321802</v>
      </c>
      <c r="T79" s="62">
        <f t="shared" si="88"/>
        <v>334.3112657507022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17.166666666666668</v>
      </c>
      <c r="N80" s="14">
        <f>IF('Données projet'!$A$36&gt;35,N79+M80-V79,IF(A80&lt;'Données projet'!$A$36,$K$205^A80,IF(A80='Données projet'!$A$36,'Données projet'!$B$36,N79+M80-V79)))</f>
        <v>521.83333333333314</v>
      </c>
      <c r="O80" s="14">
        <f>N80*VLOOKUP('Données projet'!$B$9,Paramètres!$A$1:$I$89,3,0)*VLOOKUP('Données projet'!$B$9,Paramètres!$A$1:$I$89,5,0)</f>
        <v>244.2179999999999</v>
      </c>
      <c r="P80" s="14">
        <f t="shared" si="87"/>
        <v>59.346131471271747</v>
      </c>
      <c r="Q80" s="22">
        <f t="shared" si="54"/>
        <v>528.70752897913144</v>
      </c>
      <c r="R80" s="62">
        <f t="shared" si="55"/>
        <v>798.21768820340367</v>
      </c>
      <c r="S80" s="62">
        <f ca="1">AVERAGE(OFFSET($R$3,0,0,'Données projet'!$E$9+1,1))-AVERAGE(OFFSET($H$3,0,0,'Données projet'!$E$9+1,1))</f>
        <v>375.51430445321802</v>
      </c>
      <c r="T80" s="62">
        <f t="shared" si="88"/>
        <v>334.3112657507022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>
        <f>VLOOKUP(A81,'Données projet'!$A$35:$I$55,2,0)</f>
        <v>539</v>
      </c>
      <c r="L81" s="13">
        <f>VLOOKUP(A81,'Données projet'!$A$35:$I$55,9,0)</f>
        <v>17.166666666666668</v>
      </c>
      <c r="M81" s="13">
        <f t="array" ref="M81">INDEX(L:L,MIN(IF(ISNUMBER(L81:L277),ROW(L81:L277),"")))</f>
        <v>17.166666666666668</v>
      </c>
      <c r="N81" s="14">
        <f>IF('Données projet'!$A$36&gt;35,N80+M81-V80,IF(A81&lt;'Données projet'!$A$36,$K$205^A81,IF(A81='Données projet'!$A$36,'Données projet'!$B$36,N80+M81-V80)))</f>
        <v>538.99999999999977</v>
      </c>
      <c r="O81" s="14">
        <f>N81*VLOOKUP('Données projet'!$B$9,Paramètres!$A$1:$I$89,3,0)*VLOOKUP('Données projet'!$B$9,Paramètres!$A$1:$I$89,5,0)</f>
        <v>252.2519999999999</v>
      </c>
      <c r="P81" s="14">
        <f t="shared" si="87"/>
        <v>61.067920784150772</v>
      </c>
      <c r="Q81" s="22">
        <f t="shared" si="54"/>
        <v>545.69886203239582</v>
      </c>
      <c r="R81" s="62">
        <f t="shared" si="55"/>
        <v>815.62230006682205</v>
      </c>
      <c r="S81" s="62">
        <f ca="1">AVERAGE(OFFSET($R$3,0,0,'Données projet'!$E$9+1,1))-AVERAGE(OFFSET($H$3,0,0,'Données projet'!$E$9+1,1))</f>
        <v>375.51430445321802</v>
      </c>
      <c r="T81" s="62">
        <f t="shared" si="88"/>
        <v>334.3112657507022</v>
      </c>
      <c r="U81" s="16">
        <f>IF(ISNA(VLOOKUP(A81,'Données projet'!$A$35:$I$55,3,0)),0,VLOOKUP(A81,'Données projet'!$A$35:$I$55,3,0))</f>
        <v>7</v>
      </c>
      <c r="V81" s="16">
        <f>IF(ISNA(VLOOKUP(A81,'Données projet'!$A$35:$I$55,4,0)),0,VLOOKUP(A81,'Données projet'!$A$35:$I$55,4,0))</f>
        <v>82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16.166666666666668</v>
      </c>
      <c r="N82" s="14">
        <f>IF('Données projet'!$A$36&gt;35,N81+M82-V81,IF(A82&lt;'Données projet'!$A$36,$K$205^A82,IF(A82='Données projet'!$A$36,'Données projet'!$B$36,N81+M82-V81)))</f>
        <v>473.1666666666664</v>
      </c>
      <c r="O82" s="14">
        <f>N82*VLOOKUP('Données projet'!$B$9,Paramètres!$A$1:$I$89,3,0)*VLOOKUP('Données projet'!$B$9,Paramètres!$A$1:$I$89,5,0)</f>
        <v>221.44199999999987</v>
      </c>
      <c r="P82" s="14">
        <f t="shared" si="87"/>
        <v>54.428178028031503</v>
      </c>
      <c r="Q82" s="22">
        <f t="shared" si="54"/>
        <v>480.47389339882125</v>
      </c>
      <c r="R82" s="62">
        <f t="shared" si="55"/>
        <v>750.80344077999825</v>
      </c>
      <c r="S82" s="62">
        <f ca="1">AVERAGE(OFFSET($R$3,0,0,'Données projet'!$E$9+1,1))-AVERAGE(OFFSET($H$3,0,0,'Données projet'!$E$9+1,1))</f>
        <v>375.51430445321802</v>
      </c>
      <c r="T82" s="62">
        <f t="shared" si="88"/>
        <v>334.3112657507022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16.166666666666668</v>
      </c>
      <c r="N83" s="14">
        <f>IF('Données projet'!$A$36&gt;35,N82+M83-V82,IF(A83&lt;'Données projet'!$A$36,$K$205^A83,IF(A83='Données projet'!$A$36,'Données projet'!$B$36,N82+M83-V82)))</f>
        <v>489.33333333333309</v>
      </c>
      <c r="O83" s="14">
        <f>N83*VLOOKUP('Données projet'!$B$9,Paramètres!$A$1:$I$89,3,0)*VLOOKUP('Données projet'!$B$9,Paramètres!$A$1:$I$89,5,0)</f>
        <v>229.0079999999999</v>
      </c>
      <c r="P83" s="14">
        <f t="shared" si="87"/>
        <v>56.068134009566236</v>
      </c>
      <c r="Q83" s="22">
        <f t="shared" si="54"/>
        <v>496.50760006666104</v>
      </c>
      <c r="R83" s="62">
        <f t="shared" si="55"/>
        <v>767.23621170534716</v>
      </c>
      <c r="S83" s="62">
        <f ca="1">AVERAGE(OFFSET($R$3,0,0,'Données projet'!$E$9+1,1))-AVERAGE(OFFSET($H$3,0,0,'Données projet'!$E$9+1,1))</f>
        <v>375.51430445321802</v>
      </c>
      <c r="T83" s="62">
        <f t="shared" si="88"/>
        <v>334.3112657507022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16.166666666666668</v>
      </c>
      <c r="N84" s="14">
        <f>IF('Données projet'!$A$36&gt;35,N83+M84-V83,IF(A84&lt;'Données projet'!$A$36,$K$205^A84,IF(A84='Données projet'!$A$36,'Données projet'!$B$36,N83+M84-V83)))</f>
        <v>505.49999999999977</v>
      </c>
      <c r="O84" s="14">
        <f>N84*VLOOKUP('Données projet'!$B$9,Paramètres!$A$1:$I$89,3,0)*VLOOKUP('Données projet'!$B$9,Paramètres!$A$1:$I$89,5,0)</f>
        <v>236.57399999999987</v>
      </c>
      <c r="P84" s="14">
        <f t="shared" si="87"/>
        <v>57.701794211350432</v>
      </c>
      <c r="Q84" s="22">
        <f t="shared" si="54"/>
        <v>512.53034158476851</v>
      </c>
      <c r="R84" s="62">
        <f t="shared" si="55"/>
        <v>783.65109460826989</v>
      </c>
      <c r="S84" s="62">
        <f ca="1">AVERAGE(OFFSET($R$3,0,0,'Données projet'!$E$9+1,1))-AVERAGE(OFFSET($H$3,0,0,'Données projet'!$E$9+1,1))</f>
        <v>375.51430445321802</v>
      </c>
      <c r="T84" s="62">
        <f t="shared" si="88"/>
        <v>334.3112657507022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16.166666666666668</v>
      </c>
      <c r="N85" s="14">
        <f>IF('Données projet'!$A$36&gt;35,N84+M85-V84,IF(A85&lt;'Données projet'!$A$36,$K$205^A85,IF(A85='Données projet'!$A$36,'Données projet'!$B$36,N84+M85-V84)))</f>
        <v>521.6666666666664</v>
      </c>
      <c r="O85" s="14">
        <f>N85*VLOOKUP('Données projet'!$B$9,Paramètres!$A$1:$I$89,3,0)*VLOOKUP('Données projet'!$B$9,Paramètres!$A$1:$I$89,5,0)</f>
        <v>244.13999999999987</v>
      </c>
      <c r="P85" s="14">
        <f t="shared" si="87"/>
        <v>59.329383078866051</v>
      </c>
      <c r="Q85" s="22">
        <f t="shared" si="54"/>
        <v>528.5425088623582</v>
      </c>
      <c r="R85" s="62">
        <f t="shared" si="55"/>
        <v>800.04860049434524</v>
      </c>
      <c r="S85" s="62">
        <f ca="1">AVERAGE(OFFSET($R$3,0,0,'Données projet'!$E$9+1,1))-AVERAGE(OFFSET($H$3,0,0,'Données projet'!$E$9+1,1))</f>
        <v>375.51430445321802</v>
      </c>
      <c r="T85" s="62">
        <f t="shared" si="88"/>
        <v>334.3112657507022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16.166666666666668</v>
      </c>
      <c r="N86" s="14">
        <f>IF('Données projet'!$A$36&gt;35,N85+M86-V85,IF(A86&lt;'Données projet'!$A$36,$K$205^A86,IF(A86='Données projet'!$A$36,'Données projet'!$B$36,N85+M86-V85)))</f>
        <v>537.83333333333303</v>
      </c>
      <c r="O86" s="14">
        <f>N86*VLOOKUP('Données projet'!$B$9,Paramètres!$A$1:$I$89,3,0)*VLOOKUP('Données projet'!$B$9,Paramètres!$A$1:$I$89,5,0)</f>
        <v>251.70599999999988</v>
      </c>
      <c r="P86" s="14">
        <f t="shared" si="87"/>
        <v>60.951110356020116</v>
      </c>
      <c r="Q86" s="22">
        <f t="shared" si="54"/>
        <v>544.54446720340138</v>
      </c>
      <c r="R86" s="62">
        <f t="shared" si="55"/>
        <v>816.42921268050486</v>
      </c>
      <c r="S86" s="62">
        <f ca="1">AVERAGE(OFFSET($R$3,0,0,'Données projet'!$E$9+1,1))-AVERAGE(OFFSET($H$3,0,0,'Données projet'!$E$9+1,1))</f>
        <v>375.51430445321802</v>
      </c>
      <c r="T86" s="62">
        <f t="shared" si="88"/>
        <v>334.3112657507022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554</v>
      </c>
      <c r="L87" s="13">
        <f>VLOOKUP(A87,'Données projet'!$A$35:$I$55,9,0)</f>
        <v>16.166666666666668</v>
      </c>
      <c r="M87" s="13">
        <f t="array" ref="M87">INDEX(L:L,MIN(IF(ISNUMBER(L87:L283),ROW(L87:L283),"")))</f>
        <v>16.166666666666668</v>
      </c>
      <c r="N87" s="14">
        <f>IF('Données projet'!$A$36&gt;35,N86+M87-V86,IF(A87&lt;'Données projet'!$A$36,$K$205^A87,IF(A87='Données projet'!$A$36,'Données projet'!$B$36,N86+M87-V86)))</f>
        <v>553.99999999999966</v>
      </c>
      <c r="O87" s="14">
        <f>N87*VLOOKUP('Données projet'!$B$9,Paramètres!$A$1:$I$89,3,0)*VLOOKUP('Données projet'!$B$9,Paramètres!$A$1:$I$89,5,0)</f>
        <v>259.27199999999988</v>
      </c>
      <c r="P87" s="14">
        <f t="shared" si="87"/>
        <v>62.567172460757938</v>
      </c>
      <c r="Q87" s="22">
        <f t="shared" si="54"/>
        <v>560.53655870248656</v>
      </c>
      <c r="R87" s="62">
        <f t="shared" si="55"/>
        <v>832.79338922703687</v>
      </c>
      <c r="S87" s="62">
        <f ca="1">AVERAGE(OFFSET($R$3,0,0,'Données projet'!$E$9+1,1))-AVERAGE(OFFSET($H$3,0,0,'Données projet'!$E$9+1,1))</f>
        <v>375.51430445321802</v>
      </c>
      <c r="T87" s="62">
        <f t="shared" si="88"/>
        <v>334.3112657507022</v>
      </c>
      <c r="U87" s="16">
        <f>IF(ISNA(VLOOKUP(A87,'Données projet'!$A$35:$I$55,3,0)),0,VLOOKUP(A87,'Données projet'!$A$35:$I$55,3,0))</f>
        <v>8</v>
      </c>
      <c r="V87" s="16">
        <f>IF(ISNA(VLOOKUP(A87,'Données projet'!$A$35:$I$55,4,0)),0,VLOOKUP(A87,'Données projet'!$A$35:$I$55,4,0))</f>
        <v>554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-3.4106051316484809E-13</v>
      </c>
      <c r="O88" s="14">
        <f>N88*VLOOKUP('Données projet'!$B$9,Paramètres!$A$1:$I$89,3,0)*VLOOKUP('Données projet'!$B$9,Paramètres!$A$1:$I$89,5,0)</f>
        <v>-1.5961632016114892E-13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375.51430445321802</v>
      </c>
      <c r="T88" s="62">
        <f t="shared" si="88"/>
        <v>334.3112657507022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-3.4106051316484809E-13</v>
      </c>
      <c r="O89" s="14">
        <f>N89*VLOOKUP('Données projet'!$B$9,Paramètres!$A$1:$I$89,3,0)*VLOOKUP('Données projet'!$B$9,Paramètres!$A$1:$I$89,5,0)</f>
        <v>-1.5961632016114892E-13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375.51430445321802</v>
      </c>
      <c r="T89" s="62">
        <f t="shared" si="88"/>
        <v>334.3112657507022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-3.4106051316484809E-13</v>
      </c>
      <c r="O90" s="14">
        <f>N90*VLOOKUP('Données projet'!$B$9,Paramètres!$A$1:$I$89,3,0)*VLOOKUP('Données projet'!$B$9,Paramètres!$A$1:$I$89,5,0)</f>
        <v>-1.5961632016114892E-13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375.51430445321802</v>
      </c>
      <c r="T90" s="62">
        <f t="shared" si="88"/>
        <v>334.3112657507022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-3.4106051316484809E-13</v>
      </c>
      <c r="O91" s="14">
        <f>N91*VLOOKUP('Données projet'!$B$9,Paramètres!$A$1:$I$89,3,0)*VLOOKUP('Données projet'!$B$9,Paramètres!$A$1:$I$89,5,0)</f>
        <v>-1.5961632016114892E-13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375.51430445321802</v>
      </c>
      <c r="T91" s="62">
        <f t="shared" si="88"/>
        <v>334.3112657507022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-3.4106051316484809E-13</v>
      </c>
      <c r="O92" s="14">
        <f>N92*VLOOKUP('Données projet'!$B$9,Paramètres!$A$1:$I$89,3,0)*VLOOKUP('Données projet'!$B$9,Paramètres!$A$1:$I$89,5,0)</f>
        <v>-1.5961632016114892E-13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375.51430445321802</v>
      </c>
      <c r="T92" s="62">
        <f t="shared" si="88"/>
        <v>334.3112657507022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-3.4106051316484809E-13</v>
      </c>
      <c r="O93" s="14">
        <f>N93*VLOOKUP('Données projet'!$B$9,Paramètres!$A$1:$I$89,3,0)*VLOOKUP('Données projet'!$B$9,Paramètres!$A$1:$I$89,5,0)</f>
        <v>-1.5961632016114892E-13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375.51430445321802</v>
      </c>
      <c r="T93" s="62">
        <f t="shared" si="88"/>
        <v>334.3112657507022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-3.4106051316484809E-13</v>
      </c>
      <c r="O94" s="14">
        <f>N94*VLOOKUP('Données projet'!$B$9,Paramètres!$A$1:$I$89,3,0)*VLOOKUP('Données projet'!$B$9,Paramètres!$A$1:$I$89,5,0)</f>
        <v>-1.5961632016114892E-13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375.51430445321802</v>
      </c>
      <c r="T94" s="62">
        <f t="shared" si="88"/>
        <v>334.3112657507022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-3.4106051316484809E-13</v>
      </c>
      <c r="O95" s="14">
        <f>N95*VLOOKUP('Données projet'!$B$9,Paramètres!$A$1:$I$89,3,0)*VLOOKUP('Données projet'!$B$9,Paramètres!$A$1:$I$89,5,0)</f>
        <v>-1.5961632016114892E-13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375.51430445321802</v>
      </c>
      <c r="T95" s="62">
        <f t="shared" si="88"/>
        <v>334.3112657507022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-3.4106051316484809E-13</v>
      </c>
      <c r="O96" s="14">
        <f>N96*VLOOKUP('Données projet'!$B$9,Paramètres!$A$1:$I$89,3,0)*VLOOKUP('Données projet'!$B$9,Paramètres!$A$1:$I$89,5,0)</f>
        <v>-1.5961632016114892E-13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375.51430445321802</v>
      </c>
      <c r="T96" s="62">
        <f t="shared" si="88"/>
        <v>334.3112657507022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-3.4106051316484809E-13</v>
      </c>
      <c r="O97" s="14">
        <f>N97*VLOOKUP('Données projet'!$B$9,Paramètres!$A$1:$I$89,3,0)*VLOOKUP('Données projet'!$B$9,Paramètres!$A$1:$I$89,5,0)</f>
        <v>-1.5961632016114892E-13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375.51430445321802</v>
      </c>
      <c r="T97" s="62">
        <f t="shared" si="88"/>
        <v>334.3112657507022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-3.4106051316484809E-13</v>
      </c>
      <c r="O98" s="14">
        <f>N98*VLOOKUP('Données projet'!$B$9,Paramètres!$A$1:$I$89,3,0)*VLOOKUP('Données projet'!$B$9,Paramètres!$A$1:$I$89,5,0)</f>
        <v>-1.5961632016114892E-13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375.51430445321802</v>
      </c>
      <c r="T98" s="62">
        <f t="shared" si="88"/>
        <v>334.3112657507022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-3.4106051316484809E-13</v>
      </c>
      <c r="O99" s="14">
        <f>N99*VLOOKUP('Données projet'!$B$9,Paramètres!$A$1:$I$89,3,0)*VLOOKUP('Données projet'!$B$9,Paramètres!$A$1:$I$89,5,0)</f>
        <v>-1.5961632016114892E-13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375.51430445321802</v>
      </c>
      <c r="T99" s="62">
        <f t="shared" si="88"/>
        <v>334.3112657507022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-3.4106051316484809E-13</v>
      </c>
      <c r="O100" s="14">
        <f>N100*VLOOKUP('Données projet'!$B$9,Paramètres!$A$1:$I$89,3,0)*VLOOKUP('Données projet'!$B$9,Paramètres!$A$1:$I$89,5,0)</f>
        <v>-1.5961632016114892E-13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375.51430445321802</v>
      </c>
      <c r="T100" s="62">
        <f t="shared" si="88"/>
        <v>334.3112657507022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-3.4106051316484809E-13</v>
      </c>
      <c r="O101" s="14">
        <f>N101*VLOOKUP('Données projet'!$B$9,Paramètres!$A$1:$I$89,3,0)*VLOOKUP('Données projet'!$B$9,Paramètres!$A$1:$I$89,5,0)</f>
        <v>-1.5961632016114892E-13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375.51430445321802</v>
      </c>
      <c r="T101" s="62">
        <f t="shared" si="88"/>
        <v>334.3112657507022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-3.4106051316484809E-13</v>
      </c>
      <c r="O102" s="14">
        <f>N102*VLOOKUP('Données projet'!$B$9,Paramètres!$A$1:$I$89,3,0)*VLOOKUP('Données projet'!$B$9,Paramètres!$A$1:$I$89,5,0)</f>
        <v>-1.5961632016114892E-13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375.51430445321802</v>
      </c>
      <c r="T102" s="62">
        <f t="shared" si="88"/>
        <v>334.3112657507022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-3.4106051316484809E-13</v>
      </c>
      <c r="O103" s="14">
        <f>N103*VLOOKUP('Données projet'!$B$9,Paramètres!$A$1:$I$89,3,0)*VLOOKUP('Données projet'!$B$9,Paramètres!$A$1:$I$89,5,0)</f>
        <v>-1.5961632016114892E-13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375.51430445321802</v>
      </c>
      <c r="T103" s="62">
        <f t="shared" si="88"/>
        <v>334.3112657507022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-3.4106051316484809E-13</v>
      </c>
      <c r="O104" s="14">
        <f>N104*VLOOKUP('Données projet'!$B$9,Paramètres!$A$1:$I$89,3,0)*VLOOKUP('Données projet'!$B$9,Paramètres!$A$1:$I$89,5,0)</f>
        <v>-1.5961632016114892E-13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375.51430445321802</v>
      </c>
      <c r="T104" s="62">
        <f t="shared" si="88"/>
        <v>334.3112657507022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-3.4106051316484809E-13</v>
      </c>
      <c r="O105" s="14">
        <f>N105*VLOOKUP('Données projet'!$B$9,Paramètres!$A$1:$I$89,3,0)*VLOOKUP('Données projet'!$B$9,Paramètres!$A$1:$I$89,5,0)</f>
        <v>-1.5961632016114892E-13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375.51430445321802</v>
      </c>
      <c r="T105" s="62">
        <f t="shared" si="88"/>
        <v>334.3112657507022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-3.4106051316484809E-13</v>
      </c>
      <c r="O106" s="14">
        <f>N106*VLOOKUP('Données projet'!$B$9,Paramètres!$A$1:$I$89,3,0)*VLOOKUP('Données projet'!$B$9,Paramètres!$A$1:$I$89,5,0)</f>
        <v>-1.5961632016114892E-13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375.51430445321802</v>
      </c>
      <c r="T106" s="62">
        <f t="shared" si="88"/>
        <v>334.3112657507022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-3.4106051316484809E-13</v>
      </c>
      <c r="O107" s="14">
        <f>N107*VLOOKUP('Données projet'!$B$9,Paramètres!$A$1:$I$89,3,0)*VLOOKUP('Données projet'!$B$9,Paramètres!$A$1:$I$89,5,0)</f>
        <v>-1.5961632016114892E-13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375.51430445321802</v>
      </c>
      <c r="T107" s="62">
        <f t="shared" si="88"/>
        <v>334.3112657507022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-3.4106051316484809E-13</v>
      </c>
      <c r="O108" s="14">
        <f>N108*VLOOKUP('Données projet'!$B$9,Paramètres!$A$1:$I$89,3,0)*VLOOKUP('Données projet'!$B$9,Paramètres!$A$1:$I$89,5,0)</f>
        <v>-1.5961632016114892E-13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375.51430445321802</v>
      </c>
      <c r="T108" s="62">
        <f t="shared" si="88"/>
        <v>334.3112657507022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-3.4106051316484809E-13</v>
      </c>
      <c r="O109" s="14">
        <f>N109*VLOOKUP('Données projet'!$B$9,Paramètres!$A$1:$I$89,3,0)*VLOOKUP('Données projet'!$B$9,Paramètres!$A$1:$I$89,5,0)</f>
        <v>-1.5961632016114892E-13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375.51430445321802</v>
      </c>
      <c r="T109" s="62">
        <f t="shared" si="88"/>
        <v>334.3112657507022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-3.4106051316484809E-13</v>
      </c>
      <c r="O110" s="14">
        <f>N110*VLOOKUP('Données projet'!$B$9,Paramètres!$A$1:$I$89,3,0)*VLOOKUP('Données projet'!$B$9,Paramètres!$A$1:$I$89,5,0)</f>
        <v>-1.5961632016114892E-13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375.51430445321802</v>
      </c>
      <c r="T110" s="62">
        <f t="shared" si="88"/>
        <v>334.3112657507022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-3.4106051316484809E-13</v>
      </c>
      <c r="O111" s="14">
        <f>N111*VLOOKUP('Données projet'!$B$9,Paramètres!$A$1:$I$89,3,0)*VLOOKUP('Données projet'!$B$9,Paramètres!$A$1:$I$89,5,0)</f>
        <v>-1.5961632016114892E-13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375.51430445321802</v>
      </c>
      <c r="T111" s="62">
        <f t="shared" si="88"/>
        <v>334.3112657507022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-3.4106051316484809E-13</v>
      </c>
      <c r="O112" s="14">
        <f>N112*VLOOKUP('Données projet'!$B$9,Paramètres!$A$1:$I$89,3,0)*VLOOKUP('Données projet'!$B$9,Paramètres!$A$1:$I$89,5,0)</f>
        <v>-1.5961632016114892E-13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375.51430445321802</v>
      </c>
      <c r="T112" s="62">
        <f t="shared" si="88"/>
        <v>334.3112657507022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-3.4106051316484809E-13</v>
      </c>
      <c r="O113" s="14">
        <f>N113*VLOOKUP('Données projet'!$B$9,Paramètres!$A$1:$I$89,3,0)*VLOOKUP('Données projet'!$B$9,Paramètres!$A$1:$I$89,5,0)</f>
        <v>-1.5961632016114892E-13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375.51430445321802</v>
      </c>
      <c r="T113" s="62">
        <f t="shared" si="88"/>
        <v>334.3112657507022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-3.4106051316484809E-13</v>
      </c>
      <c r="O114" s="14">
        <f>N114*VLOOKUP('Données projet'!$B$9,Paramètres!$A$1:$I$89,3,0)*VLOOKUP('Données projet'!$B$9,Paramètres!$A$1:$I$89,5,0)</f>
        <v>-1.5961632016114892E-13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375.51430445321802</v>
      </c>
      <c r="T114" s="62">
        <f t="shared" si="88"/>
        <v>334.3112657507022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-3.4106051316484809E-13</v>
      </c>
      <c r="O115" s="14">
        <f>N115*VLOOKUP('Données projet'!$B$9,Paramètres!$A$1:$I$89,3,0)*VLOOKUP('Données projet'!$B$9,Paramètres!$A$1:$I$89,5,0)</f>
        <v>-1.5961632016114892E-13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375.51430445321802</v>
      </c>
      <c r="T115" s="62">
        <f t="shared" si="88"/>
        <v>334.3112657507022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-3.4106051316484809E-13</v>
      </c>
      <c r="O116" s="14">
        <f>N116*VLOOKUP('Données projet'!$B$9,Paramètres!$A$1:$I$89,3,0)*VLOOKUP('Données projet'!$B$9,Paramètres!$A$1:$I$89,5,0)</f>
        <v>-1.5961632016114892E-13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375.51430445321802</v>
      </c>
      <c r="T116" s="62">
        <f t="shared" si="88"/>
        <v>334.3112657507022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-3.4106051316484809E-13</v>
      </c>
      <c r="O117" s="14">
        <f>N117*VLOOKUP('Données projet'!$B$9,Paramètres!$A$1:$I$89,3,0)*VLOOKUP('Données projet'!$B$9,Paramètres!$A$1:$I$89,5,0)</f>
        <v>-1.5961632016114892E-13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375.51430445321802</v>
      </c>
      <c r="T117" s="62">
        <f t="shared" si="88"/>
        <v>334.3112657507022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-3.4106051316484809E-13</v>
      </c>
      <c r="O118" s="14">
        <f>N118*VLOOKUP('Données projet'!$B$9,Paramètres!$A$1:$I$89,3,0)*VLOOKUP('Données projet'!$B$9,Paramètres!$A$1:$I$89,5,0)</f>
        <v>-1.5961632016114892E-13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375.51430445321802</v>
      </c>
      <c r="T118" s="62">
        <f t="shared" si="88"/>
        <v>334.3112657507022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-3.4106051316484809E-13</v>
      </c>
      <c r="O119" s="14">
        <f>N119*VLOOKUP('Données projet'!$B$9,Paramètres!$A$1:$I$89,3,0)*VLOOKUP('Données projet'!$B$9,Paramètres!$A$1:$I$89,5,0)</f>
        <v>-1.5961632016114892E-13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375.51430445321802</v>
      </c>
      <c r="T119" s="62">
        <f t="shared" si="88"/>
        <v>334.3112657507022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-3.4106051316484809E-13</v>
      </c>
      <c r="O120" s="14">
        <f>N120*VLOOKUP('Données projet'!$B$9,Paramètres!$A$1:$I$89,3,0)*VLOOKUP('Données projet'!$B$9,Paramètres!$A$1:$I$89,5,0)</f>
        <v>-1.5961632016114892E-13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375.51430445321802</v>
      </c>
      <c r="T120" s="62">
        <f t="shared" si="88"/>
        <v>334.3112657507022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-3.4106051316484809E-13</v>
      </c>
      <c r="O121" s="14">
        <f>N121*VLOOKUP('Données projet'!$B$9,Paramètres!$A$1:$I$89,3,0)*VLOOKUP('Données projet'!$B$9,Paramètres!$A$1:$I$89,5,0)</f>
        <v>-1.5961632016114892E-13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375.51430445321802</v>
      </c>
      <c r="T121" s="62">
        <f t="shared" si="88"/>
        <v>334.3112657507022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-3.4106051316484809E-13</v>
      </c>
      <c r="O122" s="14">
        <f>N122*VLOOKUP('Données projet'!$B$9,Paramètres!$A$1:$I$89,3,0)*VLOOKUP('Données projet'!$B$9,Paramètres!$A$1:$I$89,5,0)</f>
        <v>-1.5961632016114892E-13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375.51430445321802</v>
      </c>
      <c r="T122" s="62">
        <f t="shared" si="88"/>
        <v>334.3112657507022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-3.4106051316484809E-13</v>
      </c>
      <c r="O123" s="14">
        <f>N123*VLOOKUP('Données projet'!$B$9,Paramètres!$A$1:$I$89,3,0)*VLOOKUP('Données projet'!$B$9,Paramètres!$A$1:$I$89,5,0)</f>
        <v>-1.5961632016114892E-13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375.51430445321802</v>
      </c>
      <c r="T123" s="62">
        <f t="shared" si="88"/>
        <v>334.3112657507022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-3.4106051316484809E-13</v>
      </c>
      <c r="O124" s="14">
        <f>N124*VLOOKUP('Données projet'!$B$9,Paramètres!$A$1:$I$89,3,0)*VLOOKUP('Données projet'!$B$9,Paramètres!$A$1:$I$89,5,0)</f>
        <v>-1.5961632016114892E-13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375.51430445321802</v>
      </c>
      <c r="T124" s="62">
        <f t="shared" si="88"/>
        <v>334.3112657507022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-3.4106051316484809E-13</v>
      </c>
      <c r="O125" s="14">
        <f>N125*VLOOKUP('Données projet'!$B$9,Paramètres!$A$1:$I$89,3,0)*VLOOKUP('Données projet'!$B$9,Paramètres!$A$1:$I$89,5,0)</f>
        <v>-1.5961632016114892E-13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375.51430445321802</v>
      </c>
      <c r="T125" s="62">
        <f t="shared" si="88"/>
        <v>334.3112657507022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-3.4106051316484809E-13</v>
      </c>
      <c r="O126" s="14">
        <f>N126*VLOOKUP('Données projet'!$B$9,Paramètres!$A$1:$I$89,3,0)*VLOOKUP('Données projet'!$B$9,Paramètres!$A$1:$I$89,5,0)</f>
        <v>-1.5961632016114892E-13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375.51430445321802</v>
      </c>
      <c r="T126" s="62">
        <f t="shared" si="88"/>
        <v>334.3112657507022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-3.4106051316484809E-13</v>
      </c>
      <c r="O127" s="14">
        <f>N127*VLOOKUP('Données projet'!$B$9,Paramètres!$A$1:$I$89,3,0)*VLOOKUP('Données projet'!$B$9,Paramètres!$A$1:$I$89,5,0)</f>
        <v>-1.5961632016114892E-13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375.51430445321802</v>
      </c>
      <c r="T127" s="62">
        <f t="shared" si="88"/>
        <v>334.3112657507022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-3.4106051316484809E-13</v>
      </c>
      <c r="O128" s="14">
        <f>N128*VLOOKUP('Données projet'!$B$9,Paramètres!$A$1:$I$89,3,0)*VLOOKUP('Données projet'!$B$9,Paramètres!$A$1:$I$89,5,0)</f>
        <v>-1.5961632016114892E-13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375.51430445321802</v>
      </c>
      <c r="T128" s="62">
        <f t="shared" si="88"/>
        <v>334.3112657507022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-3.4106051316484809E-13</v>
      </c>
      <c r="O129" s="14">
        <f>N129*VLOOKUP('Données projet'!$B$9,Paramètres!$A$1:$I$89,3,0)*VLOOKUP('Données projet'!$B$9,Paramètres!$A$1:$I$89,5,0)</f>
        <v>-1.5961632016114892E-13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375.51430445321802</v>
      </c>
      <c r="T129" s="62">
        <f t="shared" si="88"/>
        <v>334.3112657507022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-3.4106051316484809E-13</v>
      </c>
      <c r="O130" s="14">
        <f>N130*VLOOKUP('Données projet'!$B$9,Paramètres!$A$1:$I$89,3,0)*VLOOKUP('Données projet'!$B$9,Paramètres!$A$1:$I$89,5,0)</f>
        <v>-1.5961632016114892E-13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375.51430445321802</v>
      </c>
      <c r="T130" s="62">
        <f t="shared" si="88"/>
        <v>334.3112657507022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-3.4106051316484809E-13</v>
      </c>
      <c r="O131" s="14">
        <f>N131*VLOOKUP('Données projet'!$B$9,Paramètres!$A$1:$I$89,3,0)*VLOOKUP('Données projet'!$B$9,Paramètres!$A$1:$I$89,5,0)</f>
        <v>-1.5961632016114892E-13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375.51430445321802</v>
      </c>
      <c r="T131" s="62">
        <f t="shared" si="88"/>
        <v>334.3112657507022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-3.4106051316484809E-13</v>
      </c>
      <c r="O132" s="14">
        <f>N132*VLOOKUP('Données projet'!$B$9,Paramètres!$A$1:$I$89,3,0)*VLOOKUP('Données projet'!$B$9,Paramètres!$A$1:$I$89,5,0)</f>
        <v>-1.5961632016114892E-13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375.51430445321802</v>
      </c>
      <c r="T132" s="62">
        <f t="shared" si="88"/>
        <v>334.3112657507022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-3.4106051316484809E-13</v>
      </c>
      <c r="O133" s="14">
        <f>N133*VLOOKUP('Données projet'!$B$9,Paramètres!$A$1:$I$89,3,0)*VLOOKUP('Données projet'!$B$9,Paramètres!$A$1:$I$89,5,0)</f>
        <v>-1.5961632016114892E-13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375.51430445321802</v>
      </c>
      <c r="T133" s="62">
        <f t="shared" ref="T133:T196" si="142">$T$3</f>
        <v>334.3112657507022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-3.4106051316484809E-13</v>
      </c>
      <c r="O134" s="14">
        <f>N134*VLOOKUP('Données projet'!$B$9,Paramètres!$A$1:$I$89,3,0)*VLOOKUP('Données projet'!$B$9,Paramètres!$A$1:$I$89,5,0)</f>
        <v>-1.5961632016114892E-13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375.51430445321802</v>
      </c>
      <c r="T134" s="62">
        <f t="shared" si="142"/>
        <v>334.3112657507022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-3.4106051316484809E-13</v>
      </c>
      <c r="O135" s="14">
        <f>N135*VLOOKUP('Données projet'!$B$9,Paramètres!$A$1:$I$89,3,0)*VLOOKUP('Données projet'!$B$9,Paramètres!$A$1:$I$89,5,0)</f>
        <v>-1.5961632016114892E-13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375.51430445321802</v>
      </c>
      <c r="T135" s="62">
        <f t="shared" si="142"/>
        <v>334.3112657507022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-3.4106051316484809E-13</v>
      </c>
      <c r="O136" s="14">
        <f>N136*VLOOKUP('Données projet'!$B$9,Paramètres!$A$1:$I$89,3,0)*VLOOKUP('Données projet'!$B$9,Paramètres!$A$1:$I$89,5,0)</f>
        <v>-1.5961632016114892E-13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375.51430445321802</v>
      </c>
      <c r="T136" s="62">
        <f t="shared" si="142"/>
        <v>334.3112657507022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-3.4106051316484809E-13</v>
      </c>
      <c r="O137" s="14">
        <f>N137*VLOOKUP('Données projet'!$B$9,Paramètres!$A$1:$I$89,3,0)*VLOOKUP('Données projet'!$B$9,Paramètres!$A$1:$I$89,5,0)</f>
        <v>-1.5961632016114892E-13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375.51430445321802</v>
      </c>
      <c r="T137" s="62">
        <f t="shared" si="142"/>
        <v>334.3112657507022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-3.4106051316484809E-13</v>
      </c>
      <c r="O138" s="14">
        <f>N138*VLOOKUP('Données projet'!$B$9,Paramètres!$A$1:$I$89,3,0)*VLOOKUP('Données projet'!$B$9,Paramètres!$A$1:$I$89,5,0)</f>
        <v>-1.5961632016114892E-13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375.51430445321802</v>
      </c>
      <c r="T138" s="62">
        <f t="shared" si="142"/>
        <v>334.3112657507022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-3.4106051316484809E-13</v>
      </c>
      <c r="O139" s="14">
        <f>N139*VLOOKUP('Données projet'!$B$9,Paramètres!$A$1:$I$89,3,0)*VLOOKUP('Données projet'!$B$9,Paramètres!$A$1:$I$89,5,0)</f>
        <v>-1.5961632016114892E-13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375.51430445321802</v>
      </c>
      <c r="T139" s="62">
        <f t="shared" si="142"/>
        <v>334.3112657507022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-3.4106051316484809E-13</v>
      </c>
      <c r="O140" s="14">
        <f>N140*VLOOKUP('Données projet'!$B$9,Paramètres!$A$1:$I$89,3,0)*VLOOKUP('Données projet'!$B$9,Paramètres!$A$1:$I$89,5,0)</f>
        <v>-1.5961632016114892E-13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375.51430445321802</v>
      </c>
      <c r="T140" s="62">
        <f t="shared" si="142"/>
        <v>334.3112657507022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-3.4106051316484809E-13</v>
      </c>
      <c r="O141" s="14">
        <f>N141*VLOOKUP('Données projet'!$B$9,Paramètres!$A$1:$I$89,3,0)*VLOOKUP('Données projet'!$B$9,Paramètres!$A$1:$I$89,5,0)</f>
        <v>-1.5961632016114892E-13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375.51430445321802</v>
      </c>
      <c r="T141" s="62">
        <f t="shared" si="142"/>
        <v>334.3112657507022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-3.4106051316484809E-13</v>
      </c>
      <c r="O142" s="14">
        <f>N142*VLOOKUP('Données projet'!$B$9,Paramètres!$A$1:$I$89,3,0)*VLOOKUP('Données projet'!$B$9,Paramètres!$A$1:$I$89,5,0)</f>
        <v>-1.5961632016114892E-13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375.51430445321802</v>
      </c>
      <c r="T142" s="62">
        <f t="shared" si="142"/>
        <v>334.3112657507022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-3.4106051316484809E-13</v>
      </c>
      <c r="O143" s="14">
        <f>N143*VLOOKUP('Données projet'!$B$9,Paramètres!$A$1:$I$89,3,0)*VLOOKUP('Données projet'!$B$9,Paramètres!$A$1:$I$89,5,0)</f>
        <v>-1.5961632016114892E-13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375.51430445321802</v>
      </c>
      <c r="T143" s="62">
        <f t="shared" si="142"/>
        <v>334.3112657507022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-3.4106051316484809E-13</v>
      </c>
      <c r="O144" s="14">
        <f>N144*VLOOKUP('Données projet'!$B$9,Paramètres!$A$1:$I$89,3,0)*VLOOKUP('Données projet'!$B$9,Paramètres!$A$1:$I$89,5,0)</f>
        <v>-1.5961632016114892E-13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375.51430445321802</v>
      </c>
      <c r="T144" s="62">
        <f t="shared" si="142"/>
        <v>334.3112657507022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-3.4106051316484809E-13</v>
      </c>
      <c r="O145" s="14">
        <f>N145*VLOOKUP('Données projet'!$B$9,Paramètres!$A$1:$I$89,3,0)*VLOOKUP('Données projet'!$B$9,Paramètres!$A$1:$I$89,5,0)</f>
        <v>-1.5961632016114892E-13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375.51430445321802</v>
      </c>
      <c r="T145" s="62">
        <f t="shared" si="142"/>
        <v>334.3112657507022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-3.4106051316484809E-13</v>
      </c>
      <c r="O146" s="14">
        <f>N146*VLOOKUP('Données projet'!$B$9,Paramètres!$A$1:$I$89,3,0)*VLOOKUP('Données projet'!$B$9,Paramètres!$A$1:$I$89,5,0)</f>
        <v>-1.5961632016114892E-13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375.51430445321802</v>
      </c>
      <c r="T146" s="62">
        <f t="shared" si="142"/>
        <v>334.3112657507022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-3.4106051316484809E-13</v>
      </c>
      <c r="O147" s="14">
        <f>N147*VLOOKUP('Données projet'!$B$9,Paramètres!$A$1:$I$89,3,0)*VLOOKUP('Données projet'!$B$9,Paramètres!$A$1:$I$89,5,0)</f>
        <v>-1.5961632016114892E-13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375.51430445321802</v>
      </c>
      <c r="T147" s="62">
        <f t="shared" si="142"/>
        <v>334.3112657507022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-3.4106051316484809E-13</v>
      </c>
      <c r="O148" s="14">
        <f>N148*VLOOKUP('Données projet'!$B$9,Paramètres!$A$1:$I$89,3,0)*VLOOKUP('Données projet'!$B$9,Paramètres!$A$1:$I$89,5,0)</f>
        <v>-1.5961632016114892E-13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375.51430445321802</v>
      </c>
      <c r="T148" s="62">
        <f t="shared" si="142"/>
        <v>334.3112657507022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-3.4106051316484809E-13</v>
      </c>
      <c r="O149" s="14">
        <f>N149*VLOOKUP('Données projet'!$B$9,Paramètres!$A$1:$I$89,3,0)*VLOOKUP('Données projet'!$B$9,Paramètres!$A$1:$I$89,5,0)</f>
        <v>-1.5961632016114892E-13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375.51430445321802</v>
      </c>
      <c r="T149" s="62">
        <f t="shared" si="142"/>
        <v>334.3112657507022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-3.4106051316484809E-13</v>
      </c>
      <c r="O150" s="14">
        <f>N150*VLOOKUP('Données projet'!$B$9,Paramètres!$A$1:$I$89,3,0)*VLOOKUP('Données projet'!$B$9,Paramètres!$A$1:$I$89,5,0)</f>
        <v>-1.5961632016114892E-13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375.51430445321802</v>
      </c>
      <c r="T150" s="62">
        <f t="shared" si="142"/>
        <v>334.3112657507022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-3.4106051316484809E-13</v>
      </c>
      <c r="O151" s="14">
        <f>N151*VLOOKUP('Données projet'!$B$9,Paramètres!$A$1:$I$89,3,0)*VLOOKUP('Données projet'!$B$9,Paramètres!$A$1:$I$89,5,0)</f>
        <v>-1.5961632016114892E-13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375.51430445321802</v>
      </c>
      <c r="T151" s="62">
        <f t="shared" si="142"/>
        <v>334.3112657507022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-3.4106051316484809E-13</v>
      </c>
      <c r="O152" s="14">
        <f>N152*VLOOKUP('Données projet'!$B$9,Paramètres!$A$1:$I$89,3,0)*VLOOKUP('Données projet'!$B$9,Paramètres!$A$1:$I$89,5,0)</f>
        <v>-1.5961632016114892E-13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375.51430445321802</v>
      </c>
      <c r="T152" s="62">
        <f t="shared" si="142"/>
        <v>334.3112657507022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-3.4106051316484809E-13</v>
      </c>
      <c r="O153" s="14">
        <f>N153*VLOOKUP('Données projet'!$B$9,Paramètres!$A$1:$I$89,3,0)*VLOOKUP('Données projet'!$B$9,Paramètres!$A$1:$I$89,5,0)</f>
        <v>-1.5961632016114892E-13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375.51430445321802</v>
      </c>
      <c r="T153" s="62">
        <f t="shared" si="142"/>
        <v>334.3112657507022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-3.4106051316484809E-13</v>
      </c>
      <c r="O154" s="14">
        <f>N154*VLOOKUP('Données projet'!$B$9,Paramètres!$A$1:$I$89,3,0)*VLOOKUP('Données projet'!$B$9,Paramètres!$A$1:$I$89,5,0)</f>
        <v>-1.5961632016114892E-13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375.51430445321802</v>
      </c>
      <c r="T154" s="62">
        <f t="shared" si="142"/>
        <v>334.3112657507022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-3.4106051316484809E-13</v>
      </c>
      <c r="O155" s="14">
        <f>N155*VLOOKUP('Données projet'!$B$9,Paramètres!$A$1:$I$89,3,0)*VLOOKUP('Données projet'!$B$9,Paramètres!$A$1:$I$89,5,0)</f>
        <v>-1.5961632016114892E-13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375.51430445321802</v>
      </c>
      <c r="T155" s="62">
        <f t="shared" si="142"/>
        <v>334.3112657507022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-3.4106051316484809E-13</v>
      </c>
      <c r="O156" s="14">
        <f>N156*VLOOKUP('Données projet'!$B$9,Paramètres!$A$1:$I$89,3,0)*VLOOKUP('Données projet'!$B$9,Paramètres!$A$1:$I$89,5,0)</f>
        <v>-1.5961632016114892E-13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375.51430445321802</v>
      </c>
      <c r="T156" s="62">
        <f t="shared" si="142"/>
        <v>334.3112657507022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-3.4106051316484809E-13</v>
      </c>
      <c r="O157" s="14">
        <f>N157*VLOOKUP('Données projet'!$B$9,Paramètres!$A$1:$I$89,3,0)*VLOOKUP('Données projet'!$B$9,Paramètres!$A$1:$I$89,5,0)</f>
        <v>-1.5961632016114892E-13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375.51430445321802</v>
      </c>
      <c r="T157" s="62">
        <f t="shared" si="142"/>
        <v>334.3112657507022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-3.4106051316484809E-13</v>
      </c>
      <c r="O158" s="14">
        <f>N158*VLOOKUP('Données projet'!$B$9,Paramètres!$A$1:$I$89,3,0)*VLOOKUP('Données projet'!$B$9,Paramètres!$A$1:$I$89,5,0)</f>
        <v>-1.5961632016114892E-13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375.51430445321802</v>
      </c>
      <c r="T158" s="62">
        <f t="shared" si="142"/>
        <v>334.3112657507022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-3.4106051316484809E-13</v>
      </c>
      <c r="O159" s="14">
        <f>N159*VLOOKUP('Données projet'!$B$9,Paramètres!$A$1:$I$89,3,0)*VLOOKUP('Données projet'!$B$9,Paramètres!$A$1:$I$89,5,0)</f>
        <v>-1.5961632016114892E-13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375.51430445321802</v>
      </c>
      <c r="T159" s="62">
        <f t="shared" si="142"/>
        <v>334.3112657507022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-3.4106051316484809E-13</v>
      </c>
      <c r="O160" s="14">
        <f>N160*VLOOKUP('Données projet'!$B$9,Paramètres!$A$1:$I$89,3,0)*VLOOKUP('Données projet'!$B$9,Paramètres!$A$1:$I$89,5,0)</f>
        <v>-1.5961632016114892E-13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375.51430445321802</v>
      </c>
      <c r="T160" s="62">
        <f t="shared" si="142"/>
        <v>334.3112657507022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-3.4106051316484809E-13</v>
      </c>
      <c r="O161" s="14">
        <f>N161*VLOOKUP('Données projet'!$B$9,Paramètres!$A$1:$I$89,3,0)*VLOOKUP('Données projet'!$B$9,Paramètres!$A$1:$I$89,5,0)</f>
        <v>-1.5961632016114892E-13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375.51430445321802</v>
      </c>
      <c r="T161" s="62">
        <f t="shared" si="142"/>
        <v>334.3112657507022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-3.4106051316484809E-13</v>
      </c>
      <c r="O162" s="14">
        <f>N162*VLOOKUP('Données projet'!$B$9,Paramètres!$A$1:$I$89,3,0)*VLOOKUP('Données projet'!$B$9,Paramètres!$A$1:$I$89,5,0)</f>
        <v>-1.5961632016114892E-13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375.51430445321802</v>
      </c>
      <c r="T162" s="62">
        <f t="shared" si="142"/>
        <v>334.3112657507022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-3.4106051316484809E-13</v>
      </c>
      <c r="O163" s="14">
        <f>N163*VLOOKUP('Données projet'!$B$9,Paramètres!$A$1:$I$89,3,0)*VLOOKUP('Données projet'!$B$9,Paramètres!$A$1:$I$89,5,0)</f>
        <v>-1.5961632016114892E-13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375.51430445321802</v>
      </c>
      <c r="T163" s="62">
        <f t="shared" si="142"/>
        <v>334.3112657507022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-3.4106051316484809E-13</v>
      </c>
      <c r="O164" s="14">
        <f>N164*VLOOKUP('Données projet'!$B$9,Paramètres!$A$1:$I$89,3,0)*VLOOKUP('Données projet'!$B$9,Paramètres!$A$1:$I$89,5,0)</f>
        <v>-1.5961632016114892E-13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375.51430445321802</v>
      </c>
      <c r="T164" s="62">
        <f t="shared" si="142"/>
        <v>334.3112657507022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-3.4106051316484809E-13</v>
      </c>
      <c r="O165" s="14">
        <f>N165*VLOOKUP('Données projet'!$B$9,Paramètres!$A$1:$I$89,3,0)*VLOOKUP('Données projet'!$B$9,Paramètres!$A$1:$I$89,5,0)</f>
        <v>-1.5961632016114892E-13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375.51430445321802</v>
      </c>
      <c r="T165" s="62">
        <f t="shared" si="142"/>
        <v>334.3112657507022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-3.4106051316484809E-13</v>
      </c>
      <c r="O166" s="14">
        <f>N166*VLOOKUP('Données projet'!$B$9,Paramètres!$A$1:$I$89,3,0)*VLOOKUP('Données projet'!$B$9,Paramètres!$A$1:$I$89,5,0)</f>
        <v>-1.5961632016114892E-13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375.51430445321802</v>
      </c>
      <c r="T166" s="62">
        <f t="shared" si="142"/>
        <v>334.3112657507022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-3.4106051316484809E-13</v>
      </c>
      <c r="O167" s="14">
        <f>N167*VLOOKUP('Données projet'!$B$9,Paramètres!$A$1:$I$89,3,0)*VLOOKUP('Données projet'!$B$9,Paramètres!$A$1:$I$89,5,0)</f>
        <v>-1.5961632016114892E-13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375.51430445321802</v>
      </c>
      <c r="T167" s="62">
        <f t="shared" si="142"/>
        <v>334.3112657507022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-3.4106051316484809E-13</v>
      </c>
      <c r="O168" s="14">
        <f>N168*VLOOKUP('Données projet'!$B$9,Paramètres!$A$1:$I$89,3,0)*VLOOKUP('Données projet'!$B$9,Paramètres!$A$1:$I$89,5,0)</f>
        <v>-1.5961632016114892E-13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375.51430445321802</v>
      </c>
      <c r="T168" s="62">
        <f t="shared" si="142"/>
        <v>334.3112657507022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-3.4106051316484809E-13</v>
      </c>
      <c r="O169" s="14">
        <f>N169*VLOOKUP('Données projet'!$B$9,Paramètres!$A$1:$I$89,3,0)*VLOOKUP('Données projet'!$B$9,Paramètres!$A$1:$I$89,5,0)</f>
        <v>-1.5961632016114892E-13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375.51430445321802</v>
      </c>
      <c r="T169" s="62">
        <f t="shared" si="142"/>
        <v>334.3112657507022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-3.4106051316484809E-13</v>
      </c>
      <c r="O170" s="14">
        <f>N170*VLOOKUP('Données projet'!$B$9,Paramètres!$A$1:$I$89,3,0)*VLOOKUP('Données projet'!$B$9,Paramètres!$A$1:$I$89,5,0)</f>
        <v>-1.5961632016114892E-13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375.51430445321802</v>
      </c>
      <c r="T170" s="62">
        <f t="shared" si="142"/>
        <v>334.3112657507022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-3.4106051316484809E-13</v>
      </c>
      <c r="O171" s="14">
        <f>N171*VLOOKUP('Données projet'!$B$9,Paramètres!$A$1:$I$89,3,0)*VLOOKUP('Données projet'!$B$9,Paramètres!$A$1:$I$89,5,0)</f>
        <v>-1.5961632016114892E-13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375.51430445321802</v>
      </c>
      <c r="T171" s="62">
        <f t="shared" si="142"/>
        <v>334.3112657507022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-3.4106051316484809E-13</v>
      </c>
      <c r="O172" s="14">
        <f>N172*VLOOKUP('Données projet'!$B$9,Paramètres!$A$1:$I$89,3,0)*VLOOKUP('Données projet'!$B$9,Paramètres!$A$1:$I$89,5,0)</f>
        <v>-1.5961632016114892E-13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375.51430445321802</v>
      </c>
      <c r="T172" s="62">
        <f t="shared" si="142"/>
        <v>334.3112657507022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-3.4106051316484809E-13</v>
      </c>
      <c r="O173" s="14">
        <f>N173*VLOOKUP('Données projet'!$B$9,Paramètres!$A$1:$I$89,3,0)*VLOOKUP('Données projet'!$B$9,Paramètres!$A$1:$I$89,5,0)</f>
        <v>-1.5961632016114892E-13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375.51430445321802</v>
      </c>
      <c r="T173" s="62">
        <f t="shared" si="142"/>
        <v>334.3112657507022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-3.4106051316484809E-13</v>
      </c>
      <c r="O174" s="14">
        <f>N174*VLOOKUP('Données projet'!$B$9,Paramètres!$A$1:$I$89,3,0)*VLOOKUP('Données projet'!$B$9,Paramètres!$A$1:$I$89,5,0)</f>
        <v>-1.5961632016114892E-13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375.51430445321802</v>
      </c>
      <c r="T174" s="62">
        <f t="shared" si="142"/>
        <v>334.3112657507022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-3.4106051316484809E-13</v>
      </c>
      <c r="O175" s="14">
        <f>N175*VLOOKUP('Données projet'!$B$9,Paramètres!$A$1:$I$89,3,0)*VLOOKUP('Données projet'!$B$9,Paramètres!$A$1:$I$89,5,0)</f>
        <v>-1.5961632016114892E-13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375.51430445321802</v>
      </c>
      <c r="T175" s="62">
        <f t="shared" si="142"/>
        <v>334.3112657507022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-3.4106051316484809E-13</v>
      </c>
      <c r="O176" s="14">
        <f>N176*VLOOKUP('Données projet'!$B$9,Paramètres!$A$1:$I$89,3,0)*VLOOKUP('Données projet'!$B$9,Paramètres!$A$1:$I$89,5,0)</f>
        <v>-1.5961632016114892E-13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375.51430445321802</v>
      </c>
      <c r="T176" s="62">
        <f t="shared" si="142"/>
        <v>334.3112657507022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-3.4106051316484809E-13</v>
      </c>
      <c r="O177" s="14">
        <f>N177*VLOOKUP('Données projet'!$B$9,Paramètres!$A$1:$I$89,3,0)*VLOOKUP('Données projet'!$B$9,Paramètres!$A$1:$I$89,5,0)</f>
        <v>-1.5961632016114892E-13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375.51430445321802</v>
      </c>
      <c r="T177" s="62">
        <f t="shared" si="142"/>
        <v>334.3112657507022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-3.4106051316484809E-13</v>
      </c>
      <c r="O178" s="14">
        <f>N178*VLOOKUP('Données projet'!$B$9,Paramètres!$A$1:$I$89,3,0)*VLOOKUP('Données projet'!$B$9,Paramètres!$A$1:$I$89,5,0)</f>
        <v>-1.5961632016114892E-13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375.51430445321802</v>
      </c>
      <c r="T178" s="62">
        <f t="shared" si="142"/>
        <v>334.3112657507022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-3.4106051316484809E-13</v>
      </c>
      <c r="O179" s="14">
        <f>N179*VLOOKUP('Données projet'!$B$9,Paramètres!$A$1:$I$89,3,0)*VLOOKUP('Données projet'!$B$9,Paramètres!$A$1:$I$89,5,0)</f>
        <v>-1.5961632016114892E-13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375.51430445321802</v>
      </c>
      <c r="T179" s="62">
        <f t="shared" si="142"/>
        <v>334.3112657507022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-3.4106051316484809E-13</v>
      </c>
      <c r="O180" s="14">
        <f>N180*VLOOKUP('Données projet'!$B$9,Paramètres!$A$1:$I$89,3,0)*VLOOKUP('Données projet'!$B$9,Paramètres!$A$1:$I$89,5,0)</f>
        <v>-1.5961632016114892E-13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375.51430445321802</v>
      </c>
      <c r="T180" s="62">
        <f t="shared" si="142"/>
        <v>334.3112657507022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-3.4106051316484809E-13</v>
      </c>
      <c r="O181" s="14">
        <f>N181*VLOOKUP('Données projet'!$B$9,Paramètres!$A$1:$I$89,3,0)*VLOOKUP('Données projet'!$B$9,Paramètres!$A$1:$I$89,5,0)</f>
        <v>-1.5961632016114892E-13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375.51430445321802</v>
      </c>
      <c r="T181" s="62">
        <f t="shared" si="142"/>
        <v>334.3112657507022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-3.4106051316484809E-13</v>
      </c>
      <c r="O182" s="14">
        <f>N182*VLOOKUP('Données projet'!$B$9,Paramètres!$A$1:$I$89,3,0)*VLOOKUP('Données projet'!$B$9,Paramètres!$A$1:$I$89,5,0)</f>
        <v>-1.5961632016114892E-13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375.51430445321802</v>
      </c>
      <c r="T182" s="62">
        <f t="shared" si="142"/>
        <v>334.3112657507022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-3.4106051316484809E-13</v>
      </c>
      <c r="O183" s="14">
        <f>N183*VLOOKUP('Données projet'!$B$9,Paramètres!$A$1:$I$89,3,0)*VLOOKUP('Données projet'!$B$9,Paramètres!$A$1:$I$89,5,0)</f>
        <v>-1.5961632016114892E-13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375.51430445321802</v>
      </c>
      <c r="T183" s="62">
        <f t="shared" si="142"/>
        <v>334.3112657507022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-3.4106051316484809E-13</v>
      </c>
      <c r="O184" s="14">
        <f>N184*VLOOKUP('Données projet'!$B$9,Paramètres!$A$1:$I$89,3,0)*VLOOKUP('Données projet'!$B$9,Paramètres!$A$1:$I$89,5,0)</f>
        <v>-1.5961632016114892E-13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375.51430445321802</v>
      </c>
      <c r="T184" s="62">
        <f t="shared" si="142"/>
        <v>334.3112657507022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-3.4106051316484809E-13</v>
      </c>
      <c r="O185" s="14">
        <f>N185*VLOOKUP('Données projet'!$B$9,Paramètres!$A$1:$I$89,3,0)*VLOOKUP('Données projet'!$B$9,Paramètres!$A$1:$I$89,5,0)</f>
        <v>-1.5961632016114892E-13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375.51430445321802</v>
      </c>
      <c r="T185" s="62">
        <f t="shared" si="142"/>
        <v>334.3112657507022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-3.4106051316484809E-13</v>
      </c>
      <c r="O186" s="14">
        <f>N186*VLOOKUP('Données projet'!$B$9,Paramètres!$A$1:$I$89,3,0)*VLOOKUP('Données projet'!$B$9,Paramètres!$A$1:$I$89,5,0)</f>
        <v>-1.5961632016114892E-13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375.51430445321802</v>
      </c>
      <c r="T186" s="62">
        <f t="shared" si="142"/>
        <v>334.3112657507022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-3.4106051316484809E-13</v>
      </c>
      <c r="O187" s="14">
        <f>N187*VLOOKUP('Données projet'!$B$9,Paramètres!$A$1:$I$89,3,0)*VLOOKUP('Données projet'!$B$9,Paramètres!$A$1:$I$89,5,0)</f>
        <v>-1.5961632016114892E-13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375.51430445321802</v>
      </c>
      <c r="T187" s="62">
        <f t="shared" si="142"/>
        <v>334.3112657507022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-3.4106051316484809E-13</v>
      </c>
      <c r="O188" s="14">
        <f>N188*VLOOKUP('Données projet'!$B$9,Paramètres!$A$1:$I$89,3,0)*VLOOKUP('Données projet'!$B$9,Paramètres!$A$1:$I$89,5,0)</f>
        <v>-1.5961632016114892E-13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375.51430445321802</v>
      </c>
      <c r="T188" s="62">
        <f t="shared" si="142"/>
        <v>334.3112657507022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-3.4106051316484809E-13</v>
      </c>
      <c r="O189" s="14">
        <f>N189*VLOOKUP('Données projet'!$B$9,Paramètres!$A$1:$I$89,3,0)*VLOOKUP('Données projet'!$B$9,Paramètres!$A$1:$I$89,5,0)</f>
        <v>-1.5961632016114892E-13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375.51430445321802</v>
      </c>
      <c r="T189" s="62">
        <f t="shared" si="142"/>
        <v>334.3112657507022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-3.4106051316484809E-13</v>
      </c>
      <c r="O190" s="14">
        <f>N190*VLOOKUP('Données projet'!$B$9,Paramètres!$A$1:$I$89,3,0)*VLOOKUP('Données projet'!$B$9,Paramètres!$A$1:$I$89,5,0)</f>
        <v>-1.5961632016114892E-13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375.51430445321802</v>
      </c>
      <c r="T190" s="62">
        <f t="shared" si="142"/>
        <v>334.3112657507022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-3.4106051316484809E-13</v>
      </c>
      <c r="O191" s="14">
        <f>N191*VLOOKUP('Données projet'!$B$9,Paramètres!$A$1:$I$89,3,0)*VLOOKUP('Données projet'!$B$9,Paramètres!$A$1:$I$89,5,0)</f>
        <v>-1.5961632016114892E-13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375.51430445321802</v>
      </c>
      <c r="T191" s="62">
        <f t="shared" si="142"/>
        <v>334.3112657507022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-3.4106051316484809E-13</v>
      </c>
      <c r="O192" s="14">
        <f>N192*VLOOKUP('Données projet'!$B$9,Paramètres!$A$1:$I$89,3,0)*VLOOKUP('Données projet'!$B$9,Paramètres!$A$1:$I$89,5,0)</f>
        <v>-1.5961632016114892E-13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375.51430445321802</v>
      </c>
      <c r="T192" s="62">
        <f t="shared" si="142"/>
        <v>334.3112657507022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-3.4106051316484809E-13</v>
      </c>
      <c r="O193" s="14">
        <f>N193*VLOOKUP('Données projet'!$B$9,Paramètres!$A$1:$I$89,3,0)*VLOOKUP('Données projet'!$B$9,Paramètres!$A$1:$I$89,5,0)</f>
        <v>-1.5961632016114892E-13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375.51430445321802</v>
      </c>
      <c r="T193" s="62">
        <f t="shared" si="142"/>
        <v>334.3112657507022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-3.4106051316484809E-13</v>
      </c>
      <c r="O194" s="14">
        <f>N194*VLOOKUP('Données projet'!$B$9,Paramètres!$A$1:$I$89,3,0)*VLOOKUP('Données projet'!$B$9,Paramètres!$A$1:$I$89,5,0)</f>
        <v>-1.5961632016114892E-13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375.51430445321802</v>
      </c>
      <c r="T194" s="62">
        <f t="shared" si="142"/>
        <v>334.3112657507022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-3.4106051316484809E-13</v>
      </c>
      <c r="O195" s="14">
        <f>N195*VLOOKUP('Données projet'!$B$9,Paramètres!$A$1:$I$89,3,0)*VLOOKUP('Données projet'!$B$9,Paramètres!$A$1:$I$89,5,0)</f>
        <v>-1.5961632016114892E-13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375.51430445321802</v>
      </c>
      <c r="T195" s="62">
        <f t="shared" si="142"/>
        <v>334.3112657507022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-3.4106051316484809E-13</v>
      </c>
      <c r="O196" s="14">
        <f>N196*VLOOKUP('Données projet'!$B$9,Paramètres!$A$1:$I$89,3,0)*VLOOKUP('Données projet'!$B$9,Paramètres!$A$1:$I$89,5,0)</f>
        <v>-1.5961632016114892E-13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375.51430445321802</v>
      </c>
      <c r="T196" s="62">
        <f t="shared" si="142"/>
        <v>334.3112657507022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-3.4106051316484809E-13</v>
      </c>
      <c r="O197" s="14">
        <f>N197*VLOOKUP('Données projet'!$B$9,Paramètres!$A$1:$I$89,3,0)*VLOOKUP('Données projet'!$B$9,Paramètres!$A$1:$I$89,5,0)</f>
        <v>-1.5961632016114892E-13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375.51430445321802</v>
      </c>
      <c r="T197" s="62">
        <f t="shared" ref="T197:T203" si="204">$T$3</f>
        <v>334.3112657507022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-3.4106051316484809E-13</v>
      </c>
      <c r="O198" s="14">
        <f>N198*VLOOKUP('Données projet'!$B$9,Paramètres!$A$1:$I$89,3,0)*VLOOKUP('Données projet'!$B$9,Paramètres!$A$1:$I$89,5,0)</f>
        <v>-1.5961632016114892E-13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375.51430445321802</v>
      </c>
      <c r="T198" s="62">
        <f t="shared" si="204"/>
        <v>334.3112657507022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-3.4106051316484809E-13</v>
      </c>
      <c r="O199" s="14">
        <f>N199*VLOOKUP('Données projet'!$B$9,Paramètres!$A$1:$I$89,3,0)*VLOOKUP('Données projet'!$B$9,Paramètres!$A$1:$I$89,5,0)</f>
        <v>-1.5961632016114892E-13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375.51430445321802</v>
      </c>
      <c r="T199" s="62">
        <f t="shared" si="204"/>
        <v>334.3112657507022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-3.4106051316484809E-13</v>
      </c>
      <c r="O200" s="14">
        <f>N200*VLOOKUP('Données projet'!$B$9,Paramètres!$A$1:$I$89,3,0)*VLOOKUP('Données projet'!$B$9,Paramètres!$A$1:$I$89,5,0)</f>
        <v>-1.5961632016114892E-13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375.51430445321802</v>
      </c>
      <c r="T200" s="62">
        <f t="shared" si="204"/>
        <v>334.3112657507022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-3.4106051316484809E-13</v>
      </c>
      <c r="O201" s="14">
        <f>N201*VLOOKUP('Données projet'!$B$9,Paramètres!$A$1:$I$89,3,0)*VLOOKUP('Données projet'!$B$9,Paramètres!$A$1:$I$89,5,0)</f>
        <v>-1.5961632016114892E-13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375.51430445321802</v>
      </c>
      <c r="T201" s="62">
        <f t="shared" si="204"/>
        <v>334.3112657507022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-3.4106051316484809E-13</v>
      </c>
      <c r="O202" s="14">
        <f>N202*VLOOKUP('Données projet'!$B$9,Paramètres!$A$1:$I$89,3,0)*VLOOKUP('Données projet'!$B$9,Paramètres!$A$1:$I$89,5,0)</f>
        <v>-1.5961632016114892E-13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375.51430445321802</v>
      </c>
      <c r="T202" s="62">
        <f t="shared" si="204"/>
        <v>334.3112657507022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-3.4106051316484809E-13</v>
      </c>
      <c r="O203" s="14">
        <f>N203*VLOOKUP('Données projet'!$B$9,Paramètres!$A$1:$I$89,3,0)*VLOOKUP('Données projet'!$B$9,Paramètres!$A$1:$I$89,5,0)</f>
        <v>-1.5961632016114892E-13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375.51430445321802</v>
      </c>
      <c r="T203" s="62">
        <f t="shared" si="204"/>
        <v>334.3112657507022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1.1518506498535592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29" sqref="I2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1.96</v>
      </c>
      <c r="C6" s="156">
        <f ca="1">IF(OR('Données projet'!B9="",'Données projet'!C9="",'Données projet'!C9=0%),0,Calculateur!S3)</f>
        <v>375.51430445321802</v>
      </c>
      <c r="D6" s="156">
        <f>IF(OR('Données projet'!B9="",'Données projet'!C9="",'Données projet'!C9=0%),0,Calculateur!T3)</f>
        <v>334.3112657507022</v>
      </c>
      <c r="E6" s="156">
        <f ca="1">MIN(C6,D6)</f>
        <v>334.3112657507022</v>
      </c>
      <c r="F6" s="156">
        <f ca="1">E6*B6</f>
        <v>655.25008087137633</v>
      </c>
      <c r="G6" s="156">
        <f ca="1">F6*(100%-'Données projet'!$C$24)*(100%-'Données projet'!$C$25)*(100%-'Données projet'!$C$26)*(100%-'Données projet'!$C$27)</f>
        <v>560.2388191450267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560.2388191450267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655.25008087137633</v>
      </c>
      <c r="G16" s="175">
        <f t="shared" ca="1" si="3"/>
        <v>560.2388191450267</v>
      </c>
      <c r="H16" s="176">
        <f t="shared" si="3"/>
        <v>0</v>
      </c>
      <c r="I16" s="176">
        <f t="shared" si="3"/>
        <v>0</v>
      </c>
      <c r="J16" s="177">
        <f t="shared" si="3"/>
        <v>0</v>
      </c>
      <c r="K16" s="177">
        <f t="shared" si="3"/>
        <v>0</v>
      </c>
      <c r="L16" s="178">
        <f t="shared" ca="1" si="3"/>
        <v>560.2388191450267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7" zoomScale="90" zoomScaleNormal="90" workbookViewId="0">
      <selection activeCell="S37" sqref="S3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1919.4040516069085</v>
      </c>
      <c r="U10" s="190">
        <f>'Données projet'!D9</f>
        <v>1.96</v>
      </c>
      <c r="V10" s="189">
        <f>U10*T10</f>
        <v>3762.0319411495407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(4503+800)/1.96</f>
        <v>2705.612244897959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484/1.96</f>
        <v>246.9387755102041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1</v>
      </c>
      <c r="I22" s="204">
        <f>968/2.96</f>
        <v>327.02702702702703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42</v>
      </c>
      <c r="B23" s="193">
        <f>'Données projet'!D36</f>
        <v>110</v>
      </c>
      <c r="C23" s="206">
        <v>15</v>
      </c>
      <c r="D23" s="194">
        <f>B23*C23</f>
        <v>1650</v>
      </c>
      <c r="E23" s="206"/>
      <c r="F23" s="261"/>
      <c r="H23" s="203">
        <v>2</v>
      </c>
      <c r="I23" s="204">
        <f>314/1.96</f>
        <v>160.20408163265307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-3724.2553674793885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48</v>
      </c>
      <c r="B24" s="193">
        <f>'Données projet'!D37</f>
        <v>78</v>
      </c>
      <c r="C24" s="206">
        <v>18</v>
      </c>
      <c r="D24" s="194">
        <f t="shared" ref="D24:D42" si="2">B24*C24</f>
        <v>1404</v>
      </c>
      <c r="E24" s="206"/>
      <c r="F24" s="264"/>
      <c r="H24" s="203">
        <v>3</v>
      </c>
      <c r="I24" s="204">
        <f>314/1.96</f>
        <v>160.20408163265307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54</v>
      </c>
      <c r="B25" s="193">
        <f>'Données projet'!D38</f>
        <v>86</v>
      </c>
      <c r="C25" s="206">
        <v>20</v>
      </c>
      <c r="D25" s="194">
        <f t="shared" si="2"/>
        <v>1720</v>
      </c>
      <c r="E25" s="206"/>
      <c r="F25" s="264"/>
      <c r="G25" s="1"/>
      <c r="H25" s="203">
        <v>5</v>
      </c>
      <c r="I25" s="204">
        <f>678/1.96</f>
        <v>345.91836734693879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-3724.2553674793885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60</v>
      </c>
      <c r="B26" s="193">
        <f>'Données projet'!D39</f>
        <v>84</v>
      </c>
      <c r="C26" s="206">
        <v>35</v>
      </c>
      <c r="D26" s="194">
        <f t="shared" si="2"/>
        <v>2940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66</v>
      </c>
      <c r="B27" s="193">
        <f>'Données projet'!D40</f>
        <v>88</v>
      </c>
      <c r="C27" s="206">
        <v>35</v>
      </c>
      <c r="D27" s="194">
        <f t="shared" si="2"/>
        <v>3080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72</v>
      </c>
      <c r="B28" s="193">
        <f>'Données projet'!D41</f>
        <v>87</v>
      </c>
      <c r="C28" s="206">
        <v>40</v>
      </c>
      <c r="D28" s="194">
        <f t="shared" si="2"/>
        <v>3480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78</v>
      </c>
      <c r="B29" s="193">
        <f>'Données projet'!D42</f>
        <v>82</v>
      </c>
      <c r="C29" s="206">
        <v>45</v>
      </c>
      <c r="D29" s="194">
        <f t="shared" si="2"/>
        <v>3690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84</v>
      </c>
      <c r="B30" s="193">
        <f>'Données projet'!D43</f>
        <v>554</v>
      </c>
      <c r="C30" s="206">
        <v>50</v>
      </c>
      <c r="D30" s="194">
        <f t="shared" si="2"/>
        <v>27700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str">
        <f>IF(O117+1&lt;=MIN('Données projet'!$E$9:$E$18),O117+1,"STOP")</f>
        <v>STOP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2024-11-12T13:23:36Z</dcterms:modified>
</cp:coreProperties>
</file>