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67-B-CIMABOIS-NAQ(19)-SANS SOUCI-Faroux-Neuvic-6,023ha/"/>
    </mc:Choice>
  </mc:AlternateContent>
  <xr:revisionPtr revIDLastSave="0" documentId="13_ncr:1_{0151DA14-DB8A-3642-9A6A-F1342B187AAF}" xr6:coauthVersionLast="47" xr6:coauthVersionMax="47" xr10:uidLastSave="{00000000-0000-0000-0000-000000000000}"/>
  <bookViews>
    <workbookView xWindow="0" yWindow="760" windowWidth="17540" windowHeight="1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9" i="6" l="1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42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23" i="6"/>
  <c r="I21" i="6"/>
  <c r="I20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X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Y154" i="2"/>
  <c r="HH155" i="2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EX156" i="2"/>
  <c r="DH156" i="2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CN156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EC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EA161" i="2"/>
  <c r="AB161" i="2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C162" i="2"/>
  <c r="DI161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V163" i="2"/>
  <c r="HI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Y163" i="2"/>
  <c r="EA164" i="2"/>
  <c r="ED163" i="2"/>
  <c r="EV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V168" i="2"/>
  <c r="EC168" i="2"/>
  <c r="DG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B172" i="2"/>
  <c r="EV172" i="2"/>
  <c r="EA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X173" i="2"/>
  <c r="ED172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D174" i="2"/>
  <c r="FS175" i="2"/>
  <c r="EW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EA178" i="2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V179" i="2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V185" i="2"/>
  <c r="EB185" i="2"/>
  <c r="EA185" i="2"/>
  <c r="HH185" i="2"/>
  <c r="HG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EB186" i="2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D189" i="2"/>
  <c r="EW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B192" i="2"/>
  <c r="EV192" i="2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X193" i="2"/>
  <c r="DI192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A194" i="2"/>
  <c r="ED193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FQ195" i="2"/>
  <c r="EB195" i="2"/>
  <c r="EA195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FS201" i="2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EX202" i="2"/>
  <c r="ED201" i="2"/>
  <c r="EY201" i="2"/>
  <c r="EW202" i="2"/>
  <c r="HH202" i="2"/>
  <c r="FR202" i="2"/>
  <c r="HG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CS66" i="2" a="1"/>
  <c r="CS66" i="2" s="1"/>
  <c r="CS52" i="2" a="1"/>
  <c r="CS52" i="2" s="1"/>
  <c r="CS137" i="2" a="1"/>
  <c r="CS137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4" i="2" a="1"/>
  <c r="FD14" i="2" s="1"/>
  <c r="FD189" i="2" a="1"/>
  <c r="FD189" i="2" s="1"/>
  <c r="FD64" i="2" a="1"/>
  <c r="FD64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4" i="2" a="1"/>
  <c r="EI34" i="2" s="1"/>
  <c r="EI20" i="2" a="1"/>
  <c r="EI20" i="2" s="1"/>
  <c r="EI128" i="2" a="1"/>
  <c r="EI128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AX200" i="2"/>
  <c r="FD48" i="2" l="1" a="1"/>
  <c r="FD48" i="2" s="1"/>
  <c r="FD44" i="2" a="1"/>
  <c r="FD44" i="2" s="1"/>
  <c r="FD188" i="2" a="1"/>
  <c r="FD188" i="2" s="1"/>
  <c r="FD131" i="2" a="1"/>
  <c r="FD131" i="2" s="1"/>
  <c r="EI37" i="2" a="1"/>
  <c r="EI37" i="2" s="1"/>
  <c r="EI35" i="2" a="1"/>
  <c r="EI35" i="2" s="1"/>
  <c r="EI67" i="2" a="1"/>
  <c r="EI67" i="2" s="1"/>
  <c r="EI170" i="2" a="1"/>
  <c r="EI170" i="2" s="1"/>
  <c r="AH90" i="2" a="1"/>
  <c r="AH90" i="2" s="1"/>
  <c r="AH92" i="2" a="1"/>
  <c r="AH92" i="2" s="1"/>
  <c r="FR203" i="2"/>
  <c r="EI165" i="2" a="1"/>
  <c r="EI165" i="2" s="1"/>
  <c r="EI36" i="2" a="1"/>
  <c r="EI36" i="2" s="1"/>
  <c r="EI142" i="2" a="1"/>
  <c r="EI142" i="2" s="1"/>
  <c r="EI109" i="2" a="1"/>
  <c r="EI109" i="2" s="1"/>
  <c r="EI145" i="2" a="1"/>
  <c r="EI145" i="2" s="1"/>
  <c r="EI38" i="2" a="1"/>
  <c r="EI38" i="2" s="1"/>
  <c r="EI162" i="2" a="1"/>
  <c r="EI162" i="2" s="1"/>
  <c r="EI150" i="2" a="1"/>
  <c r="EI150" i="2" s="1"/>
  <c r="EI16" i="2" a="1"/>
  <c r="EI16" i="2" s="1"/>
  <c r="EI113" i="2" a="1"/>
  <c r="EI113" i="2" s="1"/>
  <c r="EI29" i="2" a="1"/>
  <c r="EI29" i="2" s="1"/>
  <c r="EI71" i="2" a="1"/>
  <c r="EI71" i="2" s="1"/>
  <c r="EI106" i="2" a="1"/>
  <c r="EI106" i="2" s="1"/>
  <c r="EI139" i="2" a="1"/>
  <c r="EI139" i="2" s="1"/>
  <c r="EI57" i="2" a="1"/>
  <c r="EI57" i="2" s="1"/>
  <c r="EI195" i="2" a="1"/>
  <c r="EI195" i="2" s="1"/>
  <c r="EI153" i="2" a="1"/>
  <c r="EI153" i="2" s="1"/>
  <c r="EI166" i="2" a="1"/>
  <c r="EI166" i="2" s="1"/>
  <c r="EI87" i="2" a="1"/>
  <c r="EI87" i="2" s="1"/>
  <c r="EI198" i="2" a="1"/>
  <c r="EI198" i="2" s="1"/>
  <c r="EI178" i="2" a="1"/>
  <c r="EI178" i="2" s="1"/>
  <c r="DN176" i="2" a="1"/>
  <c r="DN176" i="2" s="1"/>
  <c r="DN187" i="2" a="1"/>
  <c r="DN187" i="2" s="1"/>
  <c r="DN162" i="2" a="1"/>
  <c r="DN162" i="2" s="1"/>
  <c r="DN188" i="2" a="1"/>
  <c r="DN188" i="2" s="1"/>
  <c r="DN184" i="2" a="1"/>
  <c r="DN184" i="2" s="1"/>
  <c r="DN190" i="2" a="1"/>
  <c r="DN190" i="2" s="1"/>
  <c r="DN49" i="2" a="1"/>
  <c r="DN49" i="2" s="1"/>
  <c r="DN86" i="2" a="1"/>
  <c r="DN86" i="2" s="1"/>
  <c r="DN152" i="2" a="1"/>
  <c r="DN152" i="2" s="1"/>
  <c r="DN29" i="2" a="1"/>
  <c r="DN29" i="2" s="1"/>
  <c r="DN133" i="2" a="1"/>
  <c r="DN133" i="2" s="1"/>
  <c r="DN114" i="2" a="1"/>
  <c r="DN114" i="2" s="1"/>
  <c r="DN65" i="2" a="1"/>
  <c r="DN65" i="2" s="1"/>
  <c r="DN103" i="2" a="1"/>
  <c r="DN103" i="2" s="1"/>
  <c r="DN115" i="2" a="1"/>
  <c r="DN115" i="2" s="1"/>
  <c r="DN41" i="2" a="1"/>
  <c r="DN41" i="2" s="1"/>
  <c r="DN164" i="2" a="1"/>
  <c r="DN164" i="2" s="1"/>
  <c r="DN177" i="2" a="1"/>
  <c r="DN177" i="2" s="1"/>
  <c r="DN135" i="2" a="1"/>
  <c r="DN135" i="2" s="1"/>
  <c r="DN38" i="2" a="1"/>
  <c r="DN38" i="2" s="1"/>
  <c r="DN153" i="2" a="1"/>
  <c r="DN153" i="2" s="1"/>
  <c r="DN43" i="2" a="1"/>
  <c r="DN43" i="2" s="1"/>
  <c r="DN63" i="2" a="1"/>
  <c r="DN63" i="2" s="1"/>
  <c r="DN45" i="2" a="1"/>
  <c r="DN45" i="2" s="1"/>
  <c r="DN70" i="2" a="1"/>
  <c r="DN70" i="2" s="1"/>
  <c r="DN55" i="2" a="1"/>
  <c r="DN55" i="2" s="1"/>
  <c r="DN123" i="2" a="1"/>
  <c r="DN123" i="2" s="1"/>
  <c r="DN170" i="2" a="1"/>
  <c r="DN170" i="2" s="1"/>
  <c r="DN186" i="2" a="1"/>
  <c r="DN186" i="2" s="1"/>
  <c r="DN132" i="2" a="1"/>
  <c r="DN132" i="2" s="1"/>
  <c r="DN110" i="2" a="1"/>
  <c r="DN110" i="2" s="1"/>
  <c r="DN129" i="2" a="1"/>
  <c r="DN129" i="2" s="1"/>
  <c r="DN137" i="2" a="1"/>
  <c r="DN137" i="2" s="1"/>
  <c r="DN30" i="2" a="1"/>
  <c r="DN30" i="2" s="1"/>
  <c r="DN31" i="2" a="1"/>
  <c r="DN31" i="2" s="1"/>
  <c r="DN80" i="2" a="1"/>
  <c r="DN80" i="2" s="1"/>
  <c r="DN150" i="2" a="1"/>
  <c r="DN150" i="2" s="1"/>
  <c r="DN50" i="2" a="1"/>
  <c r="DN50" i="2" s="1"/>
  <c r="DN46" i="2" a="1"/>
  <c r="DN46" i="2" s="1"/>
  <c r="DN167" i="2" a="1"/>
  <c r="DN167" i="2" s="1"/>
  <c r="DN192" i="2" a="1"/>
  <c r="DN192" i="2" s="1"/>
  <c r="DN113" i="2" a="1"/>
  <c r="DN113" i="2" s="1"/>
  <c r="DN124" i="2" a="1"/>
  <c r="DN124" i="2" s="1"/>
  <c r="DN16" i="2" a="1"/>
  <c r="DN16" i="2" s="1"/>
  <c r="DN168" i="2" a="1"/>
  <c r="DN168" i="2" s="1"/>
  <c r="DN66" i="2" a="1"/>
  <c r="DN66" i="2" s="1"/>
  <c r="DN25" i="2" a="1"/>
  <c r="DN25" i="2" s="1"/>
  <c r="CS116" i="2" a="1"/>
  <c r="CS116" i="2" s="1"/>
  <c r="CS129" i="2" a="1"/>
  <c r="CS129" i="2" s="1"/>
  <c r="BX107" i="2" a="1"/>
  <c r="BX107" i="2" s="1"/>
  <c r="AH163" i="2" a="1"/>
  <c r="AH163" i="2" s="1"/>
  <c r="AH151" i="2" a="1"/>
  <c r="AH151" i="2" s="1"/>
  <c r="AH62" i="2" a="1"/>
  <c r="AH62" i="2" s="1"/>
  <c r="AH199" i="2" a="1"/>
  <c r="AH199" i="2" s="1"/>
  <c r="AH166" i="2" a="1"/>
  <c r="AH166" i="2" s="1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J100" i="2" l="1"/>
  <c r="FJ203" i="2"/>
  <c r="FJ18" i="2"/>
  <c r="FJ198" i="2"/>
  <c r="FJ193" i="2"/>
  <c r="FJ32" i="2"/>
  <c r="FJ38" i="2"/>
  <c r="FJ121" i="2"/>
  <c r="FJ9" i="2"/>
  <c r="FJ82" i="2"/>
  <c r="FJ62" i="2"/>
  <c r="FJ51" i="2"/>
  <c r="FJ130" i="2"/>
  <c r="FJ41" i="2"/>
  <c r="FJ105" i="2"/>
  <c r="FJ145" i="2"/>
  <c r="FJ19" i="2"/>
  <c r="FJ46" i="2"/>
  <c r="FJ74" i="2"/>
  <c r="FJ3" i="2"/>
  <c r="C13" i="4" s="1"/>
  <c r="E13" i="4" s="1"/>
  <c r="F13" i="4" s="1"/>
  <c r="G13" i="4" s="1"/>
  <c r="L13" i="4" s="1"/>
  <c r="FJ106" i="2"/>
  <c r="FJ63" i="2"/>
  <c r="FJ107" i="2"/>
  <c r="FJ124" i="2"/>
  <c r="FJ66" i="2"/>
  <c r="FJ99" i="2"/>
  <c r="FJ178" i="2"/>
  <c r="FJ117" i="2"/>
  <c r="FJ25" i="2"/>
  <c r="FJ175" i="2"/>
  <c r="FJ6" i="2"/>
  <c r="FJ181" i="2"/>
  <c r="FJ44" i="2"/>
  <c r="FJ109" i="2"/>
  <c r="FJ86" i="2"/>
  <c r="FJ94" i="2"/>
  <c r="FJ122" i="2"/>
  <c r="FJ85" i="2"/>
  <c r="FJ91" i="2"/>
  <c r="FJ110" i="2"/>
  <c r="FJ43" i="2"/>
  <c r="FJ31" i="2"/>
  <c r="FJ149" i="2"/>
  <c r="FJ87" i="2"/>
  <c r="FJ125" i="2"/>
  <c r="FJ139" i="2"/>
  <c r="FJ72" i="2"/>
  <c r="FJ169" i="2"/>
  <c r="FJ96" i="2"/>
  <c r="FJ189" i="2"/>
  <c r="FJ80" i="2"/>
  <c r="FJ30" i="2"/>
  <c r="FJ56" i="2"/>
  <c r="FJ131" i="2"/>
  <c r="FJ194" i="2"/>
  <c r="FJ152" i="2"/>
  <c r="FJ128" i="2"/>
  <c r="FJ108" i="2"/>
  <c r="FJ7" i="2"/>
  <c r="FJ71" i="2"/>
  <c r="FJ144" i="2"/>
  <c r="FJ197" i="2"/>
  <c r="FJ200" i="2"/>
  <c r="FJ14" i="2"/>
  <c r="FJ177" i="2"/>
  <c r="FJ52" i="2"/>
  <c r="FJ151" i="2"/>
  <c r="FJ202" i="2"/>
  <c r="FJ158" i="2"/>
  <c r="FJ114" i="2"/>
  <c r="FJ137" i="2"/>
  <c r="FJ27" i="2"/>
  <c r="FJ76" i="2"/>
  <c r="FJ172" i="2"/>
  <c r="FJ26" i="2"/>
  <c r="FJ59" i="2"/>
  <c r="FJ47" i="2"/>
  <c r="FJ89" i="2"/>
  <c r="FJ15" i="2"/>
  <c r="FJ161" i="2"/>
  <c r="FJ69" i="2"/>
  <c r="FJ176" i="2"/>
  <c r="FJ156" i="2"/>
  <c r="FJ55" i="2"/>
  <c r="FJ104" i="2"/>
  <c r="FJ40" i="2"/>
  <c r="FJ134" i="2"/>
  <c r="FJ195" i="2"/>
  <c r="FJ192" i="2"/>
  <c r="FJ186" i="2"/>
  <c r="FJ157" i="2"/>
  <c r="FJ201" i="2"/>
  <c r="FJ168" i="2"/>
  <c r="FJ67" i="2"/>
  <c r="FJ182" i="2"/>
  <c r="FJ174" i="2"/>
  <c r="FJ115" i="2"/>
  <c r="FJ34" i="2"/>
  <c r="FJ141" i="2"/>
  <c r="FJ54" i="2"/>
  <c r="FJ113" i="2"/>
  <c r="FJ33" i="2"/>
  <c r="FJ64" i="2"/>
  <c r="FJ147" i="2"/>
  <c r="FJ4" i="2"/>
  <c r="FJ185" i="2"/>
  <c r="FJ88" i="2"/>
  <c r="FJ77" i="2"/>
  <c r="FJ136" i="2"/>
  <c r="FJ75" i="2"/>
  <c r="FJ17" i="2"/>
  <c r="FJ35" i="2"/>
  <c r="FJ126" i="2"/>
  <c r="FJ150" i="2"/>
  <c r="FJ180" i="2"/>
  <c r="FJ42" i="2"/>
  <c r="FJ12" i="2"/>
  <c r="FJ93" i="2"/>
  <c r="FJ81" i="2"/>
  <c r="FJ163" i="2"/>
  <c r="FJ23" i="2"/>
  <c r="FJ140" i="2"/>
  <c r="FJ78" i="2"/>
  <c r="FJ112" i="2"/>
  <c r="FJ60" i="2"/>
  <c r="FJ95" i="2"/>
  <c r="FJ155" i="2"/>
  <c r="FJ79" i="2"/>
  <c r="FJ120" i="2"/>
  <c r="FJ183" i="2"/>
  <c r="FJ116" i="2"/>
  <c r="FJ92" i="2"/>
  <c r="FJ10" i="2"/>
  <c r="FJ101" i="2"/>
  <c r="FJ166" i="2"/>
  <c r="FJ138" i="2"/>
  <c r="FJ70" i="2"/>
  <c r="FJ39" i="2"/>
  <c r="FJ20" i="2"/>
  <c r="FJ102" i="2"/>
  <c r="FJ173" i="2"/>
  <c r="FJ170" i="2"/>
  <c r="FJ171" i="2"/>
  <c r="FJ98" i="2"/>
  <c r="FJ129" i="2"/>
  <c r="FJ49" i="2"/>
  <c r="FJ57" i="2"/>
  <c r="FJ184" i="2"/>
  <c r="FJ58" i="2"/>
  <c r="FJ45" i="2"/>
  <c r="FJ160" i="2"/>
  <c r="FJ123" i="2"/>
  <c r="FJ97" i="2"/>
  <c r="FJ133" i="2"/>
  <c r="FJ118" i="2"/>
  <c r="FJ90" i="2"/>
  <c r="FJ50" i="2"/>
  <c r="FJ73" i="2"/>
  <c r="FJ48" i="2"/>
  <c r="FJ22" i="2"/>
  <c r="FJ146" i="2"/>
  <c r="FJ188" i="2"/>
  <c r="FJ187" i="2"/>
  <c r="FJ103" i="2"/>
  <c r="FJ68" i="2"/>
  <c r="FJ13" i="2"/>
  <c r="FJ196" i="2"/>
  <c r="FJ165" i="2"/>
  <c r="FJ127" i="2"/>
  <c r="FJ28" i="2"/>
  <c r="FJ159" i="2"/>
  <c r="FJ8" i="2"/>
  <c r="FJ84" i="2"/>
  <c r="FJ21" i="2"/>
  <c r="FJ16" i="2"/>
  <c r="FJ37" i="2"/>
  <c r="FJ199" i="2"/>
  <c r="FJ135" i="2"/>
  <c r="FJ179" i="2"/>
  <c r="FJ190" i="2"/>
  <c r="FJ65" i="2"/>
  <c r="FJ11" i="2"/>
  <c r="FJ83" i="2"/>
  <c r="FJ111" i="2"/>
  <c r="FJ164" i="2"/>
  <c r="FJ167" i="2"/>
  <c r="FJ29" i="2"/>
  <c r="FJ148" i="2"/>
  <c r="FJ61" i="2"/>
  <c r="FJ162" i="2"/>
  <c r="FJ143" i="2"/>
  <c r="FJ153" i="2"/>
  <c r="FJ142" i="2"/>
  <c r="FJ132" i="2"/>
  <c r="FJ36" i="2"/>
  <c r="FJ191" i="2"/>
  <c r="FJ53" i="2"/>
  <c r="FJ24" i="2"/>
  <c r="FJ119" i="2"/>
  <c r="FJ5" i="2"/>
  <c r="FJ154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<sst xmlns="http://schemas.openxmlformats.org/spreadsheetml/2006/main" count="1184" uniqueCount="331">
  <si>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</si>
  <si>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</si>
  <si>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</si>
  <si>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</si>
  <si>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</si>
  <si>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</si>
  <si>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</si>
  <si>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</si>
  <si>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</si>
  <si>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</si>
  <si>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</si>
  <si>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</si>
  <si>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</si>
  <si>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</si>
  <si>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</si>
  <si>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</si>
  <si>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</si>
  <si>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</si>
  <si>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</si>
  <si>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</si>
  <si>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</si>
  <si>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</si>
  <si>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</si>
  <si>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</si>
  <si>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</si>
  <si>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</si>
  <si>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</si>
  <si>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</si>
  <si>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</si>
  <si>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</si>
  <si>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</si>
  <si>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</si>
  <si>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</si>
  <si>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</si>
  <si>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</si>
  <si>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</si>
  <si>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</si>
  <si>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</si>
  <si>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</si>
  <si>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</si>
  <si>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</si>
  <si>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</si>
  <si>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</si>
  <si>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</si>
  <si>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</si>
  <si>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</si>
  <si>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</si>
  <si>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</si>
  <si>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</si>
  <si>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</si>
  <si>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</si>
  <si>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</si>
  <si>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</si>
  <si>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</si>
  <si>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</si>
  <si>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</si>
  <si>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</si>
  <si>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</si>
  <si>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</si>
  <si>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</si>
  <si>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</si>
  <si>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</si>
  <si>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</si>
  <si>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</si>
  <si>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</si>
  <si>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</si>
  <si>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</si>
  <si>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</si>
  <si>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</si>
  <si>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</si>
  <si>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</si>
  <si>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</si>
  <si>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</si>
  <si>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</si>
  <si>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</si>
  <si>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</si>
  <si>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</si>
  <si>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</si>
  <si>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</si>
  <si>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</si>
  <si>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</si>
  <si>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</si>
  <si>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</si>
  <si>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</si>
  <si>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</si>
  <si>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</si>
  <si>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</si>
  <si>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</si>
  <si>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</si>
  <si>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</si>
  <si>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</si>
  <si>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</si>
  <si>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</si>
  <si>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</si>
  <si>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</si>
  <si>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</si>
  <si>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</si>
  <si>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</si>
  <si>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</si>
  <si>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</si>
  <si>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</si>
  <si>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</si>
  <si>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</si>
  <si>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</si>
  <si>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</si>
  <si>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</si>
  <si>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</si>
  <si>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</si>
  <si>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</si>
  <si>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</si>
  <si>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</si>
  <si>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</si>
  <si>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</si>
  <si>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</si>
  <si>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</si>
  <si>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</si>
  <si>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</si>
  <si>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</si>
  <si>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</si>
  <si>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</si>
  <si>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</si>
  <si>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</si>
  <si>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</si>
  <si>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</si>
  <si>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</si>
  <si>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</si>
  <si>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</si>
  <si>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</si>
  <si>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</si>
  <si>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</si>
  <si>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</si>
  <si>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</si>
  <si>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</si>
  <si>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</si>
  <si>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</si>
  <si>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</si>
  <si>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</si>
  <si>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</si>
  <si>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</si>
  <si>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</si>
  <si>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</si>
  <si>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</si>
  <si>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</si>
  <si>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</si>
  <si>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</si>
  <si>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</si>
  <si>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</si>
  <si>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</si>
  <si>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</si>
  <si>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</si>
  <si>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</si>
  <si>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</si>
  <si>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</si>
  <si>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</si>
  <si>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</si>
  <si>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</si>
  <si>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</si>
  <si>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</si>
  <si>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</si>
  <si>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</si>
  <si>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</si>
  <si>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</si>
  <si>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</si>
  <si>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</si>
  <si>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</si>
  <si>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</si>
  <si>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</si>
  <si>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</si>
  <si>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</si>
  <si>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</si>
  <si>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</si>
  <si>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</si>
  <si>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</si>
  <si>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</si>
  <si>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</si>
  <si>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</si>
  <si>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</si>
  <si>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</si>
  <si>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</si>
  <si>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</si>
  <si>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</si>
  <si>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</si>
  <si>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</si>
  <si>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</si>
  <si>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</si>
  <si>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</si>
  <si>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</si>
  <si>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</si>
  <si>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</si>
  <si>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</si>
  <si>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</si>
  <si>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</si>
  <si>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</si>
  <si>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</si>
  <si>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</si>
  <si>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</si>
  <si>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</si>
  <si>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</si>
  <si>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</si>
  <si>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</si>
  <si>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</si>
  <si>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</si>
  <si>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</si>
  <si>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</si>
  <si>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</si>
  <si>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</si>
  <si>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</si>
  <si>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</si>
  <si>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</si>
  <si>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</si>
  <si>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</si>
  <si>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</si>
  <si>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</si>
  <si>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</si>
  <si>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</si>
  <si>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</si>
  <si>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</si>
  <si>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</si>
  <si>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</si>
  <si>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</si>
  <si>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</si>
  <si>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</si>
  <si>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</si>
  <si>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</si>
  <si>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</si>
  <si>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</si>
  <si>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</si>
  <si>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</si>
  <si>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</si>
  <si>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</si>
  <si>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</si>
  <si>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</si>
  <si>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</si>
  <si>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</si>
  <si>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</si>
  <si>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</si>
  <si>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</si>
  <si>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</si>
  <si>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</si>
  <si>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</si>
  <si>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</si>
  <si>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</si>
  <si>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</si>
  <si>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</si>
  <si>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</si>
  <si>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</si>
  <si>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</si>
  <si>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</si>
  <si>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</si>
  <si>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</si>
  <si>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</si>
  <si>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</si>
  <si>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</si>
  <si>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</si>
  <si>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</si>
  <si>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</si>
  <si>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</si>
  <si>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</si>
  <si>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</si>
  <si>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</si>
  <si>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</si>
  <si>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</si>
  <si>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</si>
  <si>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</si>
  <si>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</si>
  <si>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</si>
  <si>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</si>
  <si>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</si>
  <si>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</si>
  <si>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</si>
  <si>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</si>
  <si>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</si>
  <si>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</si>
  <si>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</si>
  <si>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</si>
  <si>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</si>
  <si>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</si>
  <si>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</si>
  <si>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</si>
  <si>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</si>
  <si>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</si>
  <si>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</si>
  <si>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</si>
  <si>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</si>
  <si>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</si>
  <si>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</si>
  <si>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</si>
  <si>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</si>
  <si>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</si>
  <si>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</si>
  <si>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</si>
  <si>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</si>
  <si>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</si>
  <si>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</si>
  <si>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</si>
  <si>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</si>
  <si>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</si>
  <si>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</si>
  <si>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</si>
  <si>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</si>
  <si>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</si>
  <si>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</si>
  <si>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</si>
  <si>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</si>
  <si>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</si>
  <si>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</si>
  <si>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</si>
  <si>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</si>
  <si>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</si>
  <si>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</si>
  <si>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</si>
  <si>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</si>
  <si>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</si>
  <si>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</si>
  <si>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</si>
  <si>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</si>
  <si>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</si>
  <si>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</si>
  <si>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</si>
  <si>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</si>
  <si>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</si>
  <si>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</si>
  <si>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</si>
  <si>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</si>
  <si>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RONDEUX (2005) MELEZE D'EUROPE Scénario Multi-objectif - CLASSE MOYENNE</t>
  </si>
  <si>
    <t>ONF - CEDRE 3(2/3/4) - CLASSE MOYENNE</t>
  </si>
  <si>
    <t>ONF - PIN NOIR ALPES 2(1/2) - CLASSE MOYENNE</t>
  </si>
  <si>
    <t>ONF - CHÊNE SESSILE LOIRE 2(1/2) - CLASSE MOYENNE</t>
  </si>
  <si>
    <t>ONF - PIN LARICIO CENTRE N-O 2(1/2/3) - CLASSE MOYENNE</t>
  </si>
  <si>
    <t>JANSEN - CHÊNE ROUGE 6(3/4/5/6/7/8/9) - CLASSE MOYENNE</t>
  </si>
  <si>
    <t>BRIT - ERABLE (SAB) 8(4/6/8/10/12) - CLASSE 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</si>
</sst>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6.6488575160347914</c:v>
                </c:pt>
                <c:pt idx="2">
                  <c:v>12.997781674777102</c:v>
                </c:pt>
                <c:pt idx="3">
                  <c:v>19.249842414826656</c:v>
                </c:pt>
                <c:pt idx="4">
                  <c:v>25.442194289830848</c:v>
                </c:pt>
                <c:pt idx="5">
                  <c:v>31.591676961509503</c:v>
                </c:pt>
                <c:pt idx="6">
                  <c:v>37.707896475983098</c:v>
                </c:pt>
                <c:pt idx="7">
                  <c:v>43.797045479762353</c:v>
                </c:pt>
                <c:pt idx="8">
                  <c:v>49.863437395627479</c:v>
                </c:pt>
                <c:pt idx="9">
                  <c:v>55.910242644193126</c:v>
                </c:pt>
                <c:pt idx="10">
                  <c:v>61.939885776350934</c:v>
                </c:pt>
                <c:pt idx="11">
                  <c:v>67.954278372358246</c:v>
                </c:pt>
                <c:pt idx="12">
                  <c:v>73.954964517524616</c:v>
                </c:pt>
                <c:pt idx="13">
                  <c:v>79.943216274564875</c:v>
                </c:pt>
                <c:pt idx="14">
                  <c:v>85.920098887107244</c:v>
                </c:pt>
                <c:pt idx="15">
                  <c:v>91.88651679801491</c:v>
                </c:pt>
                <c:pt idx="16">
                  <c:v>97.843247035301388</c:v>
                </c:pt>
                <c:pt idx="17">
                  <c:v>103.79096400875802</c:v>
                </c:pt>
                <c:pt idx="18">
                  <c:v>109.73025830374171</c:v>
                </c:pt>
                <c:pt idx="19">
                  <c:v>115.66165117883212</c:v>
                </c:pt>
                <c:pt idx="20">
                  <c:v>121.58560592427973</c:v>
                </c:pt>
                <c:pt idx="21">
                  <c:v>127.50253688420678</c:v>
                </c:pt>
                <c:pt idx="22">
                  <c:v>133.41281671160229</c:v>
                </c:pt>
                <c:pt idx="23">
                  <c:v>139.31678226693955</c:v>
                </c:pt>
                <c:pt idx="24">
                  <c:v>145.21473946200081</c:v>
                </c:pt>
                <c:pt idx="25">
                  <c:v>151.10696727364919</c:v>
                </c:pt>
                <c:pt idx="26">
                  <c:v>156.99372109732053</c:v>
                </c:pt>
                <c:pt idx="27">
                  <c:v>162.87523557008112</c:v>
                </c:pt>
                <c:pt idx="28">
                  <c:v>168.75172696369808</c:v>
                </c:pt>
                <c:pt idx="29">
                  <c:v>174.62339522623526</c:v>
                </c:pt>
                <c:pt idx="30">
                  <c:v>180.49042573413877</c:v>
                </c:pt>
                <c:pt idx="31">
                  <c:v>186.35299080414816</c:v>
                </c:pt>
                <c:pt idx="32">
                  <c:v>192.21125100464255</c:v>
                </c:pt>
                <c:pt idx="33">
                  <c:v>198.06535629846334</c:v>
                </c:pt>
                <c:pt idx="34">
                  <c:v>203.91544704332102</c:v>
                </c:pt>
                <c:pt idx="35">
                  <c:v>209.76165487120025</c:v>
                </c:pt>
                <c:pt idx="36">
                  <c:v>215.60410346443578</c:v>
                </c:pt>
                <c:pt idx="37">
                  <c:v>221.4429092431343</c:v>
                </c:pt>
                <c:pt idx="38">
                  <c:v>227.27818197618993</c:v>
                </c:pt>
                <c:pt idx="39">
                  <c:v>233.11002532617348</c:v>
                </c:pt>
                <c:pt idx="40">
                  <c:v>238.93853733676255</c:v>
                </c:pt>
                <c:pt idx="41">
                  <c:v>244.7638108700572</c:v>
                </c:pt>
                <c:pt idx="42">
                  <c:v>250.5859340000288</c:v>
                </c:pt>
                <c:pt idx="43">
                  <c:v>256.40499036744262</c:v>
                </c:pt>
                <c:pt idx="44">
                  <c:v>262.22105950083329</c:v>
                </c:pt>
                <c:pt idx="45">
                  <c:v>268.03421710747892</c:v>
                </c:pt>
                <c:pt idx="46">
                  <c:v>182.34482750021712</c:v>
                </c:pt>
                <c:pt idx="47">
                  <c:v>192.09078024882709</c:v>
                </c:pt>
                <c:pt idx="48">
                  <c:v>201.82522741773963</c:v>
                </c:pt>
                <c:pt idx="49">
                  <c:v>211.54880272430398</c:v>
                </c:pt>
                <c:pt idx="50">
                  <c:v>221.26207680515509</c:v>
                </c:pt>
                <c:pt idx="51">
                  <c:v>230.96556604965974</c:v>
                </c:pt>
                <c:pt idx="52">
                  <c:v>240.65973986926053</c:v>
                </c:pt>
                <c:pt idx="53">
                  <c:v>250.34502673283899</c:v>
                </c:pt>
                <c:pt idx="54">
                  <c:v>260.02181921820448</c:v>
                </c:pt>
                <c:pt idx="55">
                  <c:v>269.69047827151059</c:v>
                </c:pt>
                <c:pt idx="56">
                  <c:v>279.3513368233352</c:v>
                </c:pt>
                <c:pt idx="57">
                  <c:v>289.00470287794536</c:v>
                </c:pt>
                <c:pt idx="58">
                  <c:v>298.65086216789865</c:v>
                </c:pt>
                <c:pt idx="59">
                  <c:v>308.29008044749582</c:v>
                </c:pt>
                <c:pt idx="60">
                  <c:v>317.92260548420961</c:v>
                </c:pt>
                <c:pt idx="61">
                  <c:v>234.63500502788847</c:v>
                </c:pt>
                <c:pt idx="62">
                  <c:v>243.37184649768338</c:v>
                </c:pt>
                <c:pt idx="63">
                  <c:v>252.10155768180616</c:v>
                </c:pt>
                <c:pt idx="64">
                  <c:v>260.82442055001712</c:v>
                </c:pt>
                <c:pt idx="65">
                  <c:v>269.54069665289364</c:v>
                </c:pt>
                <c:pt idx="66">
                  <c:v>278.2506292275105</c:v>
                </c:pt>
                <c:pt idx="67">
                  <c:v>286.95444502544359</c:v>
                </c:pt>
                <c:pt idx="68">
                  <c:v>295.65235590720027</c:v>
                </c:pt>
                <c:pt idx="69">
                  <c:v>304.34456023906199</c:v>
                </c:pt>
                <c:pt idx="70">
                  <c:v>313.03124412188703</c:v>
                </c:pt>
                <c:pt idx="71">
                  <c:v>321.71258247628845</c:v>
                </c:pt>
                <c:pt idx="72">
                  <c:v>330.3887400044805</c:v>
                </c:pt>
                <c:pt idx="73">
                  <c:v>339.05987204574757</c:v>
                </c:pt>
                <c:pt idx="74">
                  <c:v>347.72612533977775</c:v>
                </c:pt>
                <c:pt idx="75">
                  <c:v>356.38763870988345</c:v>
                </c:pt>
                <c:pt idx="76">
                  <c:v>268.35863985912823</c:v>
                </c:pt>
                <c:pt idx="77">
                  <c:v>276.42274245908385</c:v>
                </c:pt>
                <c:pt idx="78">
                  <c:v>284.48156351540609</c:v>
                </c:pt>
                <c:pt idx="79">
                  <c:v>292.5352738962419</c:v>
                </c:pt>
                <c:pt idx="80">
                  <c:v>300.58403428413141</c:v>
                </c:pt>
                <c:pt idx="81">
                  <c:v>308.62799604568062</c:v>
                </c:pt>
                <c:pt idx="82">
                  <c:v>316.66730200575722</c:v>
                </c:pt>
                <c:pt idx="83">
                  <c:v>324.70208713890156</c:v>
                </c:pt>
                <c:pt idx="84">
                  <c:v>332.73247918867486</c:v>
                </c:pt>
                <c:pt idx="85">
                  <c:v>340.75859922405465</c:v>
                </c:pt>
                <c:pt idx="86">
                  <c:v>348.78056214063616</c:v>
                </c:pt>
                <c:pt idx="87">
                  <c:v>356.79847711328745</c:v>
                </c:pt>
                <c:pt idx="88">
                  <c:v>364.81244800596755</c:v>
                </c:pt>
                <c:pt idx="89">
                  <c:v>372.82257374363513</c:v>
                </c:pt>
                <c:pt idx="90">
                  <c:v>380.82894865050861</c:v>
                </c:pt>
                <c:pt idx="91">
                  <c:v>304.31511180019942</c:v>
                </c:pt>
                <c:pt idx="92">
                  <c:v>311.88897257517925</c:v>
                </c:pt>
                <c:pt idx="93">
                  <c:v>319.45875315927424</c:v>
                </c:pt>
                <c:pt idx="94">
                  <c:v>327.02456396582056</c:v>
                </c:pt>
                <c:pt idx="95">
                  <c:v>334.58650987749132</c:v>
                </c:pt>
                <c:pt idx="96">
                  <c:v>342.1446906448304</c:v>
                </c:pt>
                <c:pt idx="97">
                  <c:v>349.69920124770789</c:v>
                </c:pt>
                <c:pt idx="98">
                  <c:v>357.25013222389106</c:v>
                </c:pt>
                <c:pt idx="99">
                  <c:v>364.79756996836642</c:v>
                </c:pt>
                <c:pt idx="100">
                  <c:v>372.3415970065841</c:v>
                </c:pt>
                <c:pt idx="101">
                  <c:v>260.90193671786096</c:v>
                </c:pt>
                <c:pt idx="102">
                  <c:v>267.4615337118376</c:v>
                </c:pt>
                <c:pt idx="103">
                  <c:v>274.01750696156188</c:v>
                </c:pt>
                <c:pt idx="104">
                  <c:v>280.56995551305215</c:v>
                </c:pt>
                <c:pt idx="105">
                  <c:v>287.1189734024307</c:v>
                </c:pt>
                <c:pt idx="106">
                  <c:v>293.66465002038825</c:v>
                </c:pt>
                <c:pt idx="107">
                  <c:v>300.20707044242238</c:v>
                </c:pt>
                <c:pt idx="108">
                  <c:v>306.74631572875654</c:v>
                </c:pt>
                <c:pt idx="109">
                  <c:v>313.28246319732176</c:v>
                </c:pt>
                <c:pt idx="110">
                  <c:v>319.81558667274743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7.2578049099580646</c:v>
                </c:pt>
                <c:pt idx="2">
                  <c:v>14.190651667141474</c:v>
                </c:pt>
                <c:pt idx="3">
                  <c:v>21.018553252857533</c:v>
                </c:pt>
                <c:pt idx="4">
                  <c:v>27.781764193076338</c:v>
                </c:pt>
                <c:pt idx="5">
                  <c:v>34.49852915859816</c:v>
                </c:pt>
                <c:pt idx="6">
                  <c:v>41.179255671383721</c:v>
                </c:pt>
                <c:pt idx="7">
                  <c:v>47.830653058428474</c:v>
                </c:pt>
                <c:pt idx="8">
                  <c:v>54.457394630868727</c:v>
                </c:pt>
                <c:pt idx="9">
                  <c:v>61.062915331839015</c:v>
                </c:pt>
                <c:pt idx="10">
                  <c:v>67.649842003469175</c:v>
                </c:pt>
                <c:pt idx="11">
                  <c:v>74.220245717796288</c:v>
                </c:pt>
                <c:pt idx="12">
                  <c:v>80.775799390145536</c:v>
                </c:pt>
                <c:pt idx="13">
                  <c:v>87.317881217172769</c:v>
                </c:pt>
                <c:pt idx="14">
                  <c:v>93.847645320596328</c:v>
                </c:pt>
                <c:pt idx="15">
                  <c:v>100.36607160503483</c:v>
                </c:pt>
                <c:pt idx="16">
                  <c:v>106.87400192946065</c:v>
                </c:pt>
                <c:pt idx="17">
                  <c:v>113.3721669727218</c:v>
                </c:pt>
                <c:pt idx="18">
                  <c:v>119.86120659538057</c:v>
                </c:pt>
                <c:pt idx="19">
                  <c:v>126.3416855469756</c:v>
                </c:pt>
                <c:pt idx="20">
                  <c:v>132.81410577215675</c:v>
                </c:pt>
                <c:pt idx="21">
                  <c:v>139.27891618564885</c:v>
                </c:pt>
                <c:pt idx="22">
                  <c:v>145.7365205325641</c:v>
                </c:pt>
                <c:pt idx="23">
                  <c:v>152.18728377916722</c:v>
                </c:pt>
                <c:pt idx="24">
                  <c:v>158.631537360843</c:v>
                </c:pt>
                <c:pt idx="25">
                  <c:v>165.06958353075512</c:v>
                </c:pt>
                <c:pt idx="26">
                  <c:v>171.50169899313482</c:v>
                </c:pt>
                <c:pt idx="27">
                  <c:v>177.92813796187917</c:v>
                </c:pt>
                <c:pt idx="28">
                  <c:v>184.34913475328611</c:v>
                </c:pt>
                <c:pt idx="29">
                  <c:v>190.76490599799027</c:v>
                </c:pt>
                <c:pt idx="30">
                  <c:v>197.1756525392324</c:v>
                </c:pt>
                <c:pt idx="31">
                  <c:v>203.58156107091631</c:v>
                </c:pt>
                <c:pt idx="32">
                  <c:v>209.98280555836664</c:v>
                </c:pt>
                <c:pt idx="33">
                  <c:v>216.37954847650238</c:v>
                </c:pt>
                <c:pt idx="34">
                  <c:v>222.77194189371221</c:v>
                </c:pt>
                <c:pt idx="35">
                  <c:v>229.16012842463203</c:v>
                </c:pt>
                <c:pt idx="36">
                  <c:v>235.54424207097281</c:v>
                </c:pt>
                <c:pt idx="37">
                  <c:v>241.92440896629682</c:v>
                </c:pt>
                <c:pt idx="38">
                  <c:v>248.30074803801315</c:v>
                </c:pt>
                <c:pt idx="39">
                  <c:v>254.6733715977293</c:v>
                </c:pt>
                <c:pt idx="40">
                  <c:v>261.04238586935008</c:v>
                </c:pt>
                <c:pt idx="41">
                  <c:v>267.40789146288012</c:v>
                </c:pt>
                <c:pt idx="42">
                  <c:v>273.76998380070035</c:v>
                </c:pt>
                <c:pt idx="43">
                  <c:v>280.12875350210294</c:v>
                </c:pt>
                <c:pt idx="44">
                  <c:v>286.48428673104786</c:v>
                </c:pt>
                <c:pt idx="45">
                  <c:v>292.8366655114134</c:v>
                </c:pt>
                <c:pt idx="46">
                  <c:v>299.18596801343546</c:v>
                </c:pt>
                <c:pt idx="47">
                  <c:v>305.53226881453571</c:v>
                </c:pt>
                <c:pt idx="48">
                  <c:v>311.87563913732487</c:v>
                </c:pt>
                <c:pt idx="49">
                  <c:v>318.21614706721363</c:v>
                </c:pt>
                <c:pt idx="50">
                  <c:v>324.55385775175705</c:v>
                </c:pt>
                <c:pt idx="51">
                  <c:v>330.88883358360027</c:v>
                </c:pt>
                <c:pt idx="52">
                  <c:v>242.84582202096098</c:v>
                </c:pt>
                <c:pt idx="53">
                  <c:v>255.11493587240568</c:v>
                </c:pt>
                <c:pt idx="54">
                  <c:v>267.37069905473982</c:v>
                </c:pt>
                <c:pt idx="55">
                  <c:v>279.61381001996523</c:v>
                </c:pt>
                <c:pt idx="56">
                  <c:v>291.84490102960513</c:v>
                </c:pt>
                <c:pt idx="57">
                  <c:v>304.06454699793903</c:v>
                </c:pt>
                <c:pt idx="58">
                  <c:v>316.27327283839895</c:v>
                </c:pt>
                <c:pt idx="59">
                  <c:v>328.47155961566824</c:v>
                </c:pt>
                <c:pt idx="60">
                  <c:v>340.65984973569317</c:v>
                </c:pt>
                <c:pt idx="61">
                  <c:v>352.83855135380367</c:v>
                </c:pt>
                <c:pt idx="62">
                  <c:v>365.00804214221148</c:v>
                </c:pt>
                <c:pt idx="63">
                  <c:v>377.168672528679</c:v>
                </c:pt>
                <c:pt idx="64">
                  <c:v>274.40485678736786</c:v>
                </c:pt>
                <c:pt idx="65">
                  <c:v>285.61751551336295</c:v>
                </c:pt>
                <c:pt idx="66">
                  <c:v>296.82032489091381</c:v>
                </c:pt>
                <c:pt idx="67">
                  <c:v>308.01370923446171</c:v>
                </c:pt>
                <c:pt idx="68">
                  <c:v>319.19805948534673</c:v>
                </c:pt>
                <c:pt idx="69">
                  <c:v>330.37373693916743</c:v>
                </c:pt>
                <c:pt idx="70">
                  <c:v>341.54107644218203</c:v>
                </c:pt>
                <c:pt idx="71">
                  <c:v>352.70038914763268</c:v>
                </c:pt>
                <c:pt idx="72">
                  <c:v>363.85196490487368</c:v>
                </c:pt>
                <c:pt idx="73">
                  <c:v>374.99607434021169</c:v>
                </c:pt>
                <c:pt idx="74">
                  <c:v>386.13297067740183</c:v>
                </c:pt>
                <c:pt idx="75">
                  <c:v>397.26289133710134</c:v>
                </c:pt>
                <c:pt idx="76">
                  <c:v>315.19947743069849</c:v>
                </c:pt>
                <c:pt idx="77">
                  <c:v>325.47025882589389</c:v>
                </c:pt>
                <c:pt idx="78">
                  <c:v>335.73388097490619</c:v>
                </c:pt>
                <c:pt idx="79">
                  <c:v>345.99059370648024</c:v>
                </c:pt>
                <c:pt idx="80">
                  <c:v>356.24063082093329</c:v>
                </c:pt>
                <c:pt idx="81">
                  <c:v>366.48421156004224</c:v>
                </c:pt>
                <c:pt idx="82">
                  <c:v>376.72154190394917</c:v>
                </c:pt>
                <c:pt idx="83">
                  <c:v>386.95281571968491</c:v>
                </c:pt>
                <c:pt idx="84">
                  <c:v>397.17821578184822</c:v>
                </c:pt>
                <c:pt idx="85">
                  <c:v>407.39791468265798</c:v>
                </c:pt>
                <c:pt idx="86">
                  <c:v>417.61207564590626</c:v>
                </c:pt>
                <c:pt idx="87">
                  <c:v>427.82085325710796</c:v>
                </c:pt>
                <c:pt idx="88">
                  <c:v>346.17544245653244</c:v>
                </c:pt>
                <c:pt idx="89">
                  <c:v>355.43677926715168</c:v>
                </c:pt>
                <c:pt idx="90">
                  <c:v>364.69283190482179</c:v>
                </c:pt>
                <c:pt idx="91">
                  <c:v>373.94375347059849</c:v>
                </c:pt>
                <c:pt idx="92">
                  <c:v>383.18968886818521</c:v>
                </c:pt>
                <c:pt idx="93">
                  <c:v>392.43077543433247</c:v>
                </c:pt>
                <c:pt idx="94">
                  <c:v>401.66714350673755</c:v>
                </c:pt>
                <c:pt idx="95">
                  <c:v>410.89891693696637</c:v>
                </c:pt>
                <c:pt idx="96">
                  <c:v>420.1262135548609</c:v>
                </c:pt>
                <c:pt idx="97">
                  <c:v>429.34914559000839</c:v>
                </c:pt>
                <c:pt idx="98">
                  <c:v>438.56782005509808</c:v>
                </c:pt>
                <c:pt idx="99">
                  <c:v>447.78233909535862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2.2940870949063847</c:v>
                </c:pt>
                <c:pt idx="2">
                  <c:v>3.258165228690928</c:v>
                </c:pt>
                <c:pt idx="3">
                  <c:v>4.6291674695202367</c:v>
                </c:pt>
                <c:pt idx="4">
                  <c:v>6.579555113137137</c:v>
                </c:pt>
                <c:pt idx="5">
                  <c:v>9.3551595981839544</c:v>
                </c:pt>
                <c:pt idx="6">
                  <c:v>13.306505741088722</c:v>
                </c:pt>
                <c:pt idx="7">
                  <c:v>18.933550378735188</c:v>
                </c:pt>
                <c:pt idx="8">
                  <c:v>26.949598834849215</c:v>
                </c:pt>
                <c:pt idx="9">
                  <c:v>38.372643313351738</c:v>
                </c:pt>
                <c:pt idx="10">
                  <c:v>54.655920320934996</c:v>
                </c:pt>
                <c:pt idx="11">
                  <c:v>77.874571981774324</c:v>
                </c:pt>
                <c:pt idx="12">
                  <c:v>110.99258294622179</c:v>
                </c:pt>
                <c:pt idx="13">
                  <c:v>116.23334196493688</c:v>
                </c:pt>
                <c:pt idx="14">
                  <c:v>140.54262569448233</c:v>
                </c:pt>
                <c:pt idx="15">
                  <c:v>164.75077334312189</c:v>
                </c:pt>
                <c:pt idx="16">
                  <c:v>188.874768296356</c:v>
                </c:pt>
                <c:pt idx="17">
                  <c:v>212.9268816625939</c:v>
                </c:pt>
                <c:pt idx="18">
                  <c:v>236.91637797100859</c:v>
                </c:pt>
                <c:pt idx="19">
                  <c:v>169.04021736745639</c:v>
                </c:pt>
                <c:pt idx="20">
                  <c:v>188.874768296356</c:v>
                </c:pt>
                <c:pt idx="21">
                  <c:v>208.6607526539311</c:v>
                </c:pt>
                <c:pt idx="22">
                  <c:v>228.4034245241277</c:v>
                </c:pt>
                <c:pt idx="23">
                  <c:v>248.10705443672927</c:v>
                </c:pt>
                <c:pt idx="24">
                  <c:v>267.77517870928619</c:v>
                </c:pt>
                <c:pt idx="25">
                  <c:v>208.43616413016289</c:v>
                </c:pt>
                <c:pt idx="26">
                  <c:v>225.7136276678045</c:v>
                </c:pt>
                <c:pt idx="27">
                  <c:v>242.96080175083068</c:v>
                </c:pt>
                <c:pt idx="28">
                  <c:v>260.18013918731202</c:v>
                </c:pt>
                <c:pt idx="29">
                  <c:v>277.37374145656463</c:v>
                </c:pt>
                <c:pt idx="30">
                  <c:v>294.54342815595749</c:v>
                </c:pt>
                <c:pt idx="31">
                  <c:v>245.42235893237441</c:v>
                </c:pt>
                <c:pt idx="32">
                  <c:v>260.62704337907638</c:v>
                </c:pt>
                <c:pt idx="33">
                  <c:v>275.81170051054812</c:v>
                </c:pt>
                <c:pt idx="34">
                  <c:v>290.97758824650174</c:v>
                </c:pt>
                <c:pt idx="35">
                  <c:v>306.12582263909655</c:v>
                </c:pt>
                <c:pt idx="36">
                  <c:v>321.2574002496246</c:v>
                </c:pt>
                <c:pt idx="37">
                  <c:v>275.36536664429354</c:v>
                </c:pt>
                <c:pt idx="38">
                  <c:v>289.64014717907838</c:v>
                </c:pt>
                <c:pt idx="39">
                  <c:v>303.8992084541465</c:v>
                </c:pt>
                <c:pt idx="40">
                  <c:v>318.14339197279986</c:v>
                </c:pt>
                <c:pt idx="41">
                  <c:v>332.37345771931626</c:v>
                </c:pt>
                <c:pt idx="42">
                  <c:v>346.59009528166484</c:v>
                </c:pt>
                <c:pt idx="43">
                  <c:v>303.8992084541465</c:v>
                </c:pt>
                <c:pt idx="44">
                  <c:v>317.25355162035777</c:v>
                </c:pt>
                <c:pt idx="45">
                  <c:v>330.59544737419031</c:v>
                </c:pt>
                <c:pt idx="46">
                  <c:v>343.92546889640715</c:v>
                </c:pt>
                <c:pt idx="47">
                  <c:v>357.24414130207202</c:v>
                </c:pt>
                <c:pt idx="48">
                  <c:v>370.55194735083091</c:v>
                </c:pt>
                <c:pt idx="49">
                  <c:v>333.04015745702924</c:v>
                </c:pt>
                <c:pt idx="50">
                  <c:v>344.81372791869586</c:v>
                </c:pt>
                <c:pt idx="51">
                  <c:v>356.57846961128126</c:v>
                </c:pt>
                <c:pt idx="52">
                  <c:v>368.33471495483519</c:v>
                </c:pt>
                <c:pt idx="53">
                  <c:v>380.08277341219082</c:v>
                </c:pt>
                <c:pt idx="54">
                  <c:v>391.82293375011437</c:v>
                </c:pt>
                <c:pt idx="55">
                  <c:v>356.35657300253291</c:v>
                </c:pt>
                <c:pt idx="56">
                  <c:v>368.77818468132637</c:v>
                </c:pt>
                <c:pt idx="57">
                  <c:v>381.19066877305676</c:v>
                </c:pt>
                <c:pt idx="58">
                  <c:v>393.59436441512338</c:v>
                </c:pt>
                <c:pt idx="59">
                  <c:v>405.98958762292006</c:v>
                </c:pt>
                <c:pt idx="60">
                  <c:v>418.37663353903207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261.61017170872896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326.84759797683068</c:v>
                </c:pt>
                <c:pt idx="65">
                  <c:v>334.12903710888457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1.6615082531095774E-12</c:v>
                </c:pt>
                <c:pt idx="92">
                  <c:v>1.6615082531095774E-12</c:v>
                </c:pt>
                <c:pt idx="93">
                  <c:v>1.6615082531095774E-12</c:v>
                </c:pt>
                <c:pt idx="94">
                  <c:v>1.6615082531095774E-12</c:v>
                </c:pt>
                <c:pt idx="95">
                  <c:v>1.6615082531095774E-12</c:v>
                </c:pt>
                <c:pt idx="96">
                  <c:v>1.6615082531095774E-12</c:v>
                </c:pt>
                <c:pt idx="97">
                  <c:v>1.6615082531095774E-12</c:v>
                </c:pt>
                <c:pt idx="98">
                  <c:v>1.6615082531095774E-12</c:v>
                </c:pt>
                <c:pt idx="99">
                  <c:v>1.6615082531095774E-12</c:v>
                </c:pt>
                <c:pt idx="100">
                  <c:v>1.6615082531095774E-12</c:v>
                </c:pt>
                <c:pt idx="101">
                  <c:v>1.6615082531095774E-12</c:v>
                </c:pt>
                <c:pt idx="102">
                  <c:v>1.6615082531095774E-12</c:v>
                </c:pt>
                <c:pt idx="103">
                  <c:v>1.6615082531095774E-12</c:v>
                </c:pt>
                <c:pt idx="104">
                  <c:v>1.6615082531095774E-12</c:v>
                </c:pt>
                <c:pt idx="105">
                  <c:v>1.6615082531095774E-12</c:v>
                </c:pt>
                <c:pt idx="106">
                  <c:v>1.6615082531095774E-12</c:v>
                </c:pt>
                <c:pt idx="107">
                  <c:v>1.6615082531095774E-12</c:v>
                </c:pt>
                <c:pt idx="108">
                  <c:v>1.6615082531095774E-12</c:v>
                </c:pt>
                <c:pt idx="109">
                  <c:v>1.6615082531095774E-12</c:v>
                </c:pt>
                <c:pt idx="110">
                  <c:v>1.6615082531095774E-12</c:v>
                </c:pt>
                <c:pt idx="111">
                  <c:v>1.6615082531095774E-12</c:v>
                </c:pt>
                <c:pt idx="112">
                  <c:v>1.6615082531095774E-12</c:v>
                </c:pt>
                <c:pt idx="113">
                  <c:v>1.6615082531095774E-12</c:v>
                </c:pt>
                <c:pt idx="114">
                  <c:v>1.6615082531095774E-12</c:v>
                </c:pt>
                <c:pt idx="115">
                  <c:v>1.6615082531095774E-12</c:v>
                </c:pt>
                <c:pt idx="116">
                  <c:v>1.6615082531095774E-12</c:v>
                </c:pt>
                <c:pt idx="117">
                  <c:v>1.6615082531095774E-12</c:v>
                </c:pt>
                <c:pt idx="118">
                  <c:v>1.6615082531095774E-12</c:v>
                </c:pt>
                <c:pt idx="119">
                  <c:v>1.6615082531095774E-12</c:v>
                </c:pt>
                <c:pt idx="120">
                  <c:v>1.6615082531095774E-12</c:v>
                </c:pt>
                <c:pt idx="121">
                  <c:v>1.6615082531095774E-12</c:v>
                </c:pt>
                <c:pt idx="122">
                  <c:v>1.6615082531095774E-12</c:v>
                </c:pt>
                <c:pt idx="123">
                  <c:v>1.6615082531095774E-12</c:v>
                </c:pt>
                <c:pt idx="124">
                  <c:v>1.6615082531095774E-12</c:v>
                </c:pt>
                <c:pt idx="125">
                  <c:v>1.6615082531095774E-12</c:v>
                </c:pt>
                <c:pt idx="126">
                  <c:v>1.6615082531095774E-12</c:v>
                </c:pt>
                <c:pt idx="127">
                  <c:v>1.6615082531095774E-12</c:v>
                </c:pt>
                <c:pt idx="128">
                  <c:v>1.6615082531095774E-12</c:v>
                </c:pt>
                <c:pt idx="129">
                  <c:v>1.6615082531095774E-12</c:v>
                </c:pt>
                <c:pt idx="130">
                  <c:v>1.6615082531095774E-12</c:v>
                </c:pt>
                <c:pt idx="131">
                  <c:v>1.6615082531095774E-12</c:v>
                </c:pt>
                <c:pt idx="132">
                  <c:v>1.6615082531095774E-12</c:v>
                </c:pt>
                <c:pt idx="133">
                  <c:v>1.6615082531095774E-12</c:v>
                </c:pt>
                <c:pt idx="134">
                  <c:v>1.6615082531095774E-12</c:v>
                </c:pt>
                <c:pt idx="135">
                  <c:v>1.6615082531095774E-12</c:v>
                </c:pt>
                <c:pt idx="136">
                  <c:v>1.6615082531095774E-12</c:v>
                </c:pt>
                <c:pt idx="137">
                  <c:v>1.6615082531095774E-12</c:v>
                </c:pt>
                <c:pt idx="138">
                  <c:v>1.6615082531095774E-12</c:v>
                </c:pt>
                <c:pt idx="139">
                  <c:v>1.6615082531095774E-12</c:v>
                </c:pt>
                <c:pt idx="140">
                  <c:v>1.6615082531095774E-12</c:v>
                </c:pt>
                <c:pt idx="141">
                  <c:v>1.6615082531095774E-12</c:v>
                </c:pt>
                <c:pt idx="142">
                  <c:v>1.6615082531095774E-12</c:v>
                </c:pt>
                <c:pt idx="143">
                  <c:v>1.6615082531095774E-12</c:v>
                </c:pt>
                <c:pt idx="144">
                  <c:v>1.6615082531095774E-12</c:v>
                </c:pt>
                <c:pt idx="145">
                  <c:v>1.6615082531095774E-12</c:v>
                </c:pt>
                <c:pt idx="146">
                  <c:v>1.6615082531095774E-12</c:v>
                </c:pt>
                <c:pt idx="147">
                  <c:v>1.6615082531095774E-12</c:v>
                </c:pt>
                <c:pt idx="148">
                  <c:v>1.6615082531095774E-12</c:v>
                </c:pt>
                <c:pt idx="149">
                  <c:v>1.6615082531095774E-12</c:v>
                </c:pt>
                <c:pt idx="150">
                  <c:v>1.6615082531095774E-12</c:v>
                </c:pt>
                <c:pt idx="151">
                  <c:v>1.6615082531095774E-12</c:v>
                </c:pt>
                <c:pt idx="152">
                  <c:v>1.6615082531095774E-12</c:v>
                </c:pt>
                <c:pt idx="153">
                  <c:v>1.6615082531095774E-12</c:v>
                </c:pt>
                <c:pt idx="154">
                  <c:v>1.6615082531095774E-12</c:v>
                </c:pt>
                <c:pt idx="155">
                  <c:v>1.6615082531095774E-12</c:v>
                </c:pt>
                <c:pt idx="156">
                  <c:v>1.6615082531095774E-12</c:v>
                </c:pt>
                <c:pt idx="157">
                  <c:v>1.6615082531095774E-12</c:v>
                </c:pt>
                <c:pt idx="158">
                  <c:v>1.6615082531095774E-12</c:v>
                </c:pt>
                <c:pt idx="159">
                  <c:v>1.6615082531095774E-12</c:v>
                </c:pt>
                <c:pt idx="160">
                  <c:v>1.6615082531095774E-12</c:v>
                </c:pt>
                <c:pt idx="161">
                  <c:v>1.6615082531095774E-12</c:v>
                </c:pt>
                <c:pt idx="162">
                  <c:v>1.6615082531095774E-12</c:v>
                </c:pt>
                <c:pt idx="163">
                  <c:v>1.6615082531095774E-12</c:v>
                </c:pt>
                <c:pt idx="164">
                  <c:v>1.6615082531095774E-12</c:v>
                </c:pt>
                <c:pt idx="165">
                  <c:v>1.6615082531095774E-12</c:v>
                </c:pt>
                <c:pt idx="166">
                  <c:v>1.6615082531095774E-12</c:v>
                </c:pt>
                <c:pt idx="167">
                  <c:v>1.6615082531095774E-12</c:v>
                </c:pt>
                <c:pt idx="168">
                  <c:v>1.6615082531095774E-12</c:v>
                </c:pt>
                <c:pt idx="169">
                  <c:v>1.6615082531095774E-12</c:v>
                </c:pt>
                <c:pt idx="170">
                  <c:v>1.6615082531095774E-12</c:v>
                </c:pt>
                <c:pt idx="171">
                  <c:v>1.6615082531095774E-12</c:v>
                </c:pt>
                <c:pt idx="172">
                  <c:v>1.6615082531095774E-12</c:v>
                </c:pt>
                <c:pt idx="173">
                  <c:v>1.6615082531095774E-12</c:v>
                </c:pt>
                <c:pt idx="174">
                  <c:v>1.6615082531095774E-12</c:v>
                </c:pt>
                <c:pt idx="175">
                  <c:v>1.6615082531095774E-12</c:v>
                </c:pt>
                <c:pt idx="176">
                  <c:v>1.6615082531095774E-12</c:v>
                </c:pt>
                <c:pt idx="177">
                  <c:v>1.6615082531095774E-12</c:v>
                </c:pt>
                <c:pt idx="178">
                  <c:v>1.6615082531095774E-12</c:v>
                </c:pt>
                <c:pt idx="179">
                  <c:v>1.6615082531095774E-12</c:v>
                </c:pt>
                <c:pt idx="180">
                  <c:v>1.6615082531095774E-12</c:v>
                </c:pt>
                <c:pt idx="181">
                  <c:v>1.6615082531095774E-12</c:v>
                </c:pt>
                <c:pt idx="182">
                  <c:v>1.6615082531095774E-12</c:v>
                </c:pt>
                <c:pt idx="183">
                  <c:v>1.6615082531095774E-12</c:v>
                </c:pt>
                <c:pt idx="184">
                  <c:v>1.6615082531095774E-12</c:v>
                </c:pt>
                <c:pt idx="185">
                  <c:v>1.6615082531095774E-12</c:v>
                </c:pt>
                <c:pt idx="186">
                  <c:v>1.6615082531095774E-12</c:v>
                </c:pt>
                <c:pt idx="187">
                  <c:v>1.6615082531095774E-12</c:v>
                </c:pt>
                <c:pt idx="188">
                  <c:v>1.6615082531095774E-12</c:v>
                </c:pt>
                <c:pt idx="189">
                  <c:v>1.6615082531095774E-12</c:v>
                </c:pt>
                <c:pt idx="190">
                  <c:v>1.6615082531095774E-12</c:v>
                </c:pt>
                <c:pt idx="191">
                  <c:v>1.6615082531095774E-12</c:v>
                </c:pt>
                <c:pt idx="192">
                  <c:v>1.6615082531095774E-12</c:v>
                </c:pt>
                <c:pt idx="193">
                  <c:v>1.6615082531095774E-12</c:v>
                </c:pt>
                <c:pt idx="194">
                  <c:v>1.6615082531095774E-12</c:v>
                </c:pt>
                <c:pt idx="195">
                  <c:v>1.6615082531095774E-12</c:v>
                </c:pt>
                <c:pt idx="196">
                  <c:v>1.6615082531095774E-12</c:v>
                </c:pt>
                <c:pt idx="197">
                  <c:v>1.6615082531095774E-12</c:v>
                </c:pt>
                <c:pt idx="198">
                  <c:v>1.6615082531095774E-12</c:v>
                </c:pt>
                <c:pt idx="199">
                  <c:v>1.6615082531095774E-12</c:v>
                </c:pt>
                <c:pt idx="200">
                  <c:v>1.6615082531095774E-12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93" zoomScale="80" zoomScaleNormal="80" workbookViewId="0">
      <selection activeCell="F236" sqref="F23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6.1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38</v>
      </c>
      <c r="C9" s="35">
        <v>0.13114799999999999</v>
      </c>
      <c r="D9" s="36">
        <f t="shared" ref="D9:D18" si="0">C9*$C$5</f>
        <v>0.8000027999999999</v>
      </c>
      <c r="E9" s="37">
        <v>110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164</v>
      </c>
      <c r="C10" s="35">
        <v>0.121059</v>
      </c>
      <c r="D10" s="36">
        <f t="shared" si="0"/>
        <v>0.73845989999999995</v>
      </c>
      <c r="E10" s="37">
        <v>99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27</v>
      </c>
      <c r="C11" s="35">
        <v>0.31778000000000001</v>
      </c>
      <c r="D11" s="36">
        <f t="shared" si="0"/>
        <v>1.938458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</v>
      </c>
      <c r="C12" s="35">
        <v>4.4136000000000002E-2</v>
      </c>
      <c r="D12" s="36">
        <f t="shared" si="0"/>
        <v>0.26922960000000001</v>
      </c>
      <c r="E12" s="37">
        <v>183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35</v>
      </c>
      <c r="C13" s="35">
        <v>0.19419900000000001</v>
      </c>
      <c r="D13" s="36">
        <f t="shared" si="0"/>
        <v>1.1846139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13</v>
      </c>
      <c r="C14" s="35">
        <v>2.2699E-2</v>
      </c>
      <c r="D14" s="36">
        <f t="shared" si="0"/>
        <v>0.1384639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23</v>
      </c>
      <c r="C15" s="35">
        <v>2.2699E-2</v>
      </c>
      <c r="D15" s="36">
        <f t="shared" si="0"/>
        <v>0.1384639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 t="s">
        <v>4</v>
      </c>
      <c r="C16" s="35">
        <v>0.14627999999999999</v>
      </c>
      <c r="D16" s="36">
        <f t="shared" si="0"/>
        <v>0.89230799999999988</v>
      </c>
      <c r="E16" s="37">
        <v>90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6.1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noir d'Autriche</v>
      </c>
      <c r="D32" s="258" t="s">
        <v>307</v>
      </c>
      <c r="J32" s="25" t="s">
        <v>326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45</v>
      </c>
      <c r="B36" s="63">
        <v>203.68</v>
      </c>
      <c r="C36" s="63">
        <v>1</v>
      </c>
      <c r="D36" s="63">
        <v>73.989999999999995</v>
      </c>
      <c r="E36" s="54">
        <v>0.4</v>
      </c>
      <c r="F36" s="54">
        <v>0.34</v>
      </c>
      <c r="G36" s="54">
        <v>0.26</v>
      </c>
      <c r="H36" s="54"/>
      <c r="I36" s="52">
        <f>IFERROR(B36/A36,"")</f>
        <v>4.5262222222222226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60</v>
      </c>
      <c r="B37" s="63">
        <v>242.61</v>
      </c>
      <c r="C37" s="63">
        <v>2</v>
      </c>
      <c r="D37" s="63">
        <v>71.69</v>
      </c>
      <c r="E37" s="54">
        <v>0.6</v>
      </c>
      <c r="F37" s="54">
        <v>0.22</v>
      </c>
      <c r="G37" s="54">
        <v>0.18</v>
      </c>
      <c r="H37" s="54"/>
      <c r="I37" s="56">
        <f t="shared" ref="I37:I55" si="1">IF(A37&lt;&gt;0,(B37-(B36-D36))/(A37-A36),"")</f>
        <v>7.5280000000000014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75</v>
      </c>
      <c r="B38" s="63">
        <v>272.72000000000003</v>
      </c>
      <c r="C38" s="63">
        <v>3</v>
      </c>
      <c r="D38" s="63">
        <v>75.069999999999993</v>
      </c>
      <c r="E38" s="54">
        <v>0.7</v>
      </c>
      <c r="F38" s="54">
        <v>0.17</v>
      </c>
      <c r="G38" s="54">
        <v>0.13</v>
      </c>
      <c r="H38" s="54"/>
      <c r="I38" s="56">
        <f t="shared" si="1"/>
        <v>6.7866666666666671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90</v>
      </c>
      <c r="B39" s="63">
        <v>291.89</v>
      </c>
      <c r="C39" s="63">
        <v>4</v>
      </c>
      <c r="D39" s="63">
        <v>65.83</v>
      </c>
      <c r="E39" s="54">
        <v>0.8</v>
      </c>
      <c r="F39" s="54">
        <v>0.11</v>
      </c>
      <c r="G39" s="54">
        <v>0.09</v>
      </c>
      <c r="H39" s="54"/>
      <c r="I39" s="52">
        <f t="shared" si="1"/>
        <v>6.2826666666666631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100</v>
      </c>
      <c r="B40" s="63">
        <v>285.23</v>
      </c>
      <c r="C40" s="63">
        <v>5</v>
      </c>
      <c r="D40" s="63">
        <v>92.21</v>
      </c>
      <c r="E40" s="54">
        <v>0.8</v>
      </c>
      <c r="F40" s="54">
        <v>0.11</v>
      </c>
      <c r="G40" s="54">
        <v>0.09</v>
      </c>
      <c r="H40" s="54"/>
      <c r="I40" s="52">
        <f t="shared" si="1"/>
        <v>5.9170000000000016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110</v>
      </c>
      <c r="B41" s="63">
        <v>244.09</v>
      </c>
      <c r="C41" s="63">
        <v>6</v>
      </c>
      <c r="D41" s="63">
        <v>244.09</v>
      </c>
      <c r="E41" s="54">
        <v>0.8</v>
      </c>
      <c r="F41" s="54">
        <v>0.11</v>
      </c>
      <c r="G41" s="54">
        <v>0.09</v>
      </c>
      <c r="H41" s="54"/>
      <c r="I41" s="56">
        <f t="shared" si="1"/>
        <v>5.1069999999999967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Cèdre de l'Atlas</v>
      </c>
      <c r="D58" s="258" t="s">
        <v>307</v>
      </c>
      <c r="J58" s="25" t="s">
        <v>325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51</v>
      </c>
      <c r="B62" s="63">
        <v>322.95999999999998</v>
      </c>
      <c r="C62" s="63">
        <v>1</v>
      </c>
      <c r="D62" s="63">
        <v>99.93</v>
      </c>
      <c r="E62" s="54">
        <v>0.4</v>
      </c>
      <c r="F62" s="54">
        <v>0.34</v>
      </c>
      <c r="G62" s="54">
        <v>0.26</v>
      </c>
      <c r="H62" s="54"/>
      <c r="I62" s="56">
        <f>IFERROR(B62/A62,"")</f>
        <v>6.3325490196078427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63</v>
      </c>
      <c r="B63" s="63">
        <v>369.3</v>
      </c>
      <c r="C63" s="63">
        <v>2</v>
      </c>
      <c r="D63" s="63">
        <v>113.87</v>
      </c>
      <c r="E63" s="54">
        <v>0.5</v>
      </c>
      <c r="F63" s="54">
        <v>0.28000000000000003</v>
      </c>
      <c r="G63" s="54">
        <v>0.22</v>
      </c>
      <c r="H63" s="54"/>
      <c r="I63" s="52">
        <f>IF(A63&lt;&gt;0,(B63-(B62-D62))/(A63-A62),"")</f>
        <v>12.18916666666667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75</v>
      </c>
      <c r="B64" s="63">
        <v>389.46</v>
      </c>
      <c r="C64" s="63">
        <v>3</v>
      </c>
      <c r="D64" s="63">
        <v>92.44</v>
      </c>
      <c r="E64" s="54">
        <v>0.6</v>
      </c>
      <c r="F64" s="54">
        <v>0.22</v>
      </c>
      <c r="G64" s="54">
        <v>0.18</v>
      </c>
      <c r="H64" s="54"/>
      <c r="I64" s="52">
        <f>IF(A64&lt;&gt;0,(B64-(B63-D63))/(A64-A63),"")</f>
        <v>11.169166666666664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87</v>
      </c>
      <c r="B65" s="63">
        <v>420.16</v>
      </c>
      <c r="C65" s="63">
        <v>4</v>
      </c>
      <c r="D65" s="63">
        <v>91.18</v>
      </c>
      <c r="E65" s="54">
        <v>0.7</v>
      </c>
      <c r="F65" s="54">
        <v>0.17</v>
      </c>
      <c r="G65" s="54">
        <v>0.13</v>
      </c>
      <c r="H65" s="54"/>
      <c r="I65" s="52">
        <f>IF(A65&lt;&gt;0,(B65-(B64-D64))/(A65-A64),"")</f>
        <v>10.26166666666667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99</v>
      </c>
      <c r="B66" s="63">
        <v>440.24</v>
      </c>
      <c r="C66" s="63">
        <v>5</v>
      </c>
      <c r="D66" s="63">
        <v>440.24</v>
      </c>
      <c r="E66" s="54">
        <v>0.8</v>
      </c>
      <c r="F66" s="54">
        <v>0.11</v>
      </c>
      <c r="G66" s="54">
        <v>0.09</v>
      </c>
      <c r="H66" s="54"/>
      <c r="I66" s="52">
        <f t="shared" ref="I66:I81" si="2">IF(A66&lt;&gt;0,(B66-(B65-D65))/(A66-A65),"")</f>
        <v>9.2716666666666665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Mélèze d'Europe</v>
      </c>
      <c r="D84" s="258" t="s">
        <v>307</v>
      </c>
      <c r="J84" s="25" t="s">
        <v>324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12</v>
      </c>
      <c r="B88" s="63">
        <v>79</v>
      </c>
      <c r="C88" s="63">
        <v>1</v>
      </c>
      <c r="D88" s="63">
        <v>14</v>
      </c>
      <c r="E88" s="54">
        <v>0</v>
      </c>
      <c r="F88" s="54">
        <v>0.56000000000000005</v>
      </c>
      <c r="G88" s="54">
        <v>0.44</v>
      </c>
      <c r="H88" s="93"/>
      <c r="I88" s="56">
        <f>IFERROR(B88/A88,"")</f>
        <v>6.583333333333333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18</v>
      </c>
      <c r="B89" s="63">
        <v>172</v>
      </c>
      <c r="C89" s="63">
        <v>2</v>
      </c>
      <c r="D89" s="63">
        <v>65</v>
      </c>
      <c r="E89" s="54">
        <v>0.2</v>
      </c>
      <c r="F89" s="54">
        <v>0.45</v>
      </c>
      <c r="G89" s="54">
        <v>0.35</v>
      </c>
      <c r="H89" s="93"/>
      <c r="I89" s="56">
        <f t="shared" ref="I89:I107" si="3">IF(A89&lt;&gt;0,(B89-(B88-D88))/(A89-A88),"")</f>
        <v>17.833333333333332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24</v>
      </c>
      <c r="B90" s="63">
        <v>195</v>
      </c>
      <c r="C90" s="63">
        <v>3</v>
      </c>
      <c r="D90" s="63">
        <v>57</v>
      </c>
      <c r="E90" s="54">
        <v>0.2</v>
      </c>
      <c r="F90" s="54">
        <v>0.45</v>
      </c>
      <c r="G90" s="54">
        <v>0.35</v>
      </c>
      <c r="H90" s="93"/>
      <c r="I90" s="56">
        <f t="shared" si="3"/>
        <v>14.666666666666666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30</v>
      </c>
      <c r="B91" s="63">
        <v>215</v>
      </c>
      <c r="C91" s="63">
        <v>4</v>
      </c>
      <c r="D91" s="63">
        <v>48</v>
      </c>
      <c r="E91" s="54">
        <v>0.4</v>
      </c>
      <c r="F91" s="54">
        <v>0.34</v>
      </c>
      <c r="G91" s="54">
        <v>0.26</v>
      </c>
      <c r="H91" s="93"/>
      <c r="I91" s="56">
        <f t="shared" si="3"/>
        <v>12.833333333333334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36</v>
      </c>
      <c r="B92" s="63">
        <v>235</v>
      </c>
      <c r="C92" s="63">
        <v>5</v>
      </c>
      <c r="D92" s="63">
        <v>45</v>
      </c>
      <c r="E92" s="54">
        <v>0.4</v>
      </c>
      <c r="F92" s="54">
        <v>0.34</v>
      </c>
      <c r="G92" s="54">
        <v>0.26</v>
      </c>
      <c r="H92" s="93"/>
      <c r="I92" s="56">
        <f t="shared" si="3"/>
        <v>11.333333333333334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42</v>
      </c>
      <c r="B93" s="63">
        <v>254</v>
      </c>
      <c r="C93" s="63">
        <v>6</v>
      </c>
      <c r="D93" s="63">
        <v>42</v>
      </c>
      <c r="E93" s="54">
        <v>0.6</v>
      </c>
      <c r="F93" s="54">
        <v>0.22</v>
      </c>
      <c r="G93" s="54">
        <v>0.18</v>
      </c>
      <c r="H93" s="93"/>
      <c r="I93" s="56">
        <f t="shared" si="3"/>
        <v>10.666666666666666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48</v>
      </c>
      <c r="B94" s="63">
        <v>272</v>
      </c>
      <c r="C94" s="63">
        <v>7</v>
      </c>
      <c r="D94" s="63">
        <v>37</v>
      </c>
      <c r="E94" s="54">
        <v>0.8</v>
      </c>
      <c r="F94" s="54">
        <v>0.11</v>
      </c>
      <c r="G94" s="54">
        <v>0.09</v>
      </c>
      <c r="H94" s="93"/>
      <c r="I94" s="56">
        <f t="shared" si="3"/>
        <v>10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282">
        <v>54</v>
      </c>
      <c r="B95" s="63">
        <v>288</v>
      </c>
      <c r="C95" s="63">
        <v>8</v>
      </c>
      <c r="D95" s="63">
        <v>36</v>
      </c>
      <c r="E95" s="54">
        <v>0.8</v>
      </c>
      <c r="F95" s="54">
        <v>0.11</v>
      </c>
      <c r="G95" s="54">
        <v>0.09</v>
      </c>
      <c r="H95" s="93"/>
      <c r="I95" s="56">
        <f t="shared" si="3"/>
        <v>8.8333333333333339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282">
        <v>60</v>
      </c>
      <c r="B96" s="63">
        <v>308</v>
      </c>
      <c r="C96" s="63">
        <v>9</v>
      </c>
      <c r="D96" s="63">
        <v>308</v>
      </c>
      <c r="E96" s="54">
        <v>0.8</v>
      </c>
      <c r="F96" s="54">
        <v>0.11</v>
      </c>
      <c r="G96" s="54">
        <v>0.09</v>
      </c>
      <c r="H96" s="93"/>
      <c r="I96" s="56">
        <f t="shared" si="3"/>
        <v>9.3333333333333339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Alisier torminal</v>
      </c>
      <c r="D110" s="258" t="s">
        <v>307</v>
      </c>
      <c r="J110" s="25" t="s">
        <v>327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42</v>
      </c>
      <c r="B114" s="63">
        <v>163.26</v>
      </c>
      <c r="C114" s="53">
        <v>1</v>
      </c>
      <c r="D114" s="63">
        <v>43.21</v>
      </c>
      <c r="E114" s="54">
        <v>0.2</v>
      </c>
      <c r="F114" s="54"/>
      <c r="G114" s="54"/>
      <c r="H114" s="54">
        <v>0.8</v>
      </c>
      <c r="I114" s="56">
        <f>IFERROR(B114/A114,"")</f>
        <v>3.887142857142857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50</v>
      </c>
      <c r="B115" s="63">
        <v>195.02</v>
      </c>
      <c r="C115" s="53">
        <v>2</v>
      </c>
      <c r="D115" s="63">
        <v>35.58</v>
      </c>
      <c r="E115" s="54">
        <v>0.2</v>
      </c>
      <c r="F115" s="54"/>
      <c r="G115" s="54"/>
      <c r="H115" s="54">
        <v>0.8</v>
      </c>
      <c r="I115" s="56">
        <f t="shared" ref="I115:I133" si="4">IF(A115&lt;&gt;0,(B115-(B114-D114))/(A115-A114),"")</f>
        <v>9.3712500000000034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58</v>
      </c>
      <c r="B116" s="63">
        <v>235.87</v>
      </c>
      <c r="C116" s="53">
        <v>3</v>
      </c>
      <c r="D116" s="63">
        <v>44.93</v>
      </c>
      <c r="E116" s="54">
        <v>0.2</v>
      </c>
      <c r="F116" s="54"/>
      <c r="G116" s="54"/>
      <c r="H116" s="54">
        <v>0.8</v>
      </c>
      <c r="I116" s="56">
        <f t="shared" si="4"/>
        <v>9.5537500000000009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66</v>
      </c>
      <c r="B117" s="63">
        <v>264.95999999999998</v>
      </c>
      <c r="C117" s="53">
        <v>4</v>
      </c>
      <c r="D117" s="63">
        <v>49.91</v>
      </c>
      <c r="E117" s="54">
        <v>0.3</v>
      </c>
      <c r="F117" s="54"/>
      <c r="G117" s="54"/>
      <c r="H117" s="54">
        <v>0.7</v>
      </c>
      <c r="I117" s="56">
        <f t="shared" si="4"/>
        <v>9.2524999999999977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74</v>
      </c>
      <c r="B118" s="63">
        <v>285.98</v>
      </c>
      <c r="C118" s="53">
        <v>5</v>
      </c>
      <c r="D118" s="63">
        <v>47.4</v>
      </c>
      <c r="E118" s="54">
        <v>0.4</v>
      </c>
      <c r="F118" s="54"/>
      <c r="G118" s="54"/>
      <c r="H118" s="54">
        <v>0.6</v>
      </c>
      <c r="I118" s="56">
        <f t="shared" si="4"/>
        <v>8.8662500000000044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84</v>
      </c>
      <c r="B119" s="63">
        <v>325.35000000000002</v>
      </c>
      <c r="C119" s="53">
        <v>6</v>
      </c>
      <c r="D119" s="63">
        <v>61.47</v>
      </c>
      <c r="E119" s="54">
        <v>0.4</v>
      </c>
      <c r="F119" s="54"/>
      <c r="G119" s="54"/>
      <c r="H119" s="54">
        <v>0.6</v>
      </c>
      <c r="I119" s="56">
        <f t="shared" si="4"/>
        <v>8.6770000000000014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94</v>
      </c>
      <c r="B120" s="63">
        <v>346.79</v>
      </c>
      <c r="C120" s="63">
        <v>7</v>
      </c>
      <c r="D120" s="63">
        <v>61.85</v>
      </c>
      <c r="E120" s="93">
        <v>0.5</v>
      </c>
      <c r="F120" s="93"/>
      <c r="G120" s="93"/>
      <c r="H120" s="93">
        <v>0.5</v>
      </c>
      <c r="I120" s="56">
        <f t="shared" si="4"/>
        <v>8.2910000000000021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104</v>
      </c>
      <c r="B121" s="63">
        <v>365.41</v>
      </c>
      <c r="C121" s="63">
        <v>8</v>
      </c>
      <c r="D121" s="63">
        <v>60.19</v>
      </c>
      <c r="E121" s="93">
        <v>0.5</v>
      </c>
      <c r="F121" s="93"/>
      <c r="G121" s="93"/>
      <c r="H121" s="93">
        <v>0.5</v>
      </c>
      <c r="I121" s="56">
        <f t="shared" si="4"/>
        <v>8.0470000000000024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114</v>
      </c>
      <c r="B122" s="63">
        <v>384.57</v>
      </c>
      <c r="C122" s="63">
        <v>9</v>
      </c>
      <c r="D122" s="63">
        <v>56.07</v>
      </c>
      <c r="E122" s="93">
        <v>0.6</v>
      </c>
      <c r="F122" s="93"/>
      <c r="G122" s="93"/>
      <c r="H122" s="93">
        <v>0.4</v>
      </c>
      <c r="I122" s="56">
        <f t="shared" si="4"/>
        <v>7.9349999999999969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124</v>
      </c>
      <c r="B123" s="63">
        <v>408.42</v>
      </c>
      <c r="C123" s="63">
        <v>10</v>
      </c>
      <c r="D123" s="63">
        <v>52.53</v>
      </c>
      <c r="E123" s="93">
        <v>0.7</v>
      </c>
      <c r="F123" s="93"/>
      <c r="G123" s="93"/>
      <c r="H123" s="93">
        <v>0.3</v>
      </c>
      <c r="I123" s="56">
        <f t="shared" si="4"/>
        <v>7.9920000000000018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134</v>
      </c>
      <c r="B124" s="63">
        <v>436.59</v>
      </c>
      <c r="C124" s="63">
        <v>11</v>
      </c>
      <c r="D124" s="63">
        <v>54.95</v>
      </c>
      <c r="E124" s="93">
        <v>0.7</v>
      </c>
      <c r="F124" s="93"/>
      <c r="G124" s="93"/>
      <c r="H124" s="93">
        <v>0.3</v>
      </c>
      <c r="I124" s="56">
        <f t="shared" si="4"/>
        <v>8.0699999999999985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144</v>
      </c>
      <c r="B125" s="63">
        <v>463.23</v>
      </c>
      <c r="C125" s="63">
        <v>12</v>
      </c>
      <c r="D125" s="63">
        <v>56.01</v>
      </c>
      <c r="E125" s="93">
        <v>0.7</v>
      </c>
      <c r="F125" s="93"/>
      <c r="G125" s="93"/>
      <c r="H125" s="93">
        <v>0.3</v>
      </c>
      <c r="I125" s="56">
        <f t="shared" si="4"/>
        <v>8.1590000000000025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>
        <v>154</v>
      </c>
      <c r="B126" s="63">
        <v>490.47</v>
      </c>
      <c r="C126" s="63">
        <v>13</v>
      </c>
      <c r="D126" s="63">
        <v>55.13</v>
      </c>
      <c r="E126" s="68">
        <v>0.7</v>
      </c>
      <c r="F126" s="68"/>
      <c r="G126" s="68"/>
      <c r="H126" s="68">
        <v>0.3</v>
      </c>
      <c r="I126" s="56">
        <f t="shared" si="4"/>
        <v>8.3249999999999993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>
        <v>164</v>
      </c>
      <c r="B127" s="63">
        <v>519.77</v>
      </c>
      <c r="C127" s="63">
        <v>14</v>
      </c>
      <c r="D127" s="63">
        <v>59.58</v>
      </c>
      <c r="E127" s="68">
        <v>0.8</v>
      </c>
      <c r="F127" s="68"/>
      <c r="G127" s="68"/>
      <c r="H127" s="68">
        <v>0.2</v>
      </c>
      <c r="I127" s="56">
        <f t="shared" si="4"/>
        <v>8.4429999999999943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>
        <v>174</v>
      </c>
      <c r="B128" s="53">
        <v>545.65</v>
      </c>
      <c r="C128" s="53">
        <v>15</v>
      </c>
      <c r="D128" s="53">
        <v>214.77</v>
      </c>
      <c r="E128" s="57">
        <v>0.8</v>
      </c>
      <c r="F128" s="57"/>
      <c r="G128" s="57"/>
      <c r="H128" s="57">
        <v>0.2</v>
      </c>
      <c r="I128" s="56">
        <f t="shared" si="4"/>
        <v>8.5459999999999976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>
        <v>177</v>
      </c>
      <c r="B129" s="53">
        <v>347.04</v>
      </c>
      <c r="C129" s="53">
        <v>16</v>
      </c>
      <c r="D129" s="53">
        <v>115.19</v>
      </c>
      <c r="E129" s="57">
        <v>0.8</v>
      </c>
      <c r="F129" s="57"/>
      <c r="G129" s="57"/>
      <c r="H129" s="57">
        <v>0.2</v>
      </c>
      <c r="I129" s="56">
        <f t="shared" si="4"/>
        <v>5.3866666666666747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>
        <v>180</v>
      </c>
      <c r="B130" s="53">
        <v>241.62</v>
      </c>
      <c r="C130" s="53">
        <v>17</v>
      </c>
      <c r="D130" s="53">
        <v>77.72</v>
      </c>
      <c r="E130" s="57">
        <v>0.8</v>
      </c>
      <c r="F130" s="57"/>
      <c r="G130" s="57"/>
      <c r="H130" s="57">
        <v>0.2</v>
      </c>
      <c r="I130" s="56">
        <f t="shared" si="4"/>
        <v>3.2566666666666606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>
        <v>183</v>
      </c>
      <c r="B131" s="53">
        <v>169.76</v>
      </c>
      <c r="C131" s="53">
        <v>18</v>
      </c>
      <c r="D131" s="53">
        <v>169.76</v>
      </c>
      <c r="E131" s="57">
        <v>0.8</v>
      </c>
      <c r="F131" s="57"/>
      <c r="G131" s="57"/>
      <c r="H131" s="57">
        <v>0.2</v>
      </c>
      <c r="I131" s="56">
        <f t="shared" si="4"/>
        <v>1.9533333333333285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Pin laricio</v>
      </c>
      <c r="D136" s="258" t="s">
        <v>307</v>
      </c>
      <c r="J136" s="25" t="s">
        <v>328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22</v>
      </c>
      <c r="B140" s="63">
        <v>129.07</v>
      </c>
      <c r="C140" s="53">
        <v>1</v>
      </c>
      <c r="D140" s="63">
        <v>52.41</v>
      </c>
      <c r="E140" s="54">
        <v>0.3</v>
      </c>
      <c r="F140" s="54">
        <v>0.39</v>
      </c>
      <c r="G140" s="54">
        <v>0.31</v>
      </c>
      <c r="H140" s="54"/>
      <c r="I140" s="60">
        <f>IFERROR(B140/A140,"")</f>
        <v>5.8668181818181813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27</v>
      </c>
      <c r="B141" s="63">
        <v>155.49</v>
      </c>
      <c r="C141" s="53">
        <v>2</v>
      </c>
      <c r="D141" s="63">
        <v>37.840000000000003</v>
      </c>
      <c r="E141" s="54">
        <v>0.4</v>
      </c>
      <c r="F141" s="54">
        <v>0.34</v>
      </c>
      <c r="G141" s="54">
        <v>0.26</v>
      </c>
      <c r="H141" s="54"/>
      <c r="I141" s="60">
        <f t="shared" ref="I141:I159" si="5">IF(A141&lt;&gt;0,(B141-(B140-D140))/(A141-A140),"")</f>
        <v>15.766000000000002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33</v>
      </c>
      <c r="B142" s="63">
        <v>217.34</v>
      </c>
      <c r="C142" s="53">
        <v>3</v>
      </c>
      <c r="D142" s="63">
        <v>50.41</v>
      </c>
      <c r="E142" s="54">
        <v>0.5</v>
      </c>
      <c r="F142" s="54">
        <v>0.28000000000000003</v>
      </c>
      <c r="G142" s="54">
        <v>0.22</v>
      </c>
      <c r="H142" s="54"/>
      <c r="I142" s="60">
        <f t="shared" si="5"/>
        <v>16.614999999999998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41</v>
      </c>
      <c r="B143" s="63">
        <v>300.54000000000002</v>
      </c>
      <c r="C143" s="53">
        <v>4</v>
      </c>
      <c r="D143" s="63">
        <v>72.13</v>
      </c>
      <c r="E143" s="54">
        <v>0.6</v>
      </c>
      <c r="F143" s="54">
        <v>0.22</v>
      </c>
      <c r="G143" s="54">
        <v>0.18</v>
      </c>
      <c r="H143" s="54"/>
      <c r="I143" s="60">
        <f t="shared" si="5"/>
        <v>16.701250000000002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50</v>
      </c>
      <c r="B144" s="63">
        <v>369.94</v>
      </c>
      <c r="C144" s="53">
        <v>5</v>
      </c>
      <c r="D144" s="63">
        <v>70.2</v>
      </c>
      <c r="E144" s="54">
        <v>0.7</v>
      </c>
      <c r="F144" s="54">
        <v>0.17</v>
      </c>
      <c r="G144" s="54">
        <v>0.13</v>
      </c>
      <c r="H144" s="54"/>
      <c r="I144" s="60">
        <f t="shared" si="5"/>
        <v>15.725555555555552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60</v>
      </c>
      <c r="B145" s="63">
        <v>440.94</v>
      </c>
      <c r="C145" s="53">
        <v>6</v>
      </c>
      <c r="D145" s="63">
        <v>69.849999999999994</v>
      </c>
      <c r="E145" s="54">
        <v>0.8</v>
      </c>
      <c r="F145" s="54">
        <v>0.11</v>
      </c>
      <c r="G145" s="54">
        <v>0.09</v>
      </c>
      <c r="H145" s="54"/>
      <c r="I145" s="60">
        <f t="shared" si="5"/>
        <v>14.12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70</v>
      </c>
      <c r="B146" s="63">
        <v>490.06</v>
      </c>
      <c r="C146" s="53">
        <v>7</v>
      </c>
      <c r="D146" s="63">
        <v>67.88</v>
      </c>
      <c r="E146" s="54">
        <v>0.8</v>
      </c>
      <c r="F146" s="54">
        <v>0.11</v>
      </c>
      <c r="G146" s="54">
        <v>0.09</v>
      </c>
      <c r="H146" s="54"/>
      <c r="I146" s="60">
        <f t="shared" si="5"/>
        <v>11.896999999999997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80</v>
      </c>
      <c r="B147" s="63">
        <v>520</v>
      </c>
      <c r="C147" s="53">
        <v>8</v>
      </c>
      <c r="D147" s="63">
        <v>520</v>
      </c>
      <c r="E147" s="54">
        <v>0.8</v>
      </c>
      <c r="F147" s="54">
        <v>0.11</v>
      </c>
      <c r="G147" s="54">
        <v>0.09</v>
      </c>
      <c r="H147" s="54"/>
      <c r="I147" s="60">
        <f>IF(A147&lt;&gt;0,(B147-(B146-D146))/(A147-A146),"")</f>
        <v>9.782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Chêne rouge d'Amérique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J163" s="25" t="s">
        <v>329</v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10</v>
      </c>
      <c r="B166" s="63">
        <v>18</v>
      </c>
      <c r="C166" s="63">
        <v>1</v>
      </c>
      <c r="D166" s="63">
        <v>0</v>
      </c>
      <c r="E166" s="54">
        <v>0</v>
      </c>
      <c r="F166" s="54"/>
      <c r="G166" s="54"/>
      <c r="H166" s="54">
        <v>1</v>
      </c>
      <c r="I166" s="52">
        <f>IFERROR(B166/A166,"")</f>
        <v>1.8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15</v>
      </c>
      <c r="B167" s="63">
        <v>47</v>
      </c>
      <c r="C167" s="63">
        <v>2</v>
      </c>
      <c r="D167" s="63">
        <v>0</v>
      </c>
      <c r="E167" s="54">
        <v>0</v>
      </c>
      <c r="F167" s="54"/>
      <c r="G167" s="54"/>
      <c r="H167" s="54">
        <v>1</v>
      </c>
      <c r="I167" s="52">
        <f t="shared" ref="I167:I185" si="6">IF(A167&lt;&gt;0,(B167-(B166-D166))/(A167-A166),"")</f>
        <v>5.8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20</v>
      </c>
      <c r="B168" s="63">
        <v>87</v>
      </c>
      <c r="C168" s="63">
        <v>3</v>
      </c>
      <c r="D168" s="63">
        <v>29</v>
      </c>
      <c r="E168" s="54">
        <v>0</v>
      </c>
      <c r="F168" s="54"/>
      <c r="G168" s="54"/>
      <c r="H168" s="54">
        <v>1</v>
      </c>
      <c r="I168" s="52">
        <f t="shared" si="6"/>
        <v>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25</v>
      </c>
      <c r="B169" s="63">
        <v>98</v>
      </c>
      <c r="C169" s="63">
        <v>4</v>
      </c>
      <c r="D169" s="63">
        <v>19</v>
      </c>
      <c r="E169" s="54">
        <v>0</v>
      </c>
      <c r="F169" s="54"/>
      <c r="G169" s="54"/>
      <c r="H169" s="54">
        <v>1</v>
      </c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30</v>
      </c>
      <c r="B170" s="63">
        <v>119</v>
      </c>
      <c r="C170" s="63">
        <v>5</v>
      </c>
      <c r="D170" s="63">
        <v>20</v>
      </c>
      <c r="E170" s="54">
        <v>0.2</v>
      </c>
      <c r="F170" s="54"/>
      <c r="G170" s="54"/>
      <c r="H170" s="54">
        <v>0.8</v>
      </c>
      <c r="I170" s="52">
        <f t="shared" si="6"/>
        <v>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>
        <v>35</v>
      </c>
      <c r="B171" s="63">
        <v>135</v>
      </c>
      <c r="C171" s="63">
        <v>6</v>
      </c>
      <c r="D171" s="63">
        <v>20</v>
      </c>
      <c r="E171" s="54">
        <v>0.2</v>
      </c>
      <c r="F171" s="54"/>
      <c r="G171" s="54"/>
      <c r="H171" s="54">
        <v>0.8</v>
      </c>
      <c r="I171" s="52">
        <f t="shared" si="6"/>
        <v>7.2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>
        <v>40</v>
      </c>
      <c r="B172" s="63">
        <v>150</v>
      </c>
      <c r="C172" s="63">
        <v>7</v>
      </c>
      <c r="D172" s="63">
        <v>20</v>
      </c>
      <c r="E172" s="54">
        <v>0.3</v>
      </c>
      <c r="F172" s="54"/>
      <c r="G172" s="54"/>
      <c r="H172" s="54">
        <v>0.7</v>
      </c>
      <c r="I172" s="52">
        <f t="shared" si="6"/>
        <v>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>
        <v>45</v>
      </c>
      <c r="B173" s="53">
        <v>162</v>
      </c>
      <c r="C173" s="53">
        <v>8</v>
      </c>
      <c r="D173" s="53">
        <v>19</v>
      </c>
      <c r="E173" s="54">
        <v>0.3</v>
      </c>
      <c r="F173" s="54"/>
      <c r="G173" s="54"/>
      <c r="H173" s="54">
        <v>0.7</v>
      </c>
      <c r="I173" s="52">
        <f t="shared" si="6"/>
        <v>6.4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>
        <v>50</v>
      </c>
      <c r="B174" s="53">
        <v>173</v>
      </c>
      <c r="C174" s="53">
        <v>9</v>
      </c>
      <c r="D174" s="53">
        <v>18</v>
      </c>
      <c r="E174" s="54">
        <v>0.4</v>
      </c>
      <c r="F174" s="54"/>
      <c r="G174" s="54"/>
      <c r="H174" s="54">
        <v>0.6</v>
      </c>
      <c r="I174" s="52">
        <f t="shared" si="6"/>
        <v>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>
        <v>55</v>
      </c>
      <c r="B175" s="53">
        <v>181</v>
      </c>
      <c r="C175" s="53">
        <v>10</v>
      </c>
      <c r="D175" s="53">
        <v>17</v>
      </c>
      <c r="E175" s="54">
        <v>0.4</v>
      </c>
      <c r="F175" s="54"/>
      <c r="G175" s="54"/>
      <c r="H175" s="54">
        <v>0.6</v>
      </c>
      <c r="I175" s="52">
        <f t="shared" si="6"/>
        <v>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>
        <v>60</v>
      </c>
      <c r="B176" s="53">
        <v>189</v>
      </c>
      <c r="C176" s="53">
        <v>11</v>
      </c>
      <c r="D176" s="53">
        <v>16</v>
      </c>
      <c r="E176" s="54">
        <v>0.5</v>
      </c>
      <c r="F176" s="54"/>
      <c r="G176" s="54"/>
      <c r="H176" s="54">
        <v>0.5</v>
      </c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>
        <v>65</v>
      </c>
      <c r="B177" s="53">
        <v>195</v>
      </c>
      <c r="C177" s="53">
        <v>12</v>
      </c>
      <c r="D177" s="53">
        <v>15</v>
      </c>
      <c r="E177" s="54">
        <v>0.5</v>
      </c>
      <c r="F177" s="54"/>
      <c r="G177" s="54"/>
      <c r="H177" s="54">
        <v>0.5</v>
      </c>
      <c r="I177" s="52">
        <f t="shared" si="6"/>
        <v>4.4000000000000004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>
        <v>70</v>
      </c>
      <c r="B178" s="53">
        <v>201</v>
      </c>
      <c r="C178" s="53">
        <v>13</v>
      </c>
      <c r="D178" s="53">
        <v>14</v>
      </c>
      <c r="E178" s="54">
        <v>0.6</v>
      </c>
      <c r="F178" s="54"/>
      <c r="G178" s="54"/>
      <c r="H178" s="54">
        <v>0.4</v>
      </c>
      <c r="I178" s="52">
        <f t="shared" si="6"/>
        <v>4.2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>
        <v>75</v>
      </c>
      <c r="B179" s="53">
        <v>204</v>
      </c>
      <c r="C179" s="53">
        <v>14</v>
      </c>
      <c r="D179" s="53">
        <v>12</v>
      </c>
      <c r="E179" s="54">
        <v>0.6</v>
      </c>
      <c r="F179" s="54"/>
      <c r="G179" s="54"/>
      <c r="H179" s="54">
        <v>0.4</v>
      </c>
      <c r="I179" s="52">
        <f t="shared" si="6"/>
        <v>3.4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>
        <v>80</v>
      </c>
      <c r="B180" s="53">
        <v>208</v>
      </c>
      <c r="C180" s="53">
        <v>15</v>
      </c>
      <c r="D180" s="53">
        <v>11</v>
      </c>
      <c r="E180" s="54">
        <v>0.7</v>
      </c>
      <c r="F180" s="54"/>
      <c r="G180" s="54"/>
      <c r="H180" s="54">
        <v>0.3</v>
      </c>
      <c r="I180" s="52">
        <f t="shared" si="6"/>
        <v>3.2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>
        <v>85</v>
      </c>
      <c r="B181" s="53">
        <v>211</v>
      </c>
      <c r="C181" s="53">
        <v>16</v>
      </c>
      <c r="D181" s="53">
        <v>10</v>
      </c>
      <c r="E181" s="54">
        <v>0.7</v>
      </c>
      <c r="F181" s="54"/>
      <c r="G181" s="54"/>
      <c r="H181" s="54">
        <v>0.3</v>
      </c>
      <c r="I181" s="52">
        <f t="shared" si="6"/>
        <v>2.8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>
        <v>90</v>
      </c>
      <c r="B182" s="53">
        <v>215</v>
      </c>
      <c r="C182" s="53">
        <v>17</v>
      </c>
      <c r="D182" s="53">
        <v>10</v>
      </c>
      <c r="E182" s="54">
        <v>0.8</v>
      </c>
      <c r="F182" s="54"/>
      <c r="G182" s="54"/>
      <c r="H182" s="54">
        <v>0.2</v>
      </c>
      <c r="I182" s="52">
        <f t="shared" si="6"/>
        <v>2.8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>
        <v>95</v>
      </c>
      <c r="B183" s="53">
        <v>219</v>
      </c>
      <c r="C183" s="53">
        <v>18</v>
      </c>
      <c r="D183" s="53">
        <v>11</v>
      </c>
      <c r="E183" s="54">
        <v>0.8</v>
      </c>
      <c r="F183" s="54"/>
      <c r="G183" s="54"/>
      <c r="H183" s="54">
        <v>0.2</v>
      </c>
      <c r="I183" s="52">
        <f t="shared" si="6"/>
        <v>2.8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>
        <v>100</v>
      </c>
      <c r="B184" s="53">
        <v>223</v>
      </c>
      <c r="C184" s="53">
        <v>19</v>
      </c>
      <c r="D184" s="53">
        <v>223</v>
      </c>
      <c r="E184" s="54">
        <v>0.8</v>
      </c>
      <c r="F184" s="54"/>
      <c r="G184" s="54"/>
      <c r="H184" s="54">
        <v>0.2</v>
      </c>
      <c r="I184" s="52">
        <f t="shared" si="6"/>
        <v>3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Erable sycomore</v>
      </c>
      <c r="D188" s="258" t="s">
        <v>307</v>
      </c>
      <c r="J188" s="25" t="s">
        <v>330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10</v>
      </c>
      <c r="B192" s="63">
        <v>11</v>
      </c>
      <c r="C192" s="63">
        <v>1</v>
      </c>
      <c r="D192" s="63">
        <v>0</v>
      </c>
      <c r="E192" s="54">
        <v>0</v>
      </c>
      <c r="F192" s="54"/>
      <c r="G192" s="54"/>
      <c r="H192" s="54">
        <v>1</v>
      </c>
      <c r="I192" s="52">
        <f>IFERROR(B192/A192,"")</f>
        <v>1.1000000000000001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15</v>
      </c>
      <c r="B193" s="63">
        <v>65</v>
      </c>
      <c r="C193" s="63">
        <v>2</v>
      </c>
      <c r="D193" s="63">
        <v>32</v>
      </c>
      <c r="E193" s="54">
        <v>0.2</v>
      </c>
      <c r="F193" s="54"/>
      <c r="G193" s="54"/>
      <c r="H193" s="54">
        <v>0.8</v>
      </c>
      <c r="I193" s="52">
        <f t="shared" ref="I193:I211" si="7">IF(A193&lt;&gt;0,(B193-(B192-D192))/(A193-A192),"")</f>
        <v>10.8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20</v>
      </c>
      <c r="B194" s="63">
        <v>102</v>
      </c>
      <c r="C194" s="63">
        <v>3</v>
      </c>
      <c r="D194" s="63">
        <v>35</v>
      </c>
      <c r="E194" s="54">
        <v>0.2</v>
      </c>
      <c r="F194" s="54"/>
      <c r="G194" s="54"/>
      <c r="H194" s="54">
        <v>0.8</v>
      </c>
      <c r="I194" s="52">
        <f t="shared" si="7"/>
        <v>13.8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25</v>
      </c>
      <c r="B195" s="63">
        <v>141</v>
      </c>
      <c r="C195" s="63">
        <v>4</v>
      </c>
      <c r="D195" s="63">
        <v>35</v>
      </c>
      <c r="E195" s="54">
        <v>0.3</v>
      </c>
      <c r="F195" s="54"/>
      <c r="G195" s="54"/>
      <c r="H195" s="54">
        <v>0.7</v>
      </c>
      <c r="I195" s="52">
        <f t="shared" si="7"/>
        <v>14.8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30</v>
      </c>
      <c r="B196" s="63">
        <v>177</v>
      </c>
      <c r="C196" s="63">
        <v>5</v>
      </c>
      <c r="D196" s="63">
        <v>35</v>
      </c>
      <c r="E196" s="54">
        <v>0.3</v>
      </c>
      <c r="F196" s="54"/>
      <c r="G196" s="54"/>
      <c r="H196" s="54">
        <v>0.7</v>
      </c>
      <c r="I196" s="52">
        <f t="shared" si="7"/>
        <v>14.2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35</v>
      </c>
      <c r="B197" s="63">
        <v>206</v>
      </c>
      <c r="C197" s="63">
        <v>6</v>
      </c>
      <c r="D197" s="63">
        <v>35</v>
      </c>
      <c r="E197" s="54">
        <v>0.4</v>
      </c>
      <c r="F197" s="54"/>
      <c r="G197" s="54"/>
      <c r="H197" s="54">
        <v>0.6</v>
      </c>
      <c r="I197" s="52">
        <f t="shared" si="7"/>
        <v>12.8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40</v>
      </c>
      <c r="B198" s="63">
        <v>228</v>
      </c>
      <c r="C198" s="63">
        <v>7</v>
      </c>
      <c r="D198" s="63">
        <v>35</v>
      </c>
      <c r="E198" s="54">
        <v>0.4</v>
      </c>
      <c r="F198" s="54"/>
      <c r="G198" s="54"/>
      <c r="H198" s="54">
        <v>0.6</v>
      </c>
      <c r="I198" s="52">
        <f t="shared" si="7"/>
        <v>11.4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>
        <v>45</v>
      </c>
      <c r="B199" s="53">
        <v>242</v>
      </c>
      <c r="C199" s="53">
        <v>8</v>
      </c>
      <c r="D199" s="53">
        <v>24</v>
      </c>
      <c r="E199" s="54">
        <v>0.5</v>
      </c>
      <c r="F199" s="54"/>
      <c r="G199" s="54"/>
      <c r="H199" s="54">
        <v>0.5</v>
      </c>
      <c r="I199" s="52">
        <f t="shared" si="7"/>
        <v>9.8000000000000007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>
        <v>50</v>
      </c>
      <c r="B200" s="53">
        <v>261</v>
      </c>
      <c r="C200" s="53">
        <v>9</v>
      </c>
      <c r="D200" s="53">
        <v>19</v>
      </c>
      <c r="E200" s="54">
        <v>0.5</v>
      </c>
      <c r="F200" s="54"/>
      <c r="G200" s="54"/>
      <c r="H200" s="54">
        <v>0.5</v>
      </c>
      <c r="I200" s="52">
        <f t="shared" si="7"/>
        <v>8.6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>
        <v>55</v>
      </c>
      <c r="B201" s="53">
        <v>279</v>
      </c>
      <c r="C201" s="53">
        <v>10</v>
      </c>
      <c r="D201" s="53">
        <v>16</v>
      </c>
      <c r="E201" s="54">
        <v>0.6</v>
      </c>
      <c r="F201" s="54"/>
      <c r="G201" s="54"/>
      <c r="H201" s="54">
        <v>0.4</v>
      </c>
      <c r="I201" s="52">
        <f t="shared" si="7"/>
        <v>7.4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>
        <v>60</v>
      </c>
      <c r="B202" s="53">
        <v>294</v>
      </c>
      <c r="C202" s="53">
        <v>11</v>
      </c>
      <c r="D202" s="53">
        <v>14</v>
      </c>
      <c r="E202" s="54">
        <v>0.6</v>
      </c>
      <c r="F202" s="54"/>
      <c r="G202" s="54"/>
      <c r="H202" s="54">
        <v>0.4</v>
      </c>
      <c r="I202" s="52">
        <f t="shared" si="7"/>
        <v>6.2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>
        <v>65</v>
      </c>
      <c r="B203" s="53">
        <v>306</v>
      </c>
      <c r="C203" s="53">
        <v>12</v>
      </c>
      <c r="D203" s="53">
        <v>13</v>
      </c>
      <c r="E203" s="54">
        <v>0.7</v>
      </c>
      <c r="F203" s="54"/>
      <c r="G203" s="54"/>
      <c r="H203" s="54">
        <v>0.3</v>
      </c>
      <c r="I203" s="52">
        <f t="shared" si="7"/>
        <v>5.2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>
        <v>70</v>
      </c>
      <c r="B204" s="53">
        <v>316</v>
      </c>
      <c r="C204" s="53">
        <v>13</v>
      </c>
      <c r="D204" s="53">
        <v>13</v>
      </c>
      <c r="E204" s="54">
        <v>0.7</v>
      </c>
      <c r="F204" s="54"/>
      <c r="G204" s="54"/>
      <c r="H204" s="54">
        <v>0.3</v>
      </c>
      <c r="I204" s="52">
        <f t="shared" si="7"/>
        <v>4.5999999999999996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>
        <v>75</v>
      </c>
      <c r="B205" s="53">
        <v>324</v>
      </c>
      <c r="C205" s="53">
        <v>14</v>
      </c>
      <c r="D205" s="53">
        <v>12</v>
      </c>
      <c r="E205" s="54">
        <v>0.8</v>
      </c>
      <c r="F205" s="54"/>
      <c r="G205" s="54"/>
      <c r="H205" s="54">
        <v>0.2</v>
      </c>
      <c r="I205" s="52">
        <f t="shared" si="7"/>
        <v>4.2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>
        <v>80</v>
      </c>
      <c r="B206" s="53">
        <v>330</v>
      </c>
      <c r="C206" s="53">
        <v>15</v>
      </c>
      <c r="D206" s="53">
        <v>330</v>
      </c>
      <c r="E206" s="54">
        <v>0.8</v>
      </c>
      <c r="F206" s="54"/>
      <c r="G206" s="54"/>
      <c r="H206" s="54">
        <v>0.2</v>
      </c>
      <c r="I206" s="52">
        <f t="shared" si="7"/>
        <v>3.6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>Aulne glutineux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>
        <v>10</v>
      </c>
      <c r="B218" s="63">
        <v>11</v>
      </c>
      <c r="C218" s="53">
        <v>1</v>
      </c>
      <c r="D218" s="63">
        <v>1</v>
      </c>
      <c r="E218" s="66">
        <v>0</v>
      </c>
      <c r="F218" s="66"/>
      <c r="G218" s="66"/>
      <c r="H218" s="66">
        <v>1</v>
      </c>
      <c r="I218" s="56">
        <f>IFERROR(B218/A218,"")</f>
        <v>1.1000000000000001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>
        <v>15</v>
      </c>
      <c r="B219" s="63">
        <v>44</v>
      </c>
      <c r="C219" s="53">
        <v>2</v>
      </c>
      <c r="D219" s="63">
        <v>4</v>
      </c>
      <c r="E219" s="66">
        <v>0</v>
      </c>
      <c r="F219" s="66"/>
      <c r="G219" s="66"/>
      <c r="H219" s="66">
        <v>1</v>
      </c>
      <c r="I219" s="56">
        <f t="shared" ref="I219:I237" si="8">IF(A219&lt;&gt;0,(B219-(B218-D218))/(A219-A218),"")</f>
        <v>6.8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>
        <v>20</v>
      </c>
      <c r="B220" s="63">
        <v>100</v>
      </c>
      <c r="C220" s="53">
        <v>3</v>
      </c>
      <c r="D220" s="63">
        <v>10</v>
      </c>
      <c r="E220" s="66">
        <v>0</v>
      </c>
      <c r="F220" s="66"/>
      <c r="G220" s="66"/>
      <c r="H220" s="66">
        <v>1</v>
      </c>
      <c r="I220" s="56">
        <f t="shared" si="8"/>
        <v>12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>
        <v>25</v>
      </c>
      <c r="B221" s="58">
        <v>138</v>
      </c>
      <c r="C221" s="58">
        <v>4</v>
      </c>
      <c r="D221" s="58">
        <v>21</v>
      </c>
      <c r="E221" s="66">
        <v>0</v>
      </c>
      <c r="F221" s="66"/>
      <c r="G221" s="66"/>
      <c r="H221" s="66">
        <v>1</v>
      </c>
      <c r="I221" s="56">
        <f t="shared" si="8"/>
        <v>9.6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>
        <v>30</v>
      </c>
      <c r="B222" s="58">
        <v>161</v>
      </c>
      <c r="C222" s="58">
        <v>5</v>
      </c>
      <c r="D222" s="58">
        <v>23</v>
      </c>
      <c r="E222" s="66">
        <v>0.2</v>
      </c>
      <c r="F222" s="66"/>
      <c r="G222" s="66"/>
      <c r="H222" s="66">
        <v>0.8</v>
      </c>
      <c r="I222" s="56">
        <f t="shared" si="8"/>
        <v>8.8000000000000007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>
        <v>35</v>
      </c>
      <c r="B223" s="58">
        <v>181</v>
      </c>
      <c r="C223" s="58">
        <v>6</v>
      </c>
      <c r="D223" s="58">
        <v>25</v>
      </c>
      <c r="E223" s="66">
        <v>0.2</v>
      </c>
      <c r="F223" s="66"/>
      <c r="G223" s="66"/>
      <c r="H223" s="66">
        <v>0.8</v>
      </c>
      <c r="I223" s="56">
        <f t="shared" si="8"/>
        <v>8.6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>
        <v>40</v>
      </c>
      <c r="B224" s="58">
        <v>195</v>
      </c>
      <c r="C224" s="58">
        <v>7</v>
      </c>
      <c r="D224" s="58">
        <v>25</v>
      </c>
      <c r="E224" s="66">
        <v>0.3</v>
      </c>
      <c r="F224" s="66"/>
      <c r="G224" s="66"/>
      <c r="H224" s="66">
        <v>0.7</v>
      </c>
      <c r="I224" s="56">
        <f t="shared" si="8"/>
        <v>7.8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>
        <v>45</v>
      </c>
      <c r="B225" s="58">
        <v>207</v>
      </c>
      <c r="C225" s="58">
        <v>8</v>
      </c>
      <c r="D225" s="58">
        <v>25</v>
      </c>
      <c r="E225" s="66">
        <v>0.3</v>
      </c>
      <c r="F225" s="66"/>
      <c r="G225" s="66"/>
      <c r="H225" s="66">
        <v>0.7</v>
      </c>
      <c r="I225" s="56">
        <f t="shared" si="8"/>
        <v>7.4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>
        <v>50</v>
      </c>
      <c r="B226" s="58">
        <v>215</v>
      </c>
      <c r="C226" s="58">
        <v>9</v>
      </c>
      <c r="D226" s="58">
        <v>24</v>
      </c>
      <c r="E226" s="66">
        <v>0.4</v>
      </c>
      <c r="F226" s="66"/>
      <c r="G226" s="66"/>
      <c r="H226" s="66">
        <v>0.6</v>
      </c>
      <c r="I226" s="56">
        <f t="shared" si="8"/>
        <v>6.6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>
        <v>55</v>
      </c>
      <c r="B227" s="58">
        <v>223</v>
      </c>
      <c r="C227" s="58">
        <v>10</v>
      </c>
      <c r="D227" s="58">
        <v>23</v>
      </c>
      <c r="E227" s="66">
        <v>0.4</v>
      </c>
      <c r="F227" s="66"/>
      <c r="G227" s="66"/>
      <c r="H227" s="66">
        <v>0.6</v>
      </c>
      <c r="I227" s="56">
        <f t="shared" si="8"/>
        <v>6.4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>
        <v>60</v>
      </c>
      <c r="B228" s="58">
        <v>229</v>
      </c>
      <c r="C228" s="58">
        <v>11</v>
      </c>
      <c r="D228" s="58">
        <v>22</v>
      </c>
      <c r="E228" s="66">
        <v>0.5</v>
      </c>
      <c r="F228" s="66"/>
      <c r="G228" s="66"/>
      <c r="H228" s="66">
        <v>0.5</v>
      </c>
      <c r="I228" s="56">
        <f t="shared" si="8"/>
        <v>5.8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>
        <v>65</v>
      </c>
      <c r="B229" s="58">
        <v>233</v>
      </c>
      <c r="C229" s="58">
        <v>12</v>
      </c>
      <c r="D229" s="58">
        <v>20</v>
      </c>
      <c r="E229" s="66">
        <v>0.5</v>
      </c>
      <c r="F229" s="66"/>
      <c r="G229" s="66"/>
      <c r="H229" s="66">
        <v>0.5</v>
      </c>
      <c r="I229" s="56">
        <f t="shared" si="8"/>
        <v>5.2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>
        <v>70</v>
      </c>
      <c r="B230" s="58">
        <v>237</v>
      </c>
      <c r="C230" s="58">
        <v>13</v>
      </c>
      <c r="D230" s="58">
        <v>19</v>
      </c>
      <c r="E230" s="67">
        <v>0.6</v>
      </c>
      <c r="F230" s="67"/>
      <c r="G230" s="67"/>
      <c r="H230" s="67">
        <v>0.4</v>
      </c>
      <c r="I230" s="56">
        <f t="shared" si="8"/>
        <v>4.8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>
        <v>75</v>
      </c>
      <c r="B231" s="63">
        <v>241</v>
      </c>
      <c r="C231" s="94">
        <v>14</v>
      </c>
      <c r="D231" s="63">
        <v>18</v>
      </c>
      <c r="E231" s="57">
        <v>0.6</v>
      </c>
      <c r="F231" s="57"/>
      <c r="G231" s="57"/>
      <c r="H231" s="57">
        <v>0.4</v>
      </c>
      <c r="I231" s="56">
        <f t="shared" si="8"/>
        <v>4.5999999999999996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>
        <v>80</v>
      </c>
      <c r="B232" s="53">
        <v>244</v>
      </c>
      <c r="C232" s="53">
        <v>15</v>
      </c>
      <c r="D232" s="53">
        <v>16</v>
      </c>
      <c r="E232" s="57">
        <v>0.7</v>
      </c>
      <c r="F232" s="57"/>
      <c r="G232" s="57"/>
      <c r="H232" s="57">
        <v>0.3</v>
      </c>
      <c r="I232" s="56">
        <f t="shared" si="8"/>
        <v>4.2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>
        <v>85</v>
      </c>
      <c r="B233" s="53">
        <v>247</v>
      </c>
      <c r="C233" s="53">
        <v>16</v>
      </c>
      <c r="D233" s="53">
        <v>15</v>
      </c>
      <c r="E233" s="57">
        <v>0.7</v>
      </c>
      <c r="F233" s="57"/>
      <c r="G233" s="57"/>
      <c r="H233" s="57">
        <v>0.3</v>
      </c>
      <c r="I233" s="56">
        <f t="shared" si="8"/>
        <v>3.8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>
        <v>90</v>
      </c>
      <c r="B234" s="53">
        <v>250</v>
      </c>
      <c r="C234" s="53">
        <v>17</v>
      </c>
      <c r="D234" s="53">
        <v>250</v>
      </c>
      <c r="E234" s="57">
        <v>0.8</v>
      </c>
      <c r="F234" s="57"/>
      <c r="G234" s="57"/>
      <c r="H234" s="57">
        <v>0.2</v>
      </c>
      <c r="I234" s="56">
        <f t="shared" si="8"/>
        <v>3.6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5" sqref="C2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noir d'Autriche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Cèdre de l'Atlas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Mélèze d'Europe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Alisier torminal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Pin laricio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Chêne rouge d'Amérique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Erable sycomore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Aulne glutineux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262.06511368698341</v>
      </c>
      <c r="T3" s="62">
        <f>IF('Données projet'!E9&gt;30,$R$33-$H$33,LOOKUP('Données projet'!$E$9,$A$3:$A$203,R3:R203)-LOOKUP('Données projet'!$E$9,$A$3:$A$203,$H$3:$H$203))</f>
        <v>217.15709240080542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287.83167869616227</v>
      </c>
      <c r="AO3" s="62">
        <f>IF('Données projet'!E10&gt;30,$AM$33-$H$33,LOOKUP('Données projet'!$E$10,$A$3:$A$203,AM3:AM203)-LOOKUP('Données projet'!$E$10,$A$3:$A$203,$H$3:$H$203))</f>
        <v>233.84231920589906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262.36903350767881</v>
      </c>
      <c r="BJ3" s="62">
        <f>IF('Données projet'!E11&gt;30,$BH$33-$H$33,LOOKUP('Données projet'!$E$11,$A$3:$A$203,BH3:BH203)-LOOKUP('Données projet'!$E$11,$A$3:$A$203,$H$3:$H$203))</f>
        <v>331.21009482262417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618.83149423524605</v>
      </c>
      <c r="CE3" s="62">
        <f>IF('Données projet'!E12&gt;30,$CC$33-$H$33,LOOKUP('Données projet'!$E$12,$A$3:$A$203,CC3:CC203)-LOOKUP('Données projet'!$E$12,$A$3:$A$203,$H$3:$H$203))</f>
        <v>285.33582535802435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349.5718186624772</v>
      </c>
      <c r="CZ3" s="62">
        <f>IF('Données projet'!E13&gt;30,$CX$33-$H$33,LOOKUP('Données projet'!$E$13,$A$3:$A$203,CX3:CX203)-LOOKUP('Données projet'!$E$13,$A$3:$A$203,$H$3:$H$203))</f>
        <v>258.14152930815959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300.63505444445104</v>
      </c>
      <c r="DU3" s="62">
        <f>IF('Données projet'!E14&gt;30,$DS$33-$H$33,LOOKUP('Données projet'!$E$14,$A$3:$A$203,DS3:DS203)-LOOKUP('Données projet'!$E$14,$A$3:$A$203,$H$3:$H$203))</f>
        <v>266.32508105927997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353.37024194969638</v>
      </c>
      <c r="EP3" s="62">
        <f>IF('Données projet'!E15&gt;30,$EN$33-$H$33,LOOKUP('Données projet'!$E$15,$A$3:$A$203,EN3:EN203)-LOOKUP('Données projet'!$E$15,$A$3:$A$203,$H$3:$H$203))</f>
        <v>345.4750813433123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263.30962868541337</v>
      </c>
      <c r="FK3" s="62">
        <f>IF('Données projet'!E16&gt;30,$FI$33-$H$33,LOOKUP('Données projet'!$E$16,$A$3:$A$203,FI3:FI203)-LOOKUP('Données projet'!$E$16,$A$3:$A$203,$H$3:$H$203))</f>
        <v>269.61868559913404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4.5262222222222226</v>
      </c>
      <c r="N4" s="14">
        <f>IF('Données projet'!$A$36&gt;35,N3+M4-V3,IF(A4&lt;'Données projet'!$A$36,$K$205^A4,IF(A4='Données projet'!$A$36,'Données projet'!$B$36,N3+M4-V3)))</f>
        <v>4.5262222222222226</v>
      </c>
      <c r="O4" s="14">
        <f>N4*VLOOKUP('Données projet'!$B$9,Paramètres!$A$1:$I$89,3,0)*VLOOKUP('Données projet'!$B$9,Paramètres!$A$1:$I$89,5,0)</f>
        <v>2.7066808888888891</v>
      </c>
      <c r="P4" s="14">
        <f>EXP(-1.0587+0.8836*LN(O4)+0.284)</f>
        <v>1.1108449576382642</v>
      </c>
      <c r="Q4" s="22">
        <f t="shared" ref="Q4:Q34" si="2">(O4+P4)*0.475*44/12</f>
        <v>6.6488575160347914</v>
      </c>
      <c r="R4" s="62">
        <f t="shared" si="0"/>
        <v>264.53774640492367</v>
      </c>
      <c r="S4" s="62">
        <f ca="1">AVERAGE(OFFSET($R$3,0,0,'Données projet'!$E$9+1,1))-AVERAGE(OFFSET($H$3,0,0,'Données projet'!$E$9+1,1))</f>
        <v>262.06511368698341</v>
      </c>
      <c r="T4" s="62">
        <f>$T$3</f>
        <v>217.15709240080542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6.3325490196078427</v>
      </c>
      <c r="AI4" s="14">
        <f>IF('Données projet'!$A$62&gt;35,AI3+AH4-AQ3,IF(A4&lt;'Données projet'!$A$62,$AF$205^A4,IF(A4='Données projet'!$A$62,'Données projet'!$B$62,AI3+AH4-AQ3)))</f>
        <v>6.3325490196078427</v>
      </c>
      <c r="AJ4" s="14">
        <f>AI4*VLOOKUP('Données projet'!$B$10,Paramètres!$A$1:$I$89,3,0)*VLOOKUP('Données projet'!$B$10,Paramètres!$A$1:$I$89,5,0)</f>
        <v>2.9636329411764701</v>
      </c>
      <c r="AK4" s="14">
        <f>EXP(-1.0587+0.8836*LN(AJ4)+0.284)</f>
        <v>1.2035277726750502</v>
      </c>
      <c r="AL4" s="22">
        <f t="shared" ref="AL4:AL67" si="4">(AJ4+AK4)*0.475*44/12</f>
        <v>7.2578049099580646</v>
      </c>
      <c r="AM4" s="62">
        <f t="shared" ref="AM4:AM67" si="5">AL4+(AD4+AE4)*44/12</f>
        <v>265.14669379884691</v>
      </c>
      <c r="AN4" s="62">
        <f ca="1">AVERAGE(OFFSET($AM$3,0,0,'Données projet'!$E$10+1,1))-AVERAGE(OFFSET($H$3,0,0,'Données projet'!$E$10+1,1))</f>
        <v>287.83167869616227</v>
      </c>
      <c r="AO4" s="62">
        <f>$AO$3</f>
        <v>233.84231920589906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6.583333333333333</v>
      </c>
      <c r="BD4" s="13">
        <f>IF('Données projet'!$A$88&gt;35,BD3+BC4-BL3,IF(A4&lt;'Données projet'!$A$88,$BA$205^A4,IF(A4='Données projet'!$A$88,'Données projet'!$B$88,BD3+BC4-BL3)))</f>
        <v>1.4392478552290457</v>
      </c>
      <c r="BE4" s="14">
        <f>BD4*VLOOKUP('Données projet'!$B$11,Paramètres!$A$1:$I$89,3,0)*VLOOKUP('Données projet'!$B$11,Paramètres!$A$1:$I$89,5,0)</f>
        <v>0.89809066166292451</v>
      </c>
      <c r="BF4" s="14">
        <f>EXP(-1.0587+0.8836*LN(BE4)+0.284)</f>
        <v>0.41908853158476056</v>
      </c>
      <c r="BG4" s="22">
        <f t="shared" ref="BG4:BG67" si="7">(BE4+BF4)*0.475*44/12</f>
        <v>2.2940870949063847</v>
      </c>
      <c r="BH4" s="62">
        <f t="shared" ref="BH4:BH67" si="8">BG4+(AY4+AZ4)*44/12</f>
        <v>260.18297598379525</v>
      </c>
      <c r="BI4" s="62">
        <f ca="1">AVERAGE(OFFSET($BH$3,0,0,'Données projet'!$E$11+1,1))-AVERAGE(OFFSET($H$3,0,0,'Données projet'!$E$11+1,1))</f>
        <v>262.36903350767881</v>
      </c>
      <c r="BJ4" s="62">
        <f>$BJ$3</f>
        <v>331.21009482262417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3.887142857142857</v>
      </c>
      <c r="BY4" s="13">
        <f>IF('Données projet'!$A$114&gt;35,BY3+BX4-CG3,IF(A4&lt;'Données projet'!$A$114,$BV$205^A4,IF(A4='Données projet'!$A$114,'Données projet'!$B$114,BY3+BX4-CG3)))</f>
        <v>3.887142857142857</v>
      </c>
      <c r="BZ4" s="14">
        <f>BY4*VLOOKUP('Données projet'!$B$12,Paramètres!$A$1:$I$89,3,0)*VLOOKUP('Données projet'!$B$12,Paramètres!$A$1:$I$89,5,0)</f>
        <v>3.7596445714285713</v>
      </c>
      <c r="CA4" s="14">
        <f>EXP(-1.0587+0.8836*LN(BZ4)+0.284)</f>
        <v>1.4850865614549704</v>
      </c>
      <c r="CB4" s="22">
        <f t="shared" ref="CB4:CB67" si="10">(BZ4+CA4)*0.475*44/12</f>
        <v>9.1345733897721697</v>
      </c>
      <c r="CC4" s="62">
        <f t="shared" ref="CC4:CC67" si="11">CB4+(BT4+BU4)*44/12</f>
        <v>267.02346227866104</v>
      </c>
      <c r="CD4" s="62">
        <f ca="1">AVERAGE(OFFSET($CC$3,0,0,'Données projet'!$E$12+1,1))-AVERAGE(OFFSET($H$3,0,0,'Données projet'!$E$12+1,1))</f>
        <v>618.83149423524605</v>
      </c>
      <c r="CE4" s="62">
        <f>$CE$3</f>
        <v>285.33582535802435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5.8668181818181813</v>
      </c>
      <c r="CT4" s="13">
        <f>IF('Données projet'!$A$140&gt;35,CT3+CS4-DB3,IF(A4&lt;'Données projet'!$A$140,$CQ$205^A4,IF(A4='Données projet'!$A$140,'Données projet'!$B$140,CT3+CS4-DB3)))</f>
        <v>1.2472301622014093</v>
      </c>
      <c r="CU4" s="18">
        <f>CT4*VLOOKUP('Données projet'!$B$13,Paramètres!$A$1:$I$89,3,0)*VLOOKUP('Données projet'!$B$13,Paramètres!$A$1:$I$89,5,0)</f>
        <v>0.74584363699644274</v>
      </c>
      <c r="CV4" s="14">
        <f>EXP(-1.0587+0.8836*LN(CU4)+0.284)</f>
        <v>0.35565068640491565</v>
      </c>
      <c r="CW4" s="22">
        <f t="shared" ref="CW4:CW67" si="13">(CU4+CV4)*0.475*44/12</f>
        <v>1.918435946590699</v>
      </c>
      <c r="CX4" s="62">
        <f t="shared" ref="CX4:CX67" si="14">CW4+(CO4+CP4)*44/12</f>
        <v>259.80732483547956</v>
      </c>
      <c r="CY4" s="62">
        <f ca="1">AVERAGE(OFFSET($CX$3,0,0,'Données projet'!$E$13+1,1))-AVERAGE(OFFSET($H$3,0,0,'Données projet'!$E$13+1,1))</f>
        <v>349.5718186624772</v>
      </c>
      <c r="CZ4" s="62">
        <f>$CZ$3</f>
        <v>258.14152930815959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1.8</v>
      </c>
      <c r="DO4" s="13">
        <f>IF('Données projet'!$A$166&gt;35,DO3+DN4-DW3,IF(A4&lt;'Données projet'!$A$166,$DL$205^A4,IF(A4='Données projet'!$A$166,'Données projet'!$B$166,DO3+DN4-DW3)))</f>
        <v>1.335141362540313</v>
      </c>
      <c r="DP4" s="18">
        <f>DO4*VLOOKUP('Données projet'!$B$14,Paramètres!$A$1:$I$89,3,0)*VLOOKUP('Données projet'!$B$14,Paramètres!$A$1:$I$89,5,0)</f>
        <v>1.1663794943152175</v>
      </c>
      <c r="DQ4" s="14">
        <f>EXP(-1.0587+0.8836*LN(DP4)+0.284)</f>
        <v>0.52797307958445927</v>
      </c>
      <c r="DR4" s="22">
        <f t="shared" ref="DR4:DR67" si="16">(DP4+DQ4)*0.475*44/12</f>
        <v>2.9509973995419365</v>
      </c>
      <c r="DS4" s="62">
        <f t="shared" ref="DS4:DS67" si="17">DR4+(DJ4+DK4)*44/12</f>
        <v>260.83988628843082</v>
      </c>
      <c r="DT4" s="62">
        <f ca="1">AVERAGE(OFFSET($DS$3,0,0,'Données projet'!$E$14+1,1))-AVERAGE(OFFSET($H$3,0,0,'Données projet'!$E$14+1,1))</f>
        <v>300.63505444445104</v>
      </c>
      <c r="DU4" s="62">
        <f>$DU$3</f>
        <v>266.32508105927997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1.1000000000000001</v>
      </c>
      <c r="EJ4" s="13">
        <f>IF('Données projet'!$A$192&gt;35,EJ3+EI4-ER3,IF(A4&lt;'Données projet'!$A$192,$EG$205^A4,IF(A4='Données projet'!$A$192,'Données projet'!$B$192,EJ3+EI4-ER3)))</f>
        <v>1.2709816152101407</v>
      </c>
      <c r="EK4" s="18">
        <f>EJ4*VLOOKUP('Données projet'!$B$15,Paramètres!$A$1:$I$89,3,0)*VLOOKUP('Données projet'!$B$15,Paramètres!$A$1:$I$89,5,0)</f>
        <v>1.0111929730611879</v>
      </c>
      <c r="EL4" s="14">
        <f>EXP(-1.0587+0.8836*LN(EK4)+0.284)</f>
        <v>0.46539683474213156</v>
      </c>
      <c r="EM4" s="22">
        <f t="shared" ref="EM4:EM67" si="19">(EK4+EL4)*0.475*44/12</f>
        <v>2.5717272485907814</v>
      </c>
      <c r="EN4" s="62">
        <f t="shared" ref="EN4:EN67" si="20">EM4+(EE4+EF4)*44/12</f>
        <v>260.46061613747963</v>
      </c>
      <c r="EO4" s="62">
        <f ca="1">AVERAGE(OFFSET($EN$3,0,0,'Données projet'!$E$15+1,1))-AVERAGE(OFFSET($H$3,0,0,'Données projet'!$E$15+1,1))</f>
        <v>353.37024194969638</v>
      </c>
      <c r="EP4" s="62">
        <f>$EP$3</f>
        <v>345.4750813433123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1.1000000000000001</v>
      </c>
      <c r="FE4" s="13">
        <f>IF('Données projet'!$A$218&gt;35,FE3+FD4-FM3,IF(A4&lt;'Données projet'!$A$218,$FB$205^A4,IF(A4='Données projet'!$A$218,'Données projet'!$B$218,FE3+FD4-FM3)))</f>
        <v>1.2709816152101407</v>
      </c>
      <c r="FF4" s="18">
        <f>FE4*VLOOKUP('Données projet'!$B$16,Paramètres!$A$1:$I$89,3,0)*VLOOKUP('Données projet'!$B$16,Paramètres!$A$1:$I$89,5,0)</f>
        <v>0.83274715428568413</v>
      </c>
      <c r="FG4" s="14">
        <f>EXP(-1.0587+0.8836*LN(FF4)+0.284)</f>
        <v>0.39202836439738087</v>
      </c>
      <c r="FH4" s="22">
        <f t="shared" ref="FH4:FH67" si="22">(FF4+FG4)*0.475*44/12</f>
        <v>2.1331506950396717</v>
      </c>
      <c r="FI4" s="62">
        <f t="shared" ref="FI4:FI67" si="23">FH4+(EZ4+FA4)*44/12</f>
        <v>260.02203958392852</v>
      </c>
      <c r="FJ4" s="62">
        <f ca="1">AVERAGE(OFFSET($FI$3,0,0,'Données projet'!$E$16+1,1))-AVERAGE(OFFSET($H$3,0,0,'Données projet'!$E$16+1,1))</f>
        <v>263.30962868541337</v>
      </c>
      <c r="FK4" s="62">
        <f>$FK$3</f>
        <v>269.61868559913404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4.5262222222222226</v>
      </c>
      <c r="N5" s="14">
        <f>IF('Données projet'!$A$36&gt;35,N4+M5-V4,IF(A5&lt;'Données projet'!$A$36,$K$205^A5,IF(A5='Données projet'!$A$36,'Données projet'!$B$36,N4+M5-V4)))</f>
        <v>9.0524444444444452</v>
      </c>
      <c r="O5" s="14">
        <f>N5*VLOOKUP('Données projet'!$B$9,Paramètres!$A$1:$I$89,3,0)*VLOOKUP('Données projet'!$B$9,Paramètres!$A$1:$I$89,5,0)</f>
        <v>5.4133617777777783</v>
      </c>
      <c r="P5" s="14">
        <f t="shared" ref="P5:P68" si="33">EXP(-1.0587+0.8836*LN(O5)+0.284)</f>
        <v>2.0494793752042901</v>
      </c>
      <c r="Q5" s="22">
        <f t="shared" si="2"/>
        <v>12.997781674777102</v>
      </c>
      <c r="R5" s="62">
        <f t="shared" si="0"/>
        <v>272.10889278588826</v>
      </c>
      <c r="S5" s="62">
        <f ca="1">AVERAGE(OFFSET($R$3,0,0,'Données projet'!$E$9+1,1))-AVERAGE(OFFSET($H$3,0,0,'Données projet'!$E$9+1,1))</f>
        <v>262.06511368698341</v>
      </c>
      <c r="T5" s="62">
        <f t="shared" ref="T5:T68" si="34">$T$3</f>
        <v>217.15709240080542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6.3325490196078427</v>
      </c>
      <c r="AI5" s="14">
        <f>IF('Données projet'!$A$62&gt;35,AI4+AH5-AQ4,IF(A5&lt;'Données projet'!$A$62,$AF$205^A5,IF(A5='Données projet'!$A$62,'Données projet'!$B$62,AI4+AH5-AQ4)))</f>
        <v>12.665098039215685</v>
      </c>
      <c r="AJ5" s="14">
        <f>AI5*VLOOKUP('Données projet'!$B$10,Paramètres!$A$1:$I$89,3,0)*VLOOKUP('Données projet'!$B$10,Paramètres!$A$1:$I$89,5,0)</f>
        <v>5.9272658823529403</v>
      </c>
      <c r="AK5" s="14">
        <f t="shared" ref="AK5:AK68" si="35">EXP(-1.0587+0.8836*LN(AJ5)+0.284)</f>
        <v>2.2204767016517342</v>
      </c>
      <c r="AL5" s="22">
        <f t="shared" si="4"/>
        <v>14.190651667141474</v>
      </c>
      <c r="AM5" s="62">
        <f t="shared" si="5"/>
        <v>273.30176277825262</v>
      </c>
      <c r="AN5" s="62">
        <f ca="1">AVERAGE(OFFSET($AM$3,0,0,'Données projet'!$E$10+1,1))-AVERAGE(OFFSET($H$3,0,0,'Données projet'!$E$10+1,1))</f>
        <v>287.83167869616227</v>
      </c>
      <c r="AO5" s="62">
        <f t="shared" ref="AO5:AO68" si="36">$AO$3</f>
        <v>233.84231920589906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6.583333333333333</v>
      </c>
      <c r="BD5" s="13">
        <f>IF('Données projet'!$A$88&gt;35,BD4+BC5-BL4,IF(A5&lt;'Données projet'!$A$88,$BA$205^A5,IF(A5='Données projet'!$A$88,'Données projet'!$B$88,BD4+BC5-BL4)))</f>
        <v>2.0714343887814084</v>
      </c>
      <c r="BE5" s="14">
        <f>BD5*VLOOKUP('Données projet'!$B$11,Paramètres!$A$1:$I$89,3,0)*VLOOKUP('Données projet'!$B$11,Paramètres!$A$1:$I$89,5,0)</f>
        <v>1.2925750585995988</v>
      </c>
      <c r="BF5" s="14">
        <f t="shared" ref="BF5:BF68" si="37">EXP(-1.0587+0.8836*LN(BE5)+0.284)</f>
        <v>0.57814181911768059</v>
      </c>
      <c r="BG5" s="22">
        <f t="shared" si="7"/>
        <v>3.258165228690928</v>
      </c>
      <c r="BH5" s="62">
        <f t="shared" si="8"/>
        <v>262.36927633980207</v>
      </c>
      <c r="BI5" s="62">
        <f ca="1">AVERAGE(OFFSET($BH$3,0,0,'Données projet'!$E$11+1,1))-AVERAGE(OFFSET($H$3,0,0,'Données projet'!$E$11+1,1))</f>
        <v>262.36903350767881</v>
      </c>
      <c r="BJ5" s="62">
        <f t="shared" ref="BJ5:BJ68" si="38">$BJ$3</f>
        <v>331.21009482262417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3.887142857142857</v>
      </c>
      <c r="BY5" s="13">
        <f>IF('Données projet'!$A$114&gt;35,BY4+BX5-CG4,IF(A5&lt;'Données projet'!$A$114,$BV$205^A5,IF(A5='Données projet'!$A$114,'Données projet'!$B$114,BY4+BX5-CG4)))</f>
        <v>7.774285714285714</v>
      </c>
      <c r="BZ5" s="14">
        <f>BY5*VLOOKUP('Données projet'!$B$12,Paramètres!$A$1:$I$89,3,0)*VLOOKUP('Données projet'!$B$12,Paramètres!$A$1:$I$89,5,0)</f>
        <v>7.5192891428571427</v>
      </c>
      <c r="CA5" s="14">
        <f t="shared" ref="CA5:CA68" si="39">EXP(-1.0587+0.8836*LN(BZ5)+0.284)</f>
        <v>2.7399451716160708</v>
      </c>
      <c r="CB5" s="22">
        <f t="shared" si="10"/>
        <v>17.868166431040844</v>
      </c>
      <c r="CC5" s="62">
        <f t="shared" si="11"/>
        <v>276.97927754215198</v>
      </c>
      <c r="CD5" s="62">
        <f ca="1">AVERAGE(OFFSET($CC$3,0,0,'Données projet'!$E$12+1,1))-AVERAGE(OFFSET($H$3,0,0,'Données projet'!$E$12+1,1))</f>
        <v>618.83149423524605</v>
      </c>
      <c r="CE5" s="62">
        <f t="shared" ref="CE5:CE68" si="40">$CE$3</f>
        <v>285.33582535802435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5.8668181818181813</v>
      </c>
      <c r="CT5" s="13">
        <f>IF('Données projet'!$A$140&gt;35,CT4+CS5-DB4,IF(A5&lt;'Données projet'!$A$140,$CQ$205^A5,IF(A5='Données projet'!$A$140,'Données projet'!$B$140,CT4+CS5-DB4)))</f>
        <v>1.5555830775049537</v>
      </c>
      <c r="CU5" s="18">
        <f>CT5*VLOOKUP('Données projet'!$B$13,Paramètres!$A$1:$I$89,3,0)*VLOOKUP('Données projet'!$B$13,Paramètres!$A$1:$I$89,5,0)</f>
        <v>0.93023868034796242</v>
      </c>
      <c r="CV5" s="14">
        <f t="shared" ref="CV5:CV68" si="41">EXP(-1.0587+0.8836*LN(CU5)+0.284)</f>
        <v>0.43231675887518456</v>
      </c>
      <c r="CW5" s="22">
        <f t="shared" si="13"/>
        <v>2.373117389980314</v>
      </c>
      <c r="CX5" s="62">
        <f t="shared" si="14"/>
        <v>261.48422850109148</v>
      </c>
      <c r="CY5" s="62">
        <f ca="1">AVERAGE(OFFSET($CX$3,0,0,'Données projet'!$E$13+1,1))-AVERAGE(OFFSET($H$3,0,0,'Données projet'!$E$13+1,1))</f>
        <v>349.5718186624772</v>
      </c>
      <c r="CZ5" s="62">
        <f t="shared" ref="CZ5:CZ68" si="42">$CZ$3</f>
        <v>258.14152930815959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1.8</v>
      </c>
      <c r="DO5" s="13">
        <f>IF('Données projet'!$A$166&gt;35,DO4+DN5-DW4,IF(A5&lt;'Données projet'!$A$166,$DL$205^A5,IF(A5='Données projet'!$A$166,'Données projet'!$B$166,DO4+DN5-DW4)))</f>
        <v>1.7826024579660036</v>
      </c>
      <c r="DP5" s="18">
        <f>DO5*VLOOKUP('Données projet'!$B$14,Paramètres!$A$1:$I$89,3,0)*VLOOKUP('Données projet'!$B$14,Paramètres!$A$1:$I$89,5,0)</f>
        <v>1.5572815072791011</v>
      </c>
      <c r="DQ5" s="14">
        <f t="shared" ref="DQ5:DQ68" si="43">EXP(-1.0587+0.8836*LN(DP5)+0.284)</f>
        <v>0.68159698037116012</v>
      </c>
      <c r="DR5" s="22">
        <f t="shared" si="16"/>
        <v>3.8993800326575379</v>
      </c>
      <c r="DS5" s="62">
        <f t="shared" si="17"/>
        <v>263.01049114376866</v>
      </c>
      <c r="DT5" s="62">
        <f ca="1">AVERAGE(OFFSET($DS$3,0,0,'Données projet'!$E$14+1,1))-AVERAGE(OFFSET($H$3,0,0,'Données projet'!$E$14+1,1))</f>
        <v>300.63505444445104</v>
      </c>
      <c r="DU5" s="62">
        <f t="shared" ref="DU5:DU68" si="44">$DU$3</f>
        <v>266.32508105927997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1.1000000000000001</v>
      </c>
      <c r="EJ5" s="13">
        <f>IF('Données projet'!$A$192&gt;35,EJ4+EI5-ER4,IF(A5&lt;'Données projet'!$A$192,$EG$205^A5,IF(A5='Données projet'!$A$192,'Données projet'!$B$192,EJ4+EI5-ER4)))</f>
        <v>1.6153942662021783</v>
      </c>
      <c r="EK5" s="18">
        <f>EJ5*VLOOKUP('Données projet'!$B$15,Paramètres!$A$1:$I$89,3,0)*VLOOKUP('Données projet'!$B$15,Paramètres!$A$1:$I$89,5,0)</f>
        <v>1.2852076781904531</v>
      </c>
      <c r="EL5" s="14">
        <f t="shared" ref="EL5:EL68" si="45">EXP(-1.0587+0.8836*LN(EK5)+0.284)</f>
        <v>0.57522914588482876</v>
      </c>
      <c r="EM5" s="22">
        <f t="shared" si="19"/>
        <v>3.2402608019311159</v>
      </c>
      <c r="EN5" s="62">
        <f t="shared" si="20"/>
        <v>262.35137191304227</v>
      </c>
      <c r="EO5" s="62">
        <f ca="1">AVERAGE(OFFSET($EN$3,0,0,'Données projet'!$E$15+1,1))-AVERAGE(OFFSET($H$3,0,0,'Données projet'!$E$15+1,1))</f>
        <v>353.37024194969638</v>
      </c>
      <c r="EP5" s="62">
        <f t="shared" ref="EP5:EP68" si="46">$EP$3</f>
        <v>345.4750813433123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1.1000000000000001</v>
      </c>
      <c r="FE5" s="13">
        <f>IF('Données projet'!$A$218&gt;35,FE4+FD5-FM4,IF(A5&lt;'Données projet'!$A$218,$FB$205^A5,IF(A5='Données projet'!$A$218,'Données projet'!$B$218,FE4+FD5-FM4)))</f>
        <v>1.6153942662021783</v>
      </c>
      <c r="FF5" s="18">
        <f>FE5*VLOOKUP('Données projet'!$B$16,Paramètres!$A$1:$I$89,3,0)*VLOOKUP('Données projet'!$B$16,Paramètres!$A$1:$I$89,5,0)</f>
        <v>1.0584063232156671</v>
      </c>
      <c r="FG5" s="14">
        <f t="shared" ref="FG5:FG68" si="47">EXP(-1.0587+0.8836*LN(FF5)+0.284)</f>
        <v>0.48454592807852009</v>
      </c>
      <c r="FH5" s="22">
        <f t="shared" si="22"/>
        <v>2.6873085043373757</v>
      </c>
      <c r="FI5" s="62">
        <f t="shared" si="23"/>
        <v>261.79841961544849</v>
      </c>
      <c r="FJ5" s="62">
        <f ca="1">AVERAGE(OFFSET($FI$3,0,0,'Données projet'!$E$16+1,1))-AVERAGE(OFFSET($H$3,0,0,'Données projet'!$E$16+1,1))</f>
        <v>263.30962868541337</v>
      </c>
      <c r="FK5" s="62">
        <f t="shared" ref="FK5:FK68" si="48">$FK$3</f>
        <v>269.61868559913404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4.5262222222222226</v>
      </c>
      <c r="N6" s="14">
        <f>IF('Données projet'!$A$36&gt;35,N5+M6-V5,IF(A6&lt;'Données projet'!$A$36,$K$205^A6,IF(A6='Données projet'!$A$36,'Données projet'!$B$36,N5+M6-V5)))</f>
        <v>13.578666666666667</v>
      </c>
      <c r="O6" s="14">
        <f>N6*VLOOKUP('Données projet'!$B$9,Paramètres!$A$1:$I$89,3,0)*VLOOKUP('Données projet'!$B$9,Paramètres!$A$1:$I$89,5,0)</f>
        <v>8.1200426666666683</v>
      </c>
      <c r="P6" s="14">
        <f t="shared" si="33"/>
        <v>2.9324984327553341</v>
      </c>
      <c r="Q6" s="22">
        <f t="shared" si="2"/>
        <v>19.249842414826656</v>
      </c>
      <c r="R6" s="62">
        <f t="shared" si="0"/>
        <v>279.58317574815999</v>
      </c>
      <c r="S6" s="62">
        <f ca="1">AVERAGE(OFFSET($R$3,0,0,'Données projet'!$E$9+1,1))-AVERAGE(OFFSET($H$3,0,0,'Données projet'!$E$9+1,1))</f>
        <v>262.06511368698341</v>
      </c>
      <c r="T6" s="62">
        <f t="shared" si="34"/>
        <v>217.15709240080542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6.3325490196078427</v>
      </c>
      <c r="AI6" s="14">
        <f>IF('Données projet'!$A$62&gt;35,AI5+AH6-AQ5,IF(A6&lt;'Données projet'!$A$62,$AF$205^A6,IF(A6='Données projet'!$A$62,'Données projet'!$B$62,AI5+AH6-AQ5)))</f>
        <v>18.997647058823528</v>
      </c>
      <c r="AJ6" s="14">
        <f>AI6*VLOOKUP('Données projet'!$B$10,Paramètres!$A$1:$I$89,3,0)*VLOOKUP('Données projet'!$B$10,Paramètres!$A$1:$I$89,5,0)</f>
        <v>8.89089882352941</v>
      </c>
      <c r="AK6" s="14">
        <f t="shared" si="35"/>
        <v>3.1771700297859202</v>
      </c>
      <c r="AL6" s="22">
        <f t="shared" si="4"/>
        <v>21.018553252857533</v>
      </c>
      <c r="AM6" s="62">
        <f t="shared" si="5"/>
        <v>281.35188658619086</v>
      </c>
      <c r="AN6" s="62">
        <f ca="1">AVERAGE(OFFSET($AM$3,0,0,'Données projet'!$E$10+1,1))-AVERAGE(OFFSET($H$3,0,0,'Données projet'!$E$10+1,1))</f>
        <v>287.83167869616227</v>
      </c>
      <c r="AO6" s="62">
        <f t="shared" si="36"/>
        <v>233.84231920589906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6.583333333333333</v>
      </c>
      <c r="BD6" s="13">
        <f>IF('Données projet'!$A$88&gt;35,BD5+BC6-BL5,IF(A6&lt;'Données projet'!$A$88,$BA$205^A6,IF(A6='Données projet'!$A$88,'Données projet'!$B$88,BD5+BC6-BL5)))</f>
        <v>2.9813075013013313</v>
      </c>
      <c r="BE6" s="14">
        <f>BD6*VLOOKUP('Données projet'!$B$11,Paramètres!$A$1:$I$89,3,0)*VLOOKUP('Données projet'!$B$11,Paramètres!$A$1:$I$89,5,0)</f>
        <v>1.8603358808120307</v>
      </c>
      <c r="BF6" s="14">
        <f t="shared" si="37"/>
        <v>0.79755931699863136</v>
      </c>
      <c r="BG6" s="22">
        <f t="shared" si="7"/>
        <v>4.6291674695202367</v>
      </c>
      <c r="BH6" s="62">
        <f t="shared" si="8"/>
        <v>264.96250080285353</v>
      </c>
      <c r="BI6" s="62">
        <f ca="1">AVERAGE(OFFSET($BH$3,0,0,'Données projet'!$E$11+1,1))-AVERAGE(OFFSET($H$3,0,0,'Données projet'!$E$11+1,1))</f>
        <v>262.36903350767881</v>
      </c>
      <c r="BJ6" s="62">
        <f t="shared" si="38"/>
        <v>331.21009482262417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3.887142857142857</v>
      </c>
      <c r="BY6" s="13">
        <f>IF('Données projet'!$A$114&gt;35,BY5+BX6-CG5,IF(A6&lt;'Données projet'!$A$114,$BV$205^A6,IF(A6='Données projet'!$A$114,'Données projet'!$B$114,BY5+BX6-CG5)))</f>
        <v>11.661428571428571</v>
      </c>
      <c r="BZ6" s="14">
        <f>BY6*VLOOKUP('Données projet'!$B$12,Paramètres!$A$1:$I$89,3,0)*VLOOKUP('Données projet'!$B$12,Paramètres!$A$1:$I$89,5,0)</f>
        <v>11.278933714285714</v>
      </c>
      <c r="CA6" s="14">
        <f t="shared" si="39"/>
        <v>3.9204517102294627</v>
      </c>
      <c r="CB6" s="22">
        <f t="shared" si="10"/>
        <v>26.472262947697264</v>
      </c>
      <c r="CC6" s="62">
        <f t="shared" si="11"/>
        <v>286.8055962810306</v>
      </c>
      <c r="CD6" s="62">
        <f ca="1">AVERAGE(OFFSET($CC$3,0,0,'Données projet'!$E$12+1,1))-AVERAGE(OFFSET($H$3,0,0,'Données projet'!$E$12+1,1))</f>
        <v>618.83149423524605</v>
      </c>
      <c r="CE6" s="62">
        <f t="shared" si="40"/>
        <v>285.33582535802435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5.8668181818181813</v>
      </c>
      <c r="CT6" s="13">
        <f>IF('Données projet'!$A$140&gt;35,CT5+CS6-DB5,IF(A6&lt;'Données projet'!$A$140,$CQ$205^A6,IF(A6='Données projet'!$A$140,'Données projet'!$B$140,CT5+CS6-DB5)))</f>
        <v>1.9401701340742707</v>
      </c>
      <c r="CU6" s="18">
        <f>CT6*VLOOKUP('Données projet'!$B$13,Paramètres!$A$1:$I$89,3,0)*VLOOKUP('Données projet'!$B$13,Paramètres!$A$1:$I$89,5,0)</f>
        <v>1.1602217401764139</v>
      </c>
      <c r="CV6" s="14">
        <f t="shared" si="41"/>
        <v>0.52550940332379237</v>
      </c>
      <c r="CW6" s="22">
        <f t="shared" si="13"/>
        <v>2.9359817415961924</v>
      </c>
      <c r="CX6" s="62">
        <f t="shared" si="14"/>
        <v>263.26931507492952</v>
      </c>
      <c r="CY6" s="62">
        <f ca="1">AVERAGE(OFFSET($CX$3,0,0,'Données projet'!$E$13+1,1))-AVERAGE(OFFSET($H$3,0,0,'Données projet'!$E$13+1,1))</f>
        <v>349.5718186624772</v>
      </c>
      <c r="CZ6" s="62">
        <f t="shared" si="42"/>
        <v>258.14152930815959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1.8</v>
      </c>
      <c r="DO6" s="13">
        <f>IF('Données projet'!$A$166&gt;35,DO5+DN6-DW5,IF(A6&lt;'Données projet'!$A$166,$DL$205^A6,IF(A6='Données projet'!$A$166,'Données projet'!$B$166,DO5+DN6-DW5)))</f>
        <v>2.3800262745964411</v>
      </c>
      <c r="DP6" s="18">
        <f>DO6*VLOOKUP('Données projet'!$B$14,Paramètres!$A$1:$I$89,3,0)*VLOOKUP('Données projet'!$B$14,Paramètres!$A$1:$I$89,5,0)</f>
        <v>2.0791909534874513</v>
      </c>
      <c r="DQ6" s="14">
        <f t="shared" si="43"/>
        <v>0.87992070356451979</v>
      </c>
      <c r="DR6" s="22">
        <f t="shared" si="16"/>
        <v>5.1537861360321822</v>
      </c>
      <c r="DS6" s="62">
        <f t="shared" si="17"/>
        <v>265.4871194693655</v>
      </c>
      <c r="DT6" s="62">
        <f ca="1">AVERAGE(OFFSET($DS$3,0,0,'Données projet'!$E$14+1,1))-AVERAGE(OFFSET($H$3,0,0,'Données projet'!$E$14+1,1))</f>
        <v>300.63505444445104</v>
      </c>
      <c r="DU6" s="62">
        <f t="shared" si="44"/>
        <v>266.32508105927997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1.1000000000000001</v>
      </c>
      <c r="EJ6" s="13">
        <f>IF('Données projet'!$A$192&gt;35,EJ5+EI6-ER5,IF(A6&lt;'Données projet'!$A$192,$EG$205^A6,IF(A6='Données projet'!$A$192,'Données projet'!$B$192,EJ5+EI6-ER5)))</f>
        <v>2.0531364136588448</v>
      </c>
      <c r="EK6" s="18">
        <f>EJ6*VLOOKUP('Données projet'!$B$15,Paramètres!$A$1:$I$89,3,0)*VLOOKUP('Données projet'!$B$15,Paramètres!$A$1:$I$89,5,0)</f>
        <v>1.6334753307069771</v>
      </c>
      <c r="EL6" s="14">
        <f t="shared" si="45"/>
        <v>0.71098156578295024</v>
      </c>
      <c r="EM6" s="22">
        <f t="shared" si="19"/>
        <v>4.0832624280532892</v>
      </c>
      <c r="EN6" s="62">
        <f t="shared" si="20"/>
        <v>264.41659576138659</v>
      </c>
      <c r="EO6" s="62">
        <f ca="1">AVERAGE(OFFSET($EN$3,0,0,'Données projet'!$E$15+1,1))-AVERAGE(OFFSET($H$3,0,0,'Données projet'!$E$15+1,1))</f>
        <v>353.37024194969638</v>
      </c>
      <c r="EP6" s="62">
        <f t="shared" si="46"/>
        <v>345.4750813433123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1.1000000000000001</v>
      </c>
      <c r="FE6" s="13">
        <f>IF('Données projet'!$A$218&gt;35,FE5+FD6-FM5,IF(A6&lt;'Données projet'!$A$218,$FB$205^A6,IF(A6='Données projet'!$A$218,'Données projet'!$B$218,FE5+FD6-FM5)))</f>
        <v>2.0531364136588448</v>
      </c>
      <c r="FF6" s="18">
        <f>FE6*VLOOKUP('Données projet'!$B$16,Paramètres!$A$1:$I$89,3,0)*VLOOKUP('Données projet'!$B$16,Paramètres!$A$1:$I$89,5,0)</f>
        <v>1.3452149782292753</v>
      </c>
      <c r="FG6" s="14">
        <f t="shared" si="47"/>
        <v>0.59889737003693966</v>
      </c>
      <c r="FH6" s="22">
        <f t="shared" si="22"/>
        <v>3.3859956732303242</v>
      </c>
      <c r="FI6" s="62">
        <f t="shared" si="23"/>
        <v>263.71932900656361</v>
      </c>
      <c r="FJ6" s="62">
        <f ca="1">AVERAGE(OFFSET($FI$3,0,0,'Données projet'!$E$16+1,1))-AVERAGE(OFFSET($H$3,0,0,'Données projet'!$E$16+1,1))</f>
        <v>263.30962868541337</v>
      </c>
      <c r="FK6" s="62">
        <f t="shared" si="48"/>
        <v>269.61868559913404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4.5262222222222226</v>
      </c>
      <c r="N7" s="14">
        <f>IF('Données projet'!$A$36&gt;35,N6+M7-V6,IF(A7&lt;'Données projet'!$A$36,$K$205^A7,IF(A7='Données projet'!$A$36,'Données projet'!$B$36,N6+M7-V6)))</f>
        <v>18.10488888888889</v>
      </c>
      <c r="O7" s="14">
        <f>N7*VLOOKUP('Données projet'!$B$9,Paramètres!$A$1:$I$89,3,0)*VLOOKUP('Données projet'!$B$9,Paramètres!$A$1:$I$89,5,0)</f>
        <v>10.826723555555557</v>
      </c>
      <c r="P7" s="14">
        <f t="shared" si="33"/>
        <v>3.7812348883664604</v>
      </c>
      <c r="Q7" s="22">
        <f t="shared" si="2"/>
        <v>25.442194289830848</v>
      </c>
      <c r="R7" s="62">
        <f t="shared" si="0"/>
        <v>286.99774984538641</v>
      </c>
      <c r="S7" s="62">
        <f ca="1">AVERAGE(OFFSET($R$3,0,0,'Données projet'!$E$9+1,1))-AVERAGE(OFFSET($H$3,0,0,'Données projet'!$E$9+1,1))</f>
        <v>262.06511368698341</v>
      </c>
      <c r="T7" s="62">
        <f t="shared" si="34"/>
        <v>217.15709240080542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6.3325490196078427</v>
      </c>
      <c r="AI7" s="14">
        <f>IF('Données projet'!$A$62&gt;35,AI6+AH7-AQ6,IF(A7&lt;'Données projet'!$A$62,$AF$205^A7,IF(A7='Données projet'!$A$62,'Données projet'!$B$62,AI6+AH7-AQ6)))</f>
        <v>25.330196078431371</v>
      </c>
      <c r="AJ7" s="14">
        <f>AI7*VLOOKUP('Données projet'!$B$10,Paramètres!$A$1:$I$89,3,0)*VLOOKUP('Données projet'!$B$10,Paramètres!$A$1:$I$89,5,0)</f>
        <v>11.854531764705881</v>
      </c>
      <c r="AK7" s="14">
        <f t="shared" si="35"/>
        <v>4.0967204035676144</v>
      </c>
      <c r="AL7" s="22">
        <f t="shared" si="4"/>
        <v>27.781764193076338</v>
      </c>
      <c r="AM7" s="62">
        <f t="shared" si="5"/>
        <v>289.3373197486319</v>
      </c>
      <c r="AN7" s="62">
        <f ca="1">AVERAGE(OFFSET($AM$3,0,0,'Données projet'!$E$10+1,1))-AVERAGE(OFFSET($H$3,0,0,'Données projet'!$E$10+1,1))</f>
        <v>287.83167869616227</v>
      </c>
      <c r="AO7" s="62">
        <f t="shared" si="36"/>
        <v>233.84231920589906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6.583333333333333</v>
      </c>
      <c r="BD7" s="13">
        <f>IF('Données projet'!$A$88&gt;35,BD6+BC7-BL6,IF(A7&lt;'Données projet'!$A$88,$BA$205^A7,IF(A7='Données projet'!$A$88,'Données projet'!$B$88,BD6+BC7-BL6)))</f>
        <v>4.2908404270262066</v>
      </c>
      <c r="BE7" s="14">
        <f>BD7*VLOOKUP('Données projet'!$B$11,Paramètres!$A$1:$I$89,3,0)*VLOOKUP('Données projet'!$B$11,Paramètres!$A$1:$I$89,5,0)</f>
        <v>2.6774844264643529</v>
      </c>
      <c r="BF7" s="14">
        <f t="shared" si="37"/>
        <v>1.1002505667244338</v>
      </c>
      <c r="BG7" s="22">
        <f t="shared" si="7"/>
        <v>6.579555113137137</v>
      </c>
      <c r="BH7" s="62">
        <f t="shared" si="8"/>
        <v>268.13511066869268</v>
      </c>
      <c r="BI7" s="62">
        <f ca="1">AVERAGE(OFFSET($BH$3,0,0,'Données projet'!$E$11+1,1))-AVERAGE(OFFSET($H$3,0,0,'Données projet'!$E$11+1,1))</f>
        <v>262.36903350767881</v>
      </c>
      <c r="BJ7" s="62">
        <f t="shared" si="38"/>
        <v>331.21009482262417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3.887142857142857</v>
      </c>
      <c r="BY7" s="13">
        <f>IF('Données projet'!$A$114&gt;35,BY6+BX7-CG6,IF(A7&lt;'Données projet'!$A$114,$BV$205^A7,IF(A7='Données projet'!$A$114,'Données projet'!$B$114,BY6+BX7-CG6)))</f>
        <v>15.548571428571428</v>
      </c>
      <c r="BZ7" s="14">
        <f>BY7*VLOOKUP('Données projet'!$B$12,Paramètres!$A$1:$I$89,3,0)*VLOOKUP('Données projet'!$B$12,Paramètres!$A$1:$I$89,5,0)</f>
        <v>15.038578285714285</v>
      </c>
      <c r="CA7" s="14">
        <f t="shared" si="39"/>
        <v>5.0551259019589807</v>
      </c>
      <c r="CB7" s="22">
        <f t="shared" si="10"/>
        <v>34.996534793530941</v>
      </c>
      <c r="CC7" s="62">
        <f t="shared" si="11"/>
        <v>296.55209034908648</v>
      </c>
      <c r="CD7" s="62">
        <f ca="1">AVERAGE(OFFSET($CC$3,0,0,'Données projet'!$E$12+1,1))-AVERAGE(OFFSET($H$3,0,0,'Données projet'!$E$12+1,1))</f>
        <v>618.83149423524605</v>
      </c>
      <c r="CE7" s="62">
        <f t="shared" si="40"/>
        <v>285.33582535802435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5.8668181818181813</v>
      </c>
      <c r="CT7" s="13">
        <f>IF('Données projet'!$A$140&gt;35,CT6+CS7-DB6,IF(A7&lt;'Données projet'!$A$140,$CQ$205^A7,IF(A7='Données projet'!$A$140,'Données projet'!$B$140,CT6+CS7-DB6)))</f>
        <v>2.419838711019783</v>
      </c>
      <c r="CU7" s="18">
        <f>CT7*VLOOKUP('Données projet'!$B$13,Paramètres!$A$1:$I$89,3,0)*VLOOKUP('Données projet'!$B$13,Paramètres!$A$1:$I$89,5,0)</f>
        <v>1.4470635491898303</v>
      </c>
      <c r="CV7" s="14">
        <f t="shared" si="41"/>
        <v>0.63879118103182142</v>
      </c>
      <c r="CW7" s="22">
        <f t="shared" si="13"/>
        <v>3.6328636551360431</v>
      </c>
      <c r="CX7" s="62">
        <f t="shared" si="14"/>
        <v>265.18841921069156</v>
      </c>
      <c r="CY7" s="62">
        <f ca="1">AVERAGE(OFFSET($CX$3,0,0,'Données projet'!$E$13+1,1))-AVERAGE(OFFSET($H$3,0,0,'Données projet'!$E$13+1,1))</f>
        <v>349.5718186624772</v>
      </c>
      <c r="CZ7" s="62">
        <f t="shared" si="42"/>
        <v>258.14152930815959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1.8</v>
      </c>
      <c r="DO7" s="13">
        <f>IF('Données projet'!$A$166&gt;35,DO6+DN7-DW6,IF(A7&lt;'Données projet'!$A$166,$DL$205^A7,IF(A7='Données projet'!$A$166,'Données projet'!$B$166,DO6+DN7-DW6)))</f>
        <v>3.1776715231464374</v>
      </c>
      <c r="DP7" s="18">
        <f>DO7*VLOOKUP('Données projet'!$B$14,Paramètres!$A$1:$I$89,3,0)*VLOOKUP('Données projet'!$B$14,Paramètres!$A$1:$I$89,5,0)</f>
        <v>2.7760138426207281</v>
      </c>
      <c r="DQ7" s="14">
        <f t="shared" si="43"/>
        <v>1.135950520408497</v>
      </c>
      <c r="DR7" s="22">
        <f t="shared" si="16"/>
        <v>6.8133379322758998</v>
      </c>
      <c r="DS7" s="62">
        <f t="shared" si="17"/>
        <v>268.36889348783143</v>
      </c>
      <c r="DT7" s="62">
        <f ca="1">AVERAGE(OFFSET($DS$3,0,0,'Données projet'!$E$14+1,1))-AVERAGE(OFFSET($H$3,0,0,'Données projet'!$E$14+1,1))</f>
        <v>300.63505444445104</v>
      </c>
      <c r="DU7" s="62">
        <f t="shared" si="44"/>
        <v>266.32508105927997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1.1000000000000001</v>
      </c>
      <c r="EJ7" s="13">
        <f>IF('Données projet'!$A$192&gt;35,EJ6+EI7-ER6,IF(A7&lt;'Données projet'!$A$192,$EG$205^A7,IF(A7='Données projet'!$A$192,'Données projet'!$B$192,EJ6+EI7-ER6)))</f>
        <v>2.6094986352788743</v>
      </c>
      <c r="EK7" s="18">
        <f>EJ7*VLOOKUP('Données projet'!$B$15,Paramètres!$A$1:$I$89,3,0)*VLOOKUP('Données projet'!$B$15,Paramètres!$A$1:$I$89,5,0)</f>
        <v>2.0761171142278725</v>
      </c>
      <c r="EL7" s="14">
        <f t="shared" si="45"/>
        <v>0.87877116536856548</v>
      </c>
      <c r="EM7" s="22">
        <f t="shared" si="19"/>
        <v>5.14643042029713</v>
      </c>
      <c r="EN7" s="62">
        <f t="shared" si="20"/>
        <v>266.70198597585266</v>
      </c>
      <c r="EO7" s="62">
        <f ca="1">AVERAGE(OFFSET($EN$3,0,0,'Données projet'!$E$15+1,1))-AVERAGE(OFFSET($H$3,0,0,'Données projet'!$E$15+1,1))</f>
        <v>353.37024194969638</v>
      </c>
      <c r="EP7" s="62">
        <f t="shared" si="46"/>
        <v>345.4750813433123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1.1000000000000001</v>
      </c>
      <c r="FE7" s="13">
        <f>IF('Données projet'!$A$218&gt;35,FE6+FD7-FM6,IF(A7&lt;'Données projet'!$A$218,$FB$205^A7,IF(A7='Données projet'!$A$218,'Données projet'!$B$218,FE6+FD7-FM6)))</f>
        <v>2.6094986352788743</v>
      </c>
      <c r="FF7" s="18">
        <f>FE7*VLOOKUP('Données projet'!$B$16,Paramètres!$A$1:$I$89,3,0)*VLOOKUP('Données projet'!$B$16,Paramètres!$A$1:$I$89,5,0)</f>
        <v>1.7097435058347183</v>
      </c>
      <c r="FG7" s="14">
        <f t="shared" si="47"/>
        <v>0.74023542259349984</v>
      </c>
      <c r="FH7" s="22">
        <f t="shared" si="22"/>
        <v>4.2670466336791462</v>
      </c>
      <c r="FI7" s="62">
        <f t="shared" si="23"/>
        <v>265.82260218923471</v>
      </c>
      <c r="FJ7" s="62">
        <f ca="1">AVERAGE(OFFSET($FI$3,0,0,'Données projet'!$E$16+1,1))-AVERAGE(OFFSET($H$3,0,0,'Données projet'!$E$16+1,1))</f>
        <v>263.30962868541337</v>
      </c>
      <c r="FK7" s="62">
        <f t="shared" si="48"/>
        <v>269.61868559913404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4.5262222222222226</v>
      </c>
      <c r="N8" s="14">
        <f>IF('Données projet'!$A$36&gt;35,N7+M8-V7,IF(A8&lt;'Données projet'!$A$36,$K$205^A8,IF(A8='Données projet'!$A$36,'Données projet'!$B$36,N7+M8-V7)))</f>
        <v>22.631111111111114</v>
      </c>
      <c r="O8" s="14">
        <f>N8*VLOOKUP('Données projet'!$B$9,Paramètres!$A$1:$I$89,3,0)*VLOOKUP('Données projet'!$B$9,Paramètres!$A$1:$I$89,5,0)</f>
        <v>13.533404444444448</v>
      </c>
      <c r="P8" s="14">
        <f t="shared" si="33"/>
        <v>4.605357447331345</v>
      </c>
      <c r="Q8" s="22">
        <f t="shared" si="2"/>
        <v>31.591676961509503</v>
      </c>
      <c r="R8" s="62">
        <f t="shared" si="0"/>
        <v>294.36945473928728</v>
      </c>
      <c r="S8" s="62">
        <f ca="1">AVERAGE(OFFSET($R$3,0,0,'Données projet'!$E$9+1,1))-AVERAGE(OFFSET($H$3,0,0,'Données projet'!$E$9+1,1))</f>
        <v>262.06511368698341</v>
      </c>
      <c r="T8" s="62">
        <f t="shared" si="34"/>
        <v>217.15709240080542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6.3325490196078427</v>
      </c>
      <c r="AI8" s="14">
        <f>IF('Données projet'!$A$62&gt;35,AI7+AH8-AQ7,IF(A8&lt;'Données projet'!$A$62,$AF$205^A8,IF(A8='Données projet'!$A$62,'Données projet'!$B$62,AI7+AH8-AQ7)))</f>
        <v>31.662745098039213</v>
      </c>
      <c r="AJ8" s="14">
        <f>AI8*VLOOKUP('Données projet'!$B$10,Paramètres!$A$1:$I$89,3,0)*VLOOKUP('Données projet'!$B$10,Paramètres!$A$1:$I$89,5,0)</f>
        <v>14.818164705882353</v>
      </c>
      <c r="AK8" s="14">
        <f t="shared" si="35"/>
        <v>4.9896032320687418</v>
      </c>
      <c r="AL8" s="22">
        <f t="shared" si="4"/>
        <v>34.49852915859816</v>
      </c>
      <c r="AM8" s="62">
        <f t="shared" si="5"/>
        <v>297.27630693637593</v>
      </c>
      <c r="AN8" s="62">
        <f ca="1">AVERAGE(OFFSET($AM$3,0,0,'Données projet'!$E$10+1,1))-AVERAGE(OFFSET($H$3,0,0,'Données projet'!$E$10+1,1))</f>
        <v>287.83167869616227</v>
      </c>
      <c r="AO8" s="62">
        <f t="shared" si="36"/>
        <v>233.84231920589906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6.583333333333333</v>
      </c>
      <c r="BD8" s="13">
        <f>IF('Données projet'!$A$88&gt;35,BD7+BC8-BL7,IF(A8&lt;'Données projet'!$A$88,$BA$205^A8,IF(A8='Données projet'!$A$88,'Données projet'!$B$88,BD7+BC8-BL7)))</f>
        <v>6.1755828817275509</v>
      </c>
      <c r="BE8" s="14">
        <f>BD8*VLOOKUP('Données projet'!$B$11,Paramètres!$A$1:$I$89,3,0)*VLOOKUP('Données projet'!$B$11,Paramètres!$A$1:$I$89,5,0)</f>
        <v>3.853563718197992</v>
      </c>
      <c r="BF8" s="14">
        <f t="shared" si="37"/>
        <v>1.5178197831516467</v>
      </c>
      <c r="BG8" s="22">
        <f t="shared" si="7"/>
        <v>9.3551595981839544</v>
      </c>
      <c r="BH8" s="62">
        <f t="shared" si="8"/>
        <v>272.13293737596172</v>
      </c>
      <c r="BI8" s="62">
        <f ca="1">AVERAGE(OFFSET($BH$3,0,0,'Données projet'!$E$11+1,1))-AVERAGE(OFFSET($H$3,0,0,'Données projet'!$E$11+1,1))</f>
        <v>262.36903350767881</v>
      </c>
      <c r="BJ8" s="62">
        <f t="shared" si="38"/>
        <v>331.21009482262417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3.887142857142857</v>
      </c>
      <c r="BY8" s="13">
        <f>IF('Données projet'!$A$114&gt;35,BY7+BX8-CG7,IF(A8&lt;'Données projet'!$A$114,$BV$205^A8,IF(A8='Données projet'!$A$114,'Données projet'!$B$114,BY7+BX8-CG7)))</f>
        <v>19.435714285714283</v>
      </c>
      <c r="BZ8" s="14">
        <f>BY8*VLOOKUP('Données projet'!$B$12,Paramètres!$A$1:$I$89,3,0)*VLOOKUP('Données projet'!$B$12,Paramètres!$A$1:$I$89,5,0)</f>
        <v>18.798222857142854</v>
      </c>
      <c r="CA8" s="14">
        <f t="shared" si="39"/>
        <v>6.1568938209606667</v>
      </c>
      <c r="CB8" s="22">
        <f t="shared" si="10"/>
        <v>43.4634948810303</v>
      </c>
      <c r="CC8" s="62">
        <f t="shared" si="11"/>
        <v>306.24127265880804</v>
      </c>
      <c r="CD8" s="62">
        <f ca="1">AVERAGE(OFFSET($CC$3,0,0,'Données projet'!$E$12+1,1))-AVERAGE(OFFSET($H$3,0,0,'Données projet'!$E$12+1,1))</f>
        <v>618.83149423524605</v>
      </c>
      <c r="CE8" s="62">
        <f t="shared" si="40"/>
        <v>285.33582535802435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5.8668181818181813</v>
      </c>
      <c r="CT8" s="13">
        <f>IF('Données projet'!$A$140&gt;35,CT7+CS8-DB7,IF(A8&lt;'Données projet'!$A$140,$CQ$205^A8,IF(A8='Données projet'!$A$140,'Données projet'!$B$140,CT7+CS8-DB7)))</f>
        <v>3.0180958280464529</v>
      </c>
      <c r="CU8" s="18">
        <f>CT8*VLOOKUP('Données projet'!$B$13,Paramètres!$A$1:$I$89,3,0)*VLOOKUP('Données projet'!$B$13,Paramètres!$A$1:$I$89,5,0)</f>
        <v>1.804821305171779</v>
      </c>
      <c r="CV8" s="14">
        <f t="shared" si="41"/>
        <v>0.77649261912941803</v>
      </c>
      <c r="CW8" s="22">
        <f t="shared" si="13"/>
        <v>4.4957884181579182</v>
      </c>
      <c r="CX8" s="62">
        <f t="shared" si="14"/>
        <v>267.2735661959357</v>
      </c>
      <c r="CY8" s="62">
        <f ca="1">AVERAGE(OFFSET($CX$3,0,0,'Données projet'!$E$13+1,1))-AVERAGE(OFFSET($H$3,0,0,'Données projet'!$E$13+1,1))</f>
        <v>349.5718186624772</v>
      </c>
      <c r="CZ8" s="62">
        <f t="shared" si="42"/>
        <v>258.14152930815959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1.8</v>
      </c>
      <c r="DO8" s="13">
        <f>IF('Données projet'!$A$166&gt;35,DO7+DN8-DW7,IF(A8&lt;'Données projet'!$A$166,$DL$205^A8,IF(A8='Données projet'!$A$166,'Données projet'!$B$166,DO7+DN8-DW7)))</f>
        <v>4.2426406871192865</v>
      </c>
      <c r="DP8" s="18">
        <f>DO8*VLOOKUP('Données projet'!$B$14,Paramètres!$A$1:$I$89,3,0)*VLOOKUP('Données projet'!$B$14,Paramètres!$A$1:$I$89,5,0)</f>
        <v>3.7063709042674091</v>
      </c>
      <c r="DQ8" s="14">
        <f t="shared" si="43"/>
        <v>1.4664771263922398</v>
      </c>
      <c r="DR8" s="22">
        <f t="shared" si="16"/>
        <v>9.0093769867322209</v>
      </c>
      <c r="DS8" s="62">
        <f t="shared" si="17"/>
        <v>271.78715476450998</v>
      </c>
      <c r="DT8" s="62">
        <f ca="1">AVERAGE(OFFSET($DS$3,0,0,'Données projet'!$E$14+1,1))-AVERAGE(OFFSET($H$3,0,0,'Données projet'!$E$14+1,1))</f>
        <v>300.63505444445104</v>
      </c>
      <c r="DU8" s="62">
        <f t="shared" si="44"/>
        <v>266.32508105927997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1.1000000000000001</v>
      </c>
      <c r="EJ8" s="13">
        <f>IF('Données projet'!$A$192&gt;35,EJ7+EI8-ER7,IF(A8&lt;'Données projet'!$A$192,$EG$205^A8,IF(A8='Données projet'!$A$192,'Données projet'!$B$192,EJ7+EI8-ER7)))</f>
        <v>3.3166247903554016</v>
      </c>
      <c r="EK8" s="18">
        <f>EJ8*VLOOKUP('Données projet'!$B$15,Paramètres!$A$1:$I$89,3,0)*VLOOKUP('Données projet'!$B$15,Paramètres!$A$1:$I$89,5,0)</f>
        <v>2.6387066832067574</v>
      </c>
      <c r="EL8" s="14">
        <f t="shared" si="45"/>
        <v>1.0861586266766543</v>
      </c>
      <c r="EM8" s="22">
        <f t="shared" si="19"/>
        <v>6.4874737480469413</v>
      </c>
      <c r="EN8" s="62">
        <f t="shared" si="20"/>
        <v>269.26525152582474</v>
      </c>
      <c r="EO8" s="62">
        <f ca="1">AVERAGE(OFFSET($EN$3,0,0,'Données projet'!$E$15+1,1))-AVERAGE(OFFSET($H$3,0,0,'Données projet'!$E$15+1,1))</f>
        <v>353.37024194969638</v>
      </c>
      <c r="EP8" s="62">
        <f t="shared" si="46"/>
        <v>345.4750813433123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1.1000000000000001</v>
      </c>
      <c r="FE8" s="13">
        <f>IF('Données projet'!$A$218&gt;35,FE7+FD8-FM7,IF(A8&lt;'Données projet'!$A$218,$FB$205^A8,IF(A8='Données projet'!$A$218,'Données projet'!$B$218,FE7+FD8-FM7)))</f>
        <v>3.3166247903554016</v>
      </c>
      <c r="FF8" s="18">
        <f>FE8*VLOOKUP('Données projet'!$B$16,Paramètres!$A$1:$I$89,3,0)*VLOOKUP('Données projet'!$B$16,Paramètres!$A$1:$I$89,5,0)</f>
        <v>2.173052562640859</v>
      </c>
      <c r="FG8" s="14">
        <f t="shared" si="47"/>
        <v>0.91492884804015795</v>
      </c>
      <c r="FH8" s="22">
        <f t="shared" si="22"/>
        <v>5.3782342902694369</v>
      </c>
      <c r="FI8" s="62">
        <f t="shared" si="23"/>
        <v>268.15601206804723</v>
      </c>
      <c r="FJ8" s="62">
        <f ca="1">AVERAGE(OFFSET($FI$3,0,0,'Données projet'!$E$16+1,1))-AVERAGE(OFFSET($H$3,0,0,'Données projet'!$E$16+1,1))</f>
        <v>263.30962868541337</v>
      </c>
      <c r="FK8" s="62">
        <f t="shared" si="48"/>
        <v>269.61868559913404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4.5262222222222226</v>
      </c>
      <c r="N9" s="14">
        <f>IF('Données projet'!$A$36&gt;35,N8+M9-V8,IF(A9&lt;'Données projet'!$A$36,$K$205^A9,IF(A9='Données projet'!$A$36,'Données projet'!$B$36,N8+M9-V8)))</f>
        <v>27.157333333333337</v>
      </c>
      <c r="O9" s="14">
        <f>N9*VLOOKUP('Données projet'!$B$9,Paramètres!$A$1:$I$89,3,0)*VLOOKUP('Données projet'!$B$9,Paramètres!$A$1:$I$89,5,0)</f>
        <v>16.240085333333337</v>
      </c>
      <c r="P9" s="14">
        <f t="shared" si="33"/>
        <v>5.4103815428292119</v>
      </c>
      <c r="Q9" s="22">
        <f t="shared" si="2"/>
        <v>37.707896475983098</v>
      </c>
      <c r="R9" s="62">
        <f t="shared" si="0"/>
        <v>301.70789647598309</v>
      </c>
      <c r="S9" s="62">
        <f ca="1">AVERAGE(OFFSET($R$3,0,0,'Données projet'!$E$9+1,1))-AVERAGE(OFFSET($H$3,0,0,'Données projet'!$E$9+1,1))</f>
        <v>262.06511368698341</v>
      </c>
      <c r="T9" s="62">
        <f t="shared" si="34"/>
        <v>217.15709240080542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6.3325490196078427</v>
      </c>
      <c r="AI9" s="14">
        <f>IF('Données projet'!$A$62&gt;35,AI8+AH9-AQ8,IF(A9&lt;'Données projet'!$A$62,$AF$205^A9,IF(A9='Données projet'!$A$62,'Données projet'!$B$62,AI8+AH9-AQ8)))</f>
        <v>37.995294117647056</v>
      </c>
      <c r="AJ9" s="14">
        <f>AI9*VLOOKUP('Données projet'!$B$10,Paramètres!$A$1:$I$89,3,0)*VLOOKUP('Données projet'!$B$10,Paramètres!$A$1:$I$89,5,0)</f>
        <v>17.78179764705882</v>
      </c>
      <c r="AK9" s="14">
        <f t="shared" si="35"/>
        <v>5.8617941259844679</v>
      </c>
      <c r="AL9" s="22">
        <f t="shared" si="4"/>
        <v>41.179255671383721</v>
      </c>
      <c r="AM9" s="62">
        <f t="shared" si="5"/>
        <v>305.17925567138371</v>
      </c>
      <c r="AN9" s="62">
        <f ca="1">AVERAGE(OFFSET($AM$3,0,0,'Données projet'!$E$10+1,1))-AVERAGE(OFFSET($H$3,0,0,'Données projet'!$E$10+1,1))</f>
        <v>287.83167869616227</v>
      </c>
      <c r="AO9" s="62">
        <f t="shared" si="36"/>
        <v>233.84231920589906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6.583333333333333</v>
      </c>
      <c r="BD9" s="13">
        <f>IF('Données projet'!$A$88&gt;35,BD8+BC9-BL8,IF(A9&lt;'Données projet'!$A$88,$BA$205^A9,IF(A9='Données projet'!$A$88,'Données projet'!$B$88,BD8+BC9-BL8)))</f>
        <v>8.8881944173155869</v>
      </c>
      <c r="BE9" s="14">
        <f>BD9*VLOOKUP('Données projet'!$B$11,Paramètres!$A$1:$I$89,3,0)*VLOOKUP('Données projet'!$B$11,Paramètres!$A$1:$I$89,5,0)</f>
        <v>5.5462333164049262</v>
      </c>
      <c r="BF9" s="14">
        <f t="shared" si="37"/>
        <v>2.093865673693863</v>
      </c>
      <c r="BG9" s="22">
        <f t="shared" si="7"/>
        <v>13.306505741088722</v>
      </c>
      <c r="BH9" s="62">
        <f t="shared" si="8"/>
        <v>277.3065057410887</v>
      </c>
      <c r="BI9" s="62">
        <f ca="1">AVERAGE(OFFSET($BH$3,0,0,'Données projet'!$E$11+1,1))-AVERAGE(OFFSET($H$3,0,0,'Données projet'!$E$11+1,1))</f>
        <v>262.36903350767881</v>
      </c>
      <c r="BJ9" s="62">
        <f t="shared" si="38"/>
        <v>331.21009482262417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3.887142857142857</v>
      </c>
      <c r="BY9" s="13">
        <f>IF('Données projet'!$A$114&gt;35,BY8+BX9-CG8,IF(A9&lt;'Données projet'!$A$114,$BV$205^A9,IF(A9='Données projet'!$A$114,'Données projet'!$B$114,BY8+BX9-CG8)))</f>
        <v>23.322857142857139</v>
      </c>
      <c r="BZ9" s="14">
        <f>BY9*VLOOKUP('Données projet'!$B$12,Paramètres!$A$1:$I$89,3,0)*VLOOKUP('Données projet'!$B$12,Paramètres!$A$1:$I$89,5,0)</f>
        <v>22.557867428571427</v>
      </c>
      <c r="CA9" s="14">
        <f t="shared" si="39"/>
        <v>7.2331290396118018</v>
      </c>
      <c r="CB9" s="22">
        <f t="shared" si="10"/>
        <v>51.885985515419122</v>
      </c>
      <c r="CC9" s="62">
        <f t="shared" si="11"/>
        <v>315.88598551541912</v>
      </c>
      <c r="CD9" s="62">
        <f ca="1">AVERAGE(OFFSET($CC$3,0,0,'Données projet'!$E$12+1,1))-AVERAGE(OFFSET($H$3,0,0,'Données projet'!$E$12+1,1))</f>
        <v>618.83149423524605</v>
      </c>
      <c r="CE9" s="62">
        <f t="shared" si="40"/>
        <v>285.33582535802435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5.8668181818181813</v>
      </c>
      <c r="CT9" s="13">
        <f>IF('Données projet'!$A$140&gt;35,CT8+CS9-DB8,IF(A9&lt;'Données projet'!$A$140,$CQ$205^A9,IF(A9='Données projet'!$A$140,'Données projet'!$B$140,CT8+CS9-DB8)))</f>
        <v>3.7642601491537744</v>
      </c>
      <c r="CU9" s="18">
        <f>CT9*VLOOKUP('Données projet'!$B$13,Paramètres!$A$1:$I$89,3,0)*VLOOKUP('Données projet'!$B$13,Paramètres!$A$1:$I$89,5,0)</f>
        <v>2.251027569193957</v>
      </c>
      <c r="CV9" s="14">
        <f t="shared" si="41"/>
        <v>0.94387775765556148</v>
      </c>
      <c r="CW9" s="22">
        <f t="shared" si="13"/>
        <v>5.5644601109295779</v>
      </c>
      <c r="CX9" s="62">
        <f t="shared" si="14"/>
        <v>269.56446011092959</v>
      </c>
      <c r="CY9" s="62">
        <f ca="1">AVERAGE(OFFSET($CX$3,0,0,'Données projet'!$E$13+1,1))-AVERAGE(OFFSET($H$3,0,0,'Données projet'!$E$13+1,1))</f>
        <v>349.5718186624772</v>
      </c>
      <c r="CZ9" s="62">
        <f t="shared" si="42"/>
        <v>258.14152930815959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1.8</v>
      </c>
      <c r="DO9" s="13">
        <f>IF('Données projet'!$A$166&gt;35,DO8+DN9-DW8,IF(A9&lt;'Données projet'!$A$166,$DL$205^A9,IF(A9='Données projet'!$A$166,'Données projet'!$B$166,DO8+DN9-DW8)))</f>
        <v>5.6645250677694134</v>
      </c>
      <c r="DP9" s="18">
        <f>DO9*VLOOKUP('Données projet'!$B$14,Paramètres!$A$1:$I$89,3,0)*VLOOKUP('Données projet'!$B$14,Paramètres!$A$1:$I$89,5,0)</f>
        <v>4.9485290992033608</v>
      </c>
      <c r="DQ9" s="14">
        <f t="shared" si="43"/>
        <v>1.8931767921179217</v>
      </c>
      <c r="DR9" s="22">
        <f t="shared" si="16"/>
        <v>11.915971094051232</v>
      </c>
      <c r="DS9" s="62">
        <f t="shared" si="17"/>
        <v>275.91597109405126</v>
      </c>
      <c r="DT9" s="62">
        <f ca="1">AVERAGE(OFFSET($DS$3,0,0,'Données projet'!$E$14+1,1))-AVERAGE(OFFSET($H$3,0,0,'Données projet'!$E$14+1,1))</f>
        <v>300.63505444445104</v>
      </c>
      <c r="DU9" s="62">
        <f t="shared" si="44"/>
        <v>266.32508105927997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1.1000000000000001</v>
      </c>
      <c r="EJ9" s="13">
        <f>IF('Données projet'!$A$192&gt;35,EJ8+EI9-ER8,IF(A9&lt;'Données projet'!$A$192,$EG$205^A9,IF(A9='Données projet'!$A$192,'Données projet'!$B$192,EJ8+EI9-ER8)))</f>
        <v>4.2153691330919028</v>
      </c>
      <c r="EK9" s="18">
        <f>EJ9*VLOOKUP('Données projet'!$B$15,Paramètres!$A$1:$I$89,3,0)*VLOOKUP('Données projet'!$B$15,Paramètres!$A$1:$I$89,5,0)</f>
        <v>3.353747682287918</v>
      </c>
      <c r="EL9" s="14">
        <f t="shared" si="45"/>
        <v>1.3424889309030987</v>
      </c>
      <c r="EM9" s="22">
        <f t="shared" si="19"/>
        <v>8.1792787679743544</v>
      </c>
      <c r="EN9" s="62">
        <f t="shared" si="20"/>
        <v>272.17927876797438</v>
      </c>
      <c r="EO9" s="62">
        <f ca="1">AVERAGE(OFFSET($EN$3,0,0,'Données projet'!$E$15+1,1))-AVERAGE(OFFSET($H$3,0,0,'Données projet'!$E$15+1,1))</f>
        <v>353.37024194969638</v>
      </c>
      <c r="EP9" s="62">
        <f t="shared" si="46"/>
        <v>345.4750813433123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1.1000000000000001</v>
      </c>
      <c r="FE9" s="13">
        <f>IF('Données projet'!$A$218&gt;35,FE8+FD9-FM8,IF(A9&lt;'Données projet'!$A$218,$FB$205^A9,IF(A9='Données projet'!$A$218,'Données projet'!$B$218,FE8+FD9-FM8)))</f>
        <v>4.2153691330919028</v>
      </c>
      <c r="FF9" s="18">
        <f>FE9*VLOOKUP('Données projet'!$B$16,Paramètres!$A$1:$I$89,3,0)*VLOOKUP('Données projet'!$B$16,Paramètres!$A$1:$I$89,5,0)</f>
        <v>2.7619098560018145</v>
      </c>
      <c r="FG9" s="14">
        <f t="shared" si="47"/>
        <v>1.1308494182070246</v>
      </c>
      <c r="FH9" s="22">
        <f t="shared" si="22"/>
        <v>6.7798890692470613</v>
      </c>
      <c r="FI9" s="62">
        <f t="shared" si="23"/>
        <v>270.77988906924708</v>
      </c>
      <c r="FJ9" s="62">
        <f ca="1">AVERAGE(OFFSET($FI$3,0,0,'Données projet'!$E$16+1,1))-AVERAGE(OFFSET($H$3,0,0,'Données projet'!$E$16+1,1))</f>
        <v>263.30962868541337</v>
      </c>
      <c r="FK9" s="62">
        <f t="shared" si="48"/>
        <v>269.61868559913404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4.5262222222222226</v>
      </c>
      <c r="N10" s="14">
        <f>IF('Données projet'!$A$36&gt;35,N9+M10-V9,IF(A10&lt;'Données projet'!$A$36,$K$205^A10,IF(A10='Données projet'!$A$36,'Données projet'!$B$36,N9+M10-V9)))</f>
        <v>31.683555555555561</v>
      </c>
      <c r="O10" s="14">
        <f>N10*VLOOKUP('Données projet'!$B$9,Paramètres!$A$1:$I$89,3,0)*VLOOKUP('Données projet'!$B$9,Paramètres!$A$1:$I$89,5,0)</f>
        <v>18.946766222222227</v>
      </c>
      <c r="P10" s="14">
        <f t="shared" si="33"/>
        <v>6.1998627613733861</v>
      </c>
      <c r="Q10" s="22">
        <f t="shared" si="2"/>
        <v>43.797045479762353</v>
      </c>
      <c r="R10" s="62">
        <f t="shared" si="0"/>
        <v>309.01926770198457</v>
      </c>
      <c r="S10" s="62">
        <f ca="1">AVERAGE(OFFSET($R$3,0,0,'Données projet'!$E$9+1,1))-AVERAGE(OFFSET($H$3,0,0,'Données projet'!$E$9+1,1))</f>
        <v>262.06511368698341</v>
      </c>
      <c r="T10" s="62">
        <f t="shared" si="34"/>
        <v>217.15709240080542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6.3325490196078427</v>
      </c>
      <c r="AI10" s="14">
        <f>IF('Données projet'!$A$62&gt;35,AI9+AH10-AQ9,IF(A10&lt;'Données projet'!$A$62,$AF$205^A10,IF(A10='Données projet'!$A$62,'Données projet'!$B$62,AI9+AH10-AQ9)))</f>
        <v>44.327843137254902</v>
      </c>
      <c r="AJ10" s="14">
        <f>AI10*VLOOKUP('Données projet'!$B$10,Paramètres!$A$1:$I$89,3,0)*VLOOKUP('Données projet'!$B$10,Paramètres!$A$1:$I$89,5,0)</f>
        <v>20.745430588235294</v>
      </c>
      <c r="AK10" s="14">
        <f t="shared" si="35"/>
        <v>6.7171453304796191</v>
      </c>
      <c r="AL10" s="22">
        <f t="shared" si="4"/>
        <v>47.830653058428474</v>
      </c>
      <c r="AM10" s="62">
        <f t="shared" si="5"/>
        <v>313.05287528065071</v>
      </c>
      <c r="AN10" s="62">
        <f ca="1">AVERAGE(OFFSET($AM$3,0,0,'Données projet'!$E$10+1,1))-AVERAGE(OFFSET($H$3,0,0,'Données projet'!$E$10+1,1))</f>
        <v>287.83167869616227</v>
      </c>
      <c r="AO10" s="62">
        <f t="shared" si="36"/>
        <v>233.84231920589906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6.583333333333333</v>
      </c>
      <c r="BD10" s="13">
        <f>IF('Données projet'!$A$88&gt;35,BD9+BC10-BL9,IF(A10&lt;'Données projet'!$A$88,$BA$205^A10,IF(A10='Données projet'!$A$88,'Données projet'!$B$88,BD9+BC10-BL9)))</f>
        <v>12.792314751980237</v>
      </c>
      <c r="BE10" s="14">
        <f>BD10*VLOOKUP('Données projet'!$B$11,Paramètres!$A$1:$I$89,3,0)*VLOOKUP('Données projet'!$B$11,Paramètres!$A$1:$I$89,5,0)</f>
        <v>7.982404405235668</v>
      </c>
      <c r="BF10" s="14">
        <f t="shared" si="37"/>
        <v>2.888533611263004</v>
      </c>
      <c r="BG10" s="22">
        <f t="shared" si="7"/>
        <v>18.933550378735188</v>
      </c>
      <c r="BH10" s="62">
        <f t="shared" si="8"/>
        <v>284.15577260095739</v>
      </c>
      <c r="BI10" s="62">
        <f ca="1">AVERAGE(OFFSET($BH$3,0,0,'Données projet'!$E$11+1,1))-AVERAGE(OFFSET($H$3,0,0,'Données projet'!$E$11+1,1))</f>
        <v>262.36903350767881</v>
      </c>
      <c r="BJ10" s="62">
        <f t="shared" si="38"/>
        <v>331.21009482262417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3.887142857142857</v>
      </c>
      <c r="BY10" s="13">
        <f>IF('Données projet'!$A$114&gt;35,BY9+BX10-CG9,IF(A10&lt;'Données projet'!$A$114,$BV$205^A10,IF(A10='Données projet'!$A$114,'Données projet'!$B$114,BY9+BX10-CG9)))</f>
        <v>27.209999999999994</v>
      </c>
      <c r="BZ10" s="14">
        <f>BY10*VLOOKUP('Données projet'!$B$12,Paramètres!$A$1:$I$89,3,0)*VLOOKUP('Données projet'!$B$12,Paramètres!$A$1:$I$89,5,0)</f>
        <v>26.317511999999997</v>
      </c>
      <c r="CA10" s="14">
        <f t="shared" si="39"/>
        <v>8.288585014920681</v>
      </c>
      <c r="CB10" s="22">
        <f t="shared" si="10"/>
        <v>60.272285634320177</v>
      </c>
      <c r="CC10" s="62">
        <f t="shared" si="11"/>
        <v>325.49450785654238</v>
      </c>
      <c r="CD10" s="62">
        <f ca="1">AVERAGE(OFFSET($CC$3,0,0,'Données projet'!$E$12+1,1))-AVERAGE(OFFSET($H$3,0,0,'Données projet'!$E$12+1,1))</f>
        <v>618.83149423524605</v>
      </c>
      <c r="CE10" s="62">
        <f t="shared" si="40"/>
        <v>285.33582535802435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5.8668181818181813</v>
      </c>
      <c r="CT10" s="13">
        <f>IF('Données projet'!$A$140&gt;35,CT9+CS10-DB9,IF(A10&lt;'Données projet'!$A$140,$CQ$205^A10,IF(A10='Données projet'!$A$140,'Données projet'!$B$140,CT9+CS10-DB9)))</f>
        <v>4.6948987963973625</v>
      </c>
      <c r="CU10" s="18">
        <f>CT10*VLOOKUP('Données projet'!$B$13,Paramètres!$A$1:$I$89,3,0)*VLOOKUP('Données projet'!$B$13,Paramètres!$A$1:$I$89,5,0)</f>
        <v>2.8075494802456231</v>
      </c>
      <c r="CV10" s="14">
        <f t="shared" si="41"/>
        <v>1.1473453828778812</v>
      </c>
      <c r="CW10" s="22">
        <f t="shared" si="13"/>
        <v>6.8881085532734367</v>
      </c>
      <c r="CX10" s="62">
        <f t="shared" si="14"/>
        <v>272.11033077549564</v>
      </c>
      <c r="CY10" s="62">
        <f ca="1">AVERAGE(OFFSET($CX$3,0,0,'Données projet'!$E$13+1,1))-AVERAGE(OFFSET($H$3,0,0,'Données projet'!$E$13+1,1))</f>
        <v>349.5718186624772</v>
      </c>
      <c r="CZ10" s="62">
        <f t="shared" si="42"/>
        <v>258.14152930815959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1.8</v>
      </c>
      <c r="DO10" s="13">
        <f>IF('Données projet'!$A$166&gt;35,DO9+DN10-DW9,IF(A10&lt;'Données projet'!$A$166,$DL$205^A10,IF(A10='Données projet'!$A$166,'Données projet'!$B$166,DO9+DN10-DW9)))</f>
        <v>7.5629417171254145</v>
      </c>
      <c r="DP10" s="18">
        <f>DO10*VLOOKUP('Données projet'!$B$14,Paramètres!$A$1:$I$89,3,0)*VLOOKUP('Données projet'!$B$14,Paramètres!$A$1:$I$89,5,0)</f>
        <v>6.6069858840807631</v>
      </c>
      <c r="DQ10" s="14">
        <f t="shared" si="43"/>
        <v>2.4440329151477385</v>
      </c>
      <c r="DR10" s="22">
        <f t="shared" si="16"/>
        <v>15.763857741989639</v>
      </c>
      <c r="DS10" s="62">
        <f t="shared" si="17"/>
        <v>280.98607996421185</v>
      </c>
      <c r="DT10" s="62">
        <f ca="1">AVERAGE(OFFSET($DS$3,0,0,'Données projet'!$E$14+1,1))-AVERAGE(OFFSET($H$3,0,0,'Données projet'!$E$14+1,1))</f>
        <v>300.63505444445104</v>
      </c>
      <c r="DU10" s="62">
        <f t="shared" si="44"/>
        <v>266.32508105927997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1.1000000000000001</v>
      </c>
      <c r="EJ10" s="13">
        <f>IF('Données projet'!$A$192&gt;35,EJ9+EI10-ER9,IF(A10&lt;'Données projet'!$A$192,$EG$205^A10,IF(A10='Données projet'!$A$192,'Données projet'!$B$192,EJ9+EI10-ER9)))</f>
        <v>5.3576566694841175</v>
      </c>
      <c r="EK10" s="18">
        <f>EJ10*VLOOKUP('Données projet'!$B$15,Paramètres!$A$1:$I$89,3,0)*VLOOKUP('Données projet'!$B$15,Paramètres!$A$1:$I$89,5,0)</f>
        <v>4.2625516462415645</v>
      </c>
      <c r="EL10" s="14">
        <f t="shared" si="45"/>
        <v>1.6593124478620722</v>
      </c>
      <c r="EM10" s="22">
        <f t="shared" si="19"/>
        <v>10.313913297230501</v>
      </c>
      <c r="EN10" s="62">
        <f t="shared" si="20"/>
        <v>275.53613551945273</v>
      </c>
      <c r="EO10" s="62">
        <f ca="1">AVERAGE(OFFSET($EN$3,0,0,'Données projet'!$E$15+1,1))-AVERAGE(OFFSET($H$3,0,0,'Données projet'!$E$15+1,1))</f>
        <v>353.37024194969638</v>
      </c>
      <c r="EP10" s="62">
        <f t="shared" si="46"/>
        <v>345.4750813433123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1.1000000000000001</v>
      </c>
      <c r="FE10" s="13">
        <f>IF('Données projet'!$A$218&gt;35,FE9+FD10-FM9,IF(A10&lt;'Données projet'!$A$218,$FB$205^A10,IF(A10='Données projet'!$A$218,'Données projet'!$B$218,FE9+FD10-FM9)))</f>
        <v>5.3576566694841175</v>
      </c>
      <c r="FF10" s="18">
        <f>FE10*VLOOKUP('Données projet'!$B$16,Paramètres!$A$1:$I$89,3,0)*VLOOKUP('Données projet'!$B$16,Paramètres!$A$1:$I$89,5,0)</f>
        <v>3.510336649845994</v>
      </c>
      <c r="FG10" s="14">
        <f t="shared" si="47"/>
        <v>1.397726620379814</v>
      </c>
      <c r="FH10" s="22">
        <f t="shared" si="22"/>
        <v>8.5482101956432839</v>
      </c>
      <c r="FI10" s="62">
        <f t="shared" si="23"/>
        <v>273.77043241786549</v>
      </c>
      <c r="FJ10" s="62">
        <f ca="1">AVERAGE(OFFSET($FI$3,0,0,'Données projet'!$E$16+1,1))-AVERAGE(OFFSET($H$3,0,0,'Données projet'!$E$16+1,1))</f>
        <v>263.30962868541337</v>
      </c>
      <c r="FK10" s="62">
        <f t="shared" si="48"/>
        <v>269.61868559913404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4.5262222222222226</v>
      </c>
      <c r="N11" s="14">
        <f>IF('Données projet'!$A$36&gt;35,N10+M11-V10,IF(A11&lt;'Données projet'!$A$36,$K$205^A11,IF(A11='Données projet'!$A$36,'Données projet'!$B$36,N10+M11-V10)))</f>
        <v>36.209777777777781</v>
      </c>
      <c r="O11" s="14">
        <f>N11*VLOOKUP('Données projet'!$B$9,Paramètres!$A$1:$I$89,3,0)*VLOOKUP('Données projet'!$B$9,Paramètres!$A$1:$I$89,5,0)</f>
        <v>21.653447111111113</v>
      </c>
      <c r="P11" s="14">
        <f t="shared" si="33"/>
        <v>6.9762777093448598</v>
      </c>
      <c r="Q11" s="22">
        <f t="shared" si="2"/>
        <v>49.863437395627479</v>
      </c>
      <c r="R11" s="62">
        <f t="shared" si="0"/>
        <v>316.30788184007196</v>
      </c>
      <c r="S11" s="62">
        <f ca="1">AVERAGE(OFFSET($R$3,0,0,'Données projet'!$E$9+1,1))-AVERAGE(OFFSET($H$3,0,0,'Données projet'!$E$9+1,1))</f>
        <v>262.06511368698341</v>
      </c>
      <c r="T11" s="62">
        <f t="shared" si="34"/>
        <v>217.15709240080542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6.3325490196078427</v>
      </c>
      <c r="AI11" s="14">
        <f>IF('Données projet'!$A$62&gt;35,AI10+AH11-AQ10,IF(A11&lt;'Données projet'!$A$62,$AF$205^A11,IF(A11='Données projet'!$A$62,'Données projet'!$B$62,AI10+AH11-AQ10)))</f>
        <v>50.660392156862741</v>
      </c>
      <c r="AJ11" s="14">
        <f>AI11*VLOOKUP('Données projet'!$B$10,Paramètres!$A$1:$I$89,3,0)*VLOOKUP('Données projet'!$B$10,Paramètres!$A$1:$I$89,5,0)</f>
        <v>23.709063529411761</v>
      </c>
      <c r="AK11" s="14">
        <f t="shared" si="35"/>
        <v>7.5583400863980357</v>
      </c>
      <c r="AL11" s="22">
        <f t="shared" si="4"/>
        <v>54.457394630868727</v>
      </c>
      <c r="AM11" s="62">
        <f t="shared" si="5"/>
        <v>320.90183907531321</v>
      </c>
      <c r="AN11" s="62">
        <f ca="1">AVERAGE(OFFSET($AM$3,0,0,'Données projet'!$E$10+1,1))-AVERAGE(OFFSET($H$3,0,0,'Données projet'!$E$10+1,1))</f>
        <v>287.83167869616227</v>
      </c>
      <c r="AO11" s="62">
        <f t="shared" si="36"/>
        <v>233.84231920589906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6.583333333333333</v>
      </c>
      <c r="BD11" s="13">
        <f>IF('Données projet'!$A$88&gt;35,BD10+BC11-BL10,IF(A11&lt;'Données projet'!$A$88,$BA$205^A11,IF(A11='Données projet'!$A$88,'Données projet'!$B$88,BD10+BC11-BL10)))</f>
        <v>18.411311570202439</v>
      </c>
      <c r="BE11" s="14">
        <f>BD11*VLOOKUP('Données projet'!$B$11,Paramètres!$A$1:$I$89,3,0)*VLOOKUP('Données projet'!$B$11,Paramètres!$A$1:$I$89,5,0)</f>
        <v>11.488658419806322</v>
      </c>
      <c r="BF11" s="14">
        <f t="shared" si="37"/>
        <v>3.9847954566621278</v>
      </c>
      <c r="BG11" s="22">
        <f t="shared" si="7"/>
        <v>26.949598834849215</v>
      </c>
      <c r="BH11" s="62">
        <f t="shared" si="8"/>
        <v>293.39404327929367</v>
      </c>
      <c r="BI11" s="62">
        <f ca="1">AVERAGE(OFFSET($BH$3,0,0,'Données projet'!$E$11+1,1))-AVERAGE(OFFSET($H$3,0,0,'Données projet'!$E$11+1,1))</f>
        <v>262.36903350767881</v>
      </c>
      <c r="BJ11" s="62">
        <f t="shared" si="38"/>
        <v>331.21009482262417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3.887142857142857</v>
      </c>
      <c r="BY11" s="13">
        <f>IF('Données projet'!$A$114&gt;35,BY10+BX11-CG10,IF(A11&lt;'Données projet'!$A$114,$BV$205^A11,IF(A11='Données projet'!$A$114,'Données projet'!$B$114,BY10+BX11-CG10)))</f>
        <v>31.097142857142849</v>
      </c>
      <c r="BZ11" s="14">
        <f>BY11*VLOOKUP('Données projet'!$B$12,Paramètres!$A$1:$I$89,3,0)*VLOOKUP('Données projet'!$B$12,Paramètres!$A$1:$I$89,5,0)</f>
        <v>30.077156571428564</v>
      </c>
      <c r="CA11" s="14">
        <f t="shared" si="39"/>
        <v>9.3265727173599551</v>
      </c>
      <c r="CB11" s="22">
        <f t="shared" si="10"/>
        <v>68.62816184463999</v>
      </c>
      <c r="CC11" s="62">
        <f t="shared" si="11"/>
        <v>335.07260628908443</v>
      </c>
      <c r="CD11" s="62">
        <f ca="1">AVERAGE(OFFSET($CC$3,0,0,'Données projet'!$E$12+1,1))-AVERAGE(OFFSET($H$3,0,0,'Données projet'!$E$12+1,1))</f>
        <v>618.83149423524605</v>
      </c>
      <c r="CE11" s="62">
        <f t="shared" si="40"/>
        <v>285.33582535802435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5.8668181818181813</v>
      </c>
      <c r="CT11" s="13">
        <f>IF('Données projet'!$A$140&gt;35,CT10+CS11-DB10,IF(A11&lt;'Données projet'!$A$140,$CQ$205^A11,IF(A11='Données projet'!$A$140,'Données projet'!$B$140,CT10+CS11-DB10)))</f>
        <v>5.8556193873498845</v>
      </c>
      <c r="CU11" s="18">
        <f>CT11*VLOOKUP('Données projet'!$B$13,Paramètres!$A$1:$I$89,3,0)*VLOOKUP('Données projet'!$B$13,Paramètres!$A$1:$I$89,5,0)</f>
        <v>3.5016603936352309</v>
      </c>
      <c r="CV11" s="14">
        <f t="shared" si="41"/>
        <v>1.3946736396044743</v>
      </c>
      <c r="CW11" s="22">
        <f t="shared" si="13"/>
        <v>8.5277817745591538</v>
      </c>
      <c r="CX11" s="62">
        <f t="shared" si="14"/>
        <v>274.97222621900363</v>
      </c>
      <c r="CY11" s="62">
        <f ca="1">AVERAGE(OFFSET($CX$3,0,0,'Données projet'!$E$13+1,1))-AVERAGE(OFFSET($H$3,0,0,'Données projet'!$E$13+1,1))</f>
        <v>349.5718186624772</v>
      </c>
      <c r="CZ11" s="62">
        <f t="shared" si="42"/>
        <v>258.14152930815959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1.8</v>
      </c>
      <c r="DO11" s="13">
        <f>IF('Données projet'!$A$166&gt;35,DO10+DN11-DW10,IF(A11&lt;'Données projet'!$A$166,$DL$205^A11,IF(A11='Données projet'!$A$166,'Données projet'!$B$166,DO10+DN11-DW10)))</f>
        <v>10.097596309015799</v>
      </c>
      <c r="DP11" s="18">
        <f>DO11*VLOOKUP('Données projet'!$B$14,Paramètres!$A$1:$I$89,3,0)*VLOOKUP('Données projet'!$B$14,Paramètres!$A$1:$I$89,5,0)</f>
        <v>8.8212601355562033</v>
      </c>
      <c r="DQ11" s="14">
        <f t="shared" si="43"/>
        <v>3.1551711996443523</v>
      </c>
      <c r="DR11" s="22">
        <f t="shared" si="16"/>
        <v>20.858951242140964</v>
      </c>
      <c r="DS11" s="62">
        <f t="shared" si="17"/>
        <v>287.30339568658542</v>
      </c>
      <c r="DT11" s="62">
        <f ca="1">AVERAGE(OFFSET($DS$3,0,0,'Données projet'!$E$14+1,1))-AVERAGE(OFFSET($H$3,0,0,'Données projet'!$E$14+1,1))</f>
        <v>300.63505444445104</v>
      </c>
      <c r="DU11" s="62">
        <f t="shared" si="44"/>
        <v>266.32508105927997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1.1000000000000001</v>
      </c>
      <c r="EJ11" s="13">
        <f>IF('Données projet'!$A$192&gt;35,EJ10+EI11-ER10,IF(A11&lt;'Données projet'!$A$192,$EG$205^A11,IF(A11='Données projet'!$A$192,'Données projet'!$B$192,EJ10+EI11-ER10)))</f>
        <v>6.8094831275223076</v>
      </c>
      <c r="EK11" s="18">
        <f>EJ11*VLOOKUP('Données projet'!$B$15,Paramètres!$A$1:$I$89,3,0)*VLOOKUP('Données projet'!$B$15,Paramètres!$A$1:$I$89,5,0)</f>
        <v>5.4176247762567487</v>
      </c>
      <c r="EL11" s="14">
        <f t="shared" si="45"/>
        <v>2.0509054013412618</v>
      </c>
      <c r="EM11" s="22">
        <f t="shared" si="19"/>
        <v>13.007690059316532</v>
      </c>
      <c r="EN11" s="62">
        <f t="shared" si="20"/>
        <v>279.45213450376099</v>
      </c>
      <c r="EO11" s="62">
        <f ca="1">AVERAGE(OFFSET($EN$3,0,0,'Données projet'!$E$15+1,1))-AVERAGE(OFFSET($H$3,0,0,'Données projet'!$E$15+1,1))</f>
        <v>353.37024194969638</v>
      </c>
      <c r="EP11" s="62">
        <f t="shared" si="46"/>
        <v>345.4750813433123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1.1000000000000001</v>
      </c>
      <c r="FE11" s="13">
        <f>IF('Données projet'!$A$218&gt;35,FE10+FD11-FM10,IF(A11&lt;'Données projet'!$A$218,$FB$205^A11,IF(A11='Données projet'!$A$218,'Données projet'!$B$218,FE10+FD11-FM10)))</f>
        <v>6.8094831275223076</v>
      </c>
      <c r="FF11" s="18">
        <f>FE11*VLOOKUP('Données projet'!$B$16,Paramètres!$A$1:$I$89,3,0)*VLOOKUP('Données projet'!$B$16,Paramètres!$A$1:$I$89,5,0)</f>
        <v>4.4615733451526163</v>
      </c>
      <c r="FG11" s="14">
        <f t="shared" si="47"/>
        <v>1.7275860727911023</v>
      </c>
      <c r="FH11" s="22">
        <f t="shared" si="22"/>
        <v>10.779452652918643</v>
      </c>
      <c r="FI11" s="62">
        <f t="shared" si="23"/>
        <v>277.22389709736308</v>
      </c>
      <c r="FJ11" s="62">
        <f ca="1">AVERAGE(OFFSET($FI$3,0,0,'Données projet'!$E$16+1,1))-AVERAGE(OFFSET($H$3,0,0,'Données projet'!$E$16+1,1))</f>
        <v>263.30962868541337</v>
      </c>
      <c r="FK11" s="62">
        <f t="shared" si="48"/>
        <v>269.61868559913404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4.5262222222222226</v>
      </c>
      <c r="N12" s="14">
        <f>IF('Données projet'!$A$36&gt;35,N11+M12-V11,IF(A12&lt;'Données projet'!$A$36,$K$205^A12,IF(A12='Données projet'!$A$36,'Données projet'!$B$36,N11+M12-V11)))</f>
        <v>40.736000000000004</v>
      </c>
      <c r="O12" s="14">
        <f>N12*VLOOKUP('Données projet'!$B$9,Paramètres!$A$1:$I$89,3,0)*VLOOKUP('Données projet'!$B$9,Paramètres!$A$1:$I$89,5,0)</f>
        <v>24.360128000000007</v>
      </c>
      <c r="P12" s="14">
        <f t="shared" si="33"/>
        <v>7.7414467239386342</v>
      </c>
      <c r="Q12" s="22">
        <f t="shared" si="2"/>
        <v>55.910242644193126</v>
      </c>
      <c r="R12" s="62">
        <f t="shared" si="0"/>
        <v>323.57690931085983</v>
      </c>
      <c r="S12" s="62">
        <f ca="1">AVERAGE(OFFSET($R$3,0,0,'Données projet'!$E$9+1,1))-AVERAGE(OFFSET($H$3,0,0,'Données projet'!$E$9+1,1))</f>
        <v>262.06511368698341</v>
      </c>
      <c r="T12" s="62">
        <f t="shared" si="34"/>
        <v>217.15709240080542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6.3325490196078427</v>
      </c>
      <c r="AI12" s="14">
        <f>IF('Données projet'!$A$62&gt;35,AI11+AH12-AQ11,IF(A12&lt;'Données projet'!$A$62,$AF$205^A12,IF(A12='Données projet'!$A$62,'Données projet'!$B$62,AI11+AH12-AQ11)))</f>
        <v>56.99294117647058</v>
      </c>
      <c r="AJ12" s="14">
        <f>AI12*VLOOKUP('Données projet'!$B$10,Paramètres!$A$1:$I$89,3,0)*VLOOKUP('Données projet'!$B$10,Paramètres!$A$1:$I$89,5,0)</f>
        <v>26.672696470588232</v>
      </c>
      <c r="AK12" s="14">
        <f t="shared" si="35"/>
        <v>8.3873506098935078</v>
      </c>
      <c r="AL12" s="22">
        <f t="shared" si="4"/>
        <v>61.062915331839015</v>
      </c>
      <c r="AM12" s="62">
        <f t="shared" si="5"/>
        <v>328.72958199850569</v>
      </c>
      <c r="AN12" s="62">
        <f ca="1">AVERAGE(OFFSET($AM$3,0,0,'Données projet'!$E$10+1,1))-AVERAGE(OFFSET($H$3,0,0,'Données projet'!$E$10+1,1))</f>
        <v>287.83167869616227</v>
      </c>
      <c r="AO12" s="62">
        <f t="shared" si="36"/>
        <v>233.84231920589906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6.583333333333333</v>
      </c>
      <c r="BD12" s="13">
        <f>IF('Données projet'!$A$88&gt;35,BD11+BC12-BL11,IF(A12&lt;'Données projet'!$A$88,$BA$205^A12,IF(A12='Données projet'!$A$88,'Données projet'!$B$88,BD11+BC12-BL11)))</f>
        <v>26.498440689367577</v>
      </c>
      <c r="BE12" s="14">
        <f>BD12*VLOOKUP('Données projet'!$B$11,Paramètres!$A$1:$I$89,3,0)*VLOOKUP('Données projet'!$B$11,Paramètres!$A$1:$I$89,5,0)</f>
        <v>16.535026990165367</v>
      </c>
      <c r="BF12" s="14">
        <f t="shared" si="37"/>
        <v>5.4971127112806055</v>
      </c>
      <c r="BG12" s="22">
        <f t="shared" si="7"/>
        <v>38.372643313351738</v>
      </c>
      <c r="BH12" s="62">
        <f t="shared" si="8"/>
        <v>306.0393099800184</v>
      </c>
      <c r="BI12" s="62">
        <f ca="1">AVERAGE(OFFSET($BH$3,0,0,'Données projet'!$E$11+1,1))-AVERAGE(OFFSET($H$3,0,0,'Données projet'!$E$11+1,1))</f>
        <v>262.36903350767881</v>
      </c>
      <c r="BJ12" s="62">
        <f t="shared" si="38"/>
        <v>331.21009482262417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3.887142857142857</v>
      </c>
      <c r="BY12" s="13">
        <f>IF('Données projet'!$A$114&gt;35,BY11+BX12-CG11,IF(A12&lt;'Données projet'!$A$114,$BV$205^A12,IF(A12='Données projet'!$A$114,'Données projet'!$B$114,BY11+BX12-CG11)))</f>
        <v>34.984285714285704</v>
      </c>
      <c r="BZ12" s="14">
        <f>BY12*VLOOKUP('Données projet'!$B$12,Paramètres!$A$1:$I$89,3,0)*VLOOKUP('Données projet'!$B$12,Paramètres!$A$1:$I$89,5,0)</f>
        <v>33.836801142857134</v>
      </c>
      <c r="CA12" s="14">
        <f t="shared" si="39"/>
        <v>10.349525752345953</v>
      </c>
      <c r="CB12" s="22">
        <f t="shared" si="10"/>
        <v>76.957852675812049</v>
      </c>
      <c r="CC12" s="62">
        <f t="shared" si="11"/>
        <v>344.62451934247872</v>
      </c>
      <c r="CD12" s="62">
        <f ca="1">AVERAGE(OFFSET($CC$3,0,0,'Données projet'!$E$12+1,1))-AVERAGE(OFFSET($H$3,0,0,'Données projet'!$E$12+1,1))</f>
        <v>618.83149423524605</v>
      </c>
      <c r="CE12" s="62">
        <f t="shared" si="40"/>
        <v>285.33582535802435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5.8668181818181813</v>
      </c>
      <c r="CT12" s="13">
        <f>IF('Données projet'!$A$140&gt;35,CT11+CS12-DB11,IF(A12&lt;'Données projet'!$A$140,$CQ$205^A12,IF(A12='Données projet'!$A$140,'Données projet'!$B$140,CT11+CS12-DB11)))</f>
        <v>7.3033051182741131</v>
      </c>
      <c r="CU12" s="18">
        <f>CT12*VLOOKUP('Données projet'!$B$13,Paramètres!$A$1:$I$89,3,0)*VLOOKUP('Données projet'!$B$13,Paramètres!$A$1:$I$89,5,0)</f>
        <v>4.36737646072792</v>
      </c>
      <c r="CV12" s="14">
        <f t="shared" si="41"/>
        <v>1.6953173735084623</v>
      </c>
      <c r="CW12" s="22">
        <f t="shared" si="13"/>
        <v>10.559191761295033</v>
      </c>
      <c r="CX12" s="62">
        <f t="shared" si="14"/>
        <v>278.22585842796173</v>
      </c>
      <c r="CY12" s="62">
        <f ca="1">AVERAGE(OFFSET($CX$3,0,0,'Données projet'!$E$13+1,1))-AVERAGE(OFFSET($H$3,0,0,'Données projet'!$E$13+1,1))</f>
        <v>349.5718186624772</v>
      </c>
      <c r="CZ12" s="62">
        <f t="shared" si="42"/>
        <v>258.14152930815959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1.8</v>
      </c>
      <c r="DO12" s="13">
        <f>IF('Données projet'!$A$166&gt;35,DO11+DN12-DW11,IF(A12&lt;'Données projet'!$A$166,$DL$205^A12,IF(A12='Données projet'!$A$166,'Données projet'!$B$166,DO11+DN12-DW11)))</f>
        <v>13.48171849440139</v>
      </c>
      <c r="DP12" s="18">
        <f>DO12*VLOOKUP('Données projet'!$B$14,Paramètres!$A$1:$I$89,3,0)*VLOOKUP('Données projet'!$B$14,Paramètres!$A$1:$I$89,5,0)</f>
        <v>11.777629276709055</v>
      </c>
      <c r="DQ12" s="14">
        <f t="shared" si="43"/>
        <v>4.0732288167499631</v>
      </c>
      <c r="DR12" s="22">
        <f t="shared" si="16"/>
        <v>27.606911179441123</v>
      </c>
      <c r="DS12" s="62">
        <f t="shared" si="17"/>
        <v>295.2735778461078</v>
      </c>
      <c r="DT12" s="62">
        <f ca="1">AVERAGE(OFFSET($DS$3,0,0,'Données projet'!$E$14+1,1))-AVERAGE(OFFSET($H$3,0,0,'Données projet'!$E$14+1,1))</f>
        <v>300.63505444445104</v>
      </c>
      <c r="DU12" s="62">
        <f t="shared" si="44"/>
        <v>266.32508105927997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1.1000000000000001</v>
      </c>
      <c r="EJ12" s="13">
        <f>IF('Données projet'!$A$192&gt;35,EJ11+EI12-ER11,IF(A12&lt;'Données projet'!$A$192,$EG$205^A12,IF(A12='Données projet'!$A$192,'Données projet'!$B$192,EJ11+EI12-ER11)))</f>
        <v>8.6547278641645029</v>
      </c>
      <c r="EK12" s="18">
        <f>EJ12*VLOOKUP('Données projet'!$B$15,Paramètres!$A$1:$I$89,3,0)*VLOOKUP('Données projet'!$B$15,Paramètres!$A$1:$I$89,5,0)</f>
        <v>6.8857014887292793</v>
      </c>
      <c r="EL12" s="14">
        <f t="shared" si="45"/>
        <v>2.5349131627802968</v>
      </c>
      <c r="EM12" s="22">
        <f t="shared" si="19"/>
        <v>16.407570518045844</v>
      </c>
      <c r="EN12" s="62">
        <f t="shared" si="20"/>
        <v>284.0742371847125</v>
      </c>
      <c r="EO12" s="62">
        <f ca="1">AVERAGE(OFFSET($EN$3,0,0,'Données projet'!$E$15+1,1))-AVERAGE(OFFSET($H$3,0,0,'Données projet'!$E$15+1,1))</f>
        <v>353.37024194969638</v>
      </c>
      <c r="EP12" s="62">
        <f t="shared" si="46"/>
        <v>345.4750813433123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1.1000000000000001</v>
      </c>
      <c r="FE12" s="13">
        <f>IF('Données projet'!$A$218&gt;35,FE11+FD12-FM11,IF(A12&lt;'Données projet'!$A$218,$FB$205^A12,IF(A12='Données projet'!$A$218,'Données projet'!$B$218,FE11+FD12-FM11)))</f>
        <v>8.6547278641645029</v>
      </c>
      <c r="FF12" s="18">
        <f>FE12*VLOOKUP('Données projet'!$B$16,Paramètres!$A$1:$I$89,3,0)*VLOOKUP('Données projet'!$B$16,Paramètres!$A$1:$I$89,5,0)</f>
        <v>5.6705776966005823</v>
      </c>
      <c r="FG12" s="14">
        <f t="shared" si="47"/>
        <v>2.1352914049034637</v>
      </c>
      <c r="FH12" s="22">
        <f t="shared" si="22"/>
        <v>13.59522201845288</v>
      </c>
      <c r="FI12" s="62">
        <f t="shared" si="23"/>
        <v>281.26188868511957</v>
      </c>
      <c r="FJ12" s="62">
        <f ca="1">AVERAGE(OFFSET($FI$3,0,0,'Données projet'!$E$16+1,1))-AVERAGE(OFFSET($H$3,0,0,'Données projet'!$E$16+1,1))</f>
        <v>263.30962868541337</v>
      </c>
      <c r="FK12" s="62">
        <f t="shared" si="48"/>
        <v>269.61868559913404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4.5262222222222226</v>
      </c>
      <c r="N13" s="14">
        <f>IF('Données projet'!$A$36&gt;35,N12+M13-V12,IF(A13&lt;'Données projet'!$A$36,$K$205^A13,IF(A13='Données projet'!$A$36,'Données projet'!$B$36,N12+M13-V12)))</f>
        <v>45.262222222222228</v>
      </c>
      <c r="O13" s="14">
        <f>N13*VLOOKUP('Données projet'!$B$9,Paramètres!$A$1:$I$89,3,0)*VLOOKUP('Données projet'!$B$9,Paramètres!$A$1:$I$89,5,0)</f>
        <v>27.066808888888897</v>
      </c>
      <c r="P13" s="14">
        <f t="shared" si="33"/>
        <v>8.4967618917910688</v>
      </c>
      <c r="Q13" s="22">
        <f t="shared" si="2"/>
        <v>61.939885776350934</v>
      </c>
      <c r="R13" s="62">
        <f t="shared" si="0"/>
        <v>330.82877466523979</v>
      </c>
      <c r="S13" s="62">
        <f ca="1">AVERAGE(OFFSET($R$3,0,0,'Données projet'!$E$9+1,1))-AVERAGE(OFFSET($H$3,0,0,'Données projet'!$E$9+1,1))</f>
        <v>262.06511368698341</v>
      </c>
      <c r="T13" s="62">
        <f t="shared" si="34"/>
        <v>217.15709240080542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6.3325490196078427</v>
      </c>
      <c r="AI13" s="14">
        <f>IF('Données projet'!$A$62&gt;35,AI12+AH13-AQ12,IF(A13&lt;'Données projet'!$A$62,$AF$205^A13,IF(A13='Données projet'!$A$62,'Données projet'!$B$62,AI12+AH13-AQ12)))</f>
        <v>63.32549019607842</v>
      </c>
      <c r="AJ13" s="14">
        <f>AI13*VLOOKUP('Données projet'!$B$10,Paramètres!$A$1:$I$89,3,0)*VLOOKUP('Données projet'!$B$10,Paramètres!$A$1:$I$89,5,0)</f>
        <v>29.636329411764699</v>
      </c>
      <c r="AK13" s="14">
        <f t="shared" si="35"/>
        <v>9.205685135681712</v>
      </c>
      <c r="AL13" s="22">
        <f t="shared" si="4"/>
        <v>67.649842003469175</v>
      </c>
      <c r="AM13" s="62">
        <f t="shared" si="5"/>
        <v>336.53873089235805</v>
      </c>
      <c r="AN13" s="62">
        <f ca="1">AVERAGE(OFFSET($AM$3,0,0,'Données projet'!$E$10+1,1))-AVERAGE(OFFSET($H$3,0,0,'Données projet'!$E$10+1,1))</f>
        <v>287.83167869616227</v>
      </c>
      <c r="AO13" s="62">
        <f t="shared" si="36"/>
        <v>233.84231920589906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6.583333333333333</v>
      </c>
      <c r="BD13" s="13">
        <f>IF('Données projet'!$A$88&gt;35,BD12+BC13-BL12,IF(A13&lt;'Données projet'!$A$88,$BA$205^A13,IF(A13='Données projet'!$A$88,'Données projet'!$B$88,BD12+BC13-BL12)))</f>
        <v>38.137823929086366</v>
      </c>
      <c r="BE13" s="14">
        <f>BD13*VLOOKUP('Données projet'!$B$11,Paramètres!$A$1:$I$89,3,0)*VLOOKUP('Données projet'!$B$11,Paramètres!$A$1:$I$89,5,0)</f>
        <v>23.798002131749893</v>
      </c>
      <c r="BF13" s="14">
        <f t="shared" si="37"/>
        <v>7.5833875262032135</v>
      </c>
      <c r="BG13" s="22">
        <f t="shared" si="7"/>
        <v>54.655920320934996</v>
      </c>
      <c r="BH13" s="62">
        <f t="shared" si="8"/>
        <v>323.54480920982382</v>
      </c>
      <c r="BI13" s="62">
        <f ca="1">AVERAGE(OFFSET($BH$3,0,0,'Données projet'!$E$11+1,1))-AVERAGE(OFFSET($H$3,0,0,'Données projet'!$E$11+1,1))</f>
        <v>262.36903350767881</v>
      </c>
      <c r="BJ13" s="62">
        <f t="shared" si="38"/>
        <v>331.21009482262417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3.887142857142857</v>
      </c>
      <c r="BY13" s="13">
        <f>IF('Données projet'!$A$114&gt;35,BY12+BX13-CG12,IF(A13&lt;'Données projet'!$A$114,$BV$205^A13,IF(A13='Données projet'!$A$114,'Données projet'!$B$114,BY12+BX13-CG12)))</f>
        <v>38.871428571428559</v>
      </c>
      <c r="BZ13" s="14">
        <f>BY13*VLOOKUP('Données projet'!$B$12,Paramètres!$A$1:$I$89,3,0)*VLOOKUP('Données projet'!$B$12,Paramètres!$A$1:$I$89,5,0)</f>
        <v>37.596445714285707</v>
      </c>
      <c r="CA13" s="14">
        <f t="shared" si="39"/>
        <v>11.359305197918257</v>
      </c>
      <c r="CB13" s="22">
        <f t="shared" si="10"/>
        <v>85.264599505421899</v>
      </c>
      <c r="CC13" s="62">
        <f t="shared" si="11"/>
        <v>354.15348839431078</v>
      </c>
      <c r="CD13" s="62">
        <f ca="1">AVERAGE(OFFSET($CC$3,0,0,'Données projet'!$E$12+1,1))-AVERAGE(OFFSET($H$3,0,0,'Données projet'!$E$12+1,1))</f>
        <v>618.83149423524605</v>
      </c>
      <c r="CE13" s="62">
        <f t="shared" si="40"/>
        <v>285.33582535802435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5.8668181818181813</v>
      </c>
      <c r="CT13" s="13">
        <f>IF('Données projet'!$A$140&gt;35,CT12+CS13-DB12,IF(A13&lt;'Données projet'!$A$140,$CQ$205^A13,IF(A13='Données projet'!$A$140,'Données projet'!$B$140,CT12+CS13-DB12)))</f>
        <v>9.1089024272714045</v>
      </c>
      <c r="CU13" s="18">
        <f>CT13*VLOOKUP('Données projet'!$B$13,Paramètres!$A$1:$I$89,3,0)*VLOOKUP('Données projet'!$B$13,Paramètres!$A$1:$I$89,5,0)</f>
        <v>5.4471236515083001</v>
      </c>
      <c r="CV13" s="14">
        <f t="shared" si="41"/>
        <v>2.0607695702449207</v>
      </c>
      <c r="CW13" s="22">
        <f t="shared" si="13"/>
        <v>13.076247361220192</v>
      </c>
      <c r="CX13" s="62">
        <f t="shared" si="14"/>
        <v>281.96513625010903</v>
      </c>
      <c r="CY13" s="62">
        <f ca="1">AVERAGE(OFFSET($CX$3,0,0,'Données projet'!$E$13+1,1))-AVERAGE(OFFSET($H$3,0,0,'Données projet'!$E$13+1,1))</f>
        <v>349.5718186624772</v>
      </c>
      <c r="CZ13" s="62">
        <f t="shared" si="42"/>
        <v>258.14152930815959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18</v>
      </c>
      <c r="DM13" s="13">
        <f>VLOOKUP(A13,'Données projet'!$A$165:$I$185,9,0)</f>
        <v>1.8</v>
      </c>
      <c r="DN13" s="13">
        <f t="array" ref="DN13">INDEX(DM:DM,MIN(IF(ISNUMBER(DM13:DM209),ROW(DM13:DM209),"")))</f>
        <v>1.8</v>
      </c>
      <c r="DO13" s="13">
        <f>IF('Données projet'!$A$166&gt;35,DO12+DN13-DW12,IF(A13&lt;'Données projet'!$A$166,$DL$205^A13,IF(A13='Données projet'!$A$166,'Données projet'!$B$166,DO12+DN13-DW12)))</f>
        <v>18</v>
      </c>
      <c r="DP13" s="18">
        <f>DO13*VLOOKUP('Données projet'!$B$14,Paramètres!$A$1:$I$89,3,0)*VLOOKUP('Données projet'!$B$14,Paramètres!$A$1:$I$89,5,0)</f>
        <v>15.724800000000004</v>
      </c>
      <c r="DQ13" s="14">
        <f t="shared" si="43"/>
        <v>5.2584129176484753</v>
      </c>
      <c r="DR13" s="22">
        <f t="shared" si="16"/>
        <v>36.545762498237771</v>
      </c>
      <c r="DS13" s="62">
        <f t="shared" si="17"/>
        <v>305.43465138712662</v>
      </c>
      <c r="DT13" s="62">
        <f ca="1">AVERAGE(OFFSET($DS$3,0,0,'Données projet'!$E$14+1,1))-AVERAGE(OFFSET($H$3,0,0,'Données projet'!$E$14+1,1))</f>
        <v>300.63505444445104</v>
      </c>
      <c r="DU13" s="62">
        <f t="shared" si="44"/>
        <v>266.32508105927997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11</v>
      </c>
      <c r="EH13" s="13">
        <f>VLOOKUP(A13,'Données projet'!$A$191:$I$211,9,0)</f>
        <v>1.1000000000000001</v>
      </c>
      <c r="EI13" s="13">
        <f t="array" ref="EI13">INDEX(EH:EH,MIN(IF(ISNUMBER(EH13:EH209),ROW(EH13:EH209),"")))</f>
        <v>1.1000000000000001</v>
      </c>
      <c r="EJ13" s="13">
        <f>IF('Données projet'!$A$192&gt;35,EJ12+EI13-ER12,IF(A13&lt;'Données projet'!$A$192,$EG$205^A13,IF(A13='Données projet'!$A$192,'Données projet'!$B$192,EJ12+EI13-ER12)))</f>
        <v>11</v>
      </c>
      <c r="EK13" s="18">
        <f>EJ13*VLOOKUP('Données projet'!$B$15,Paramètres!$A$1:$I$89,3,0)*VLOOKUP('Données projet'!$B$15,Paramètres!$A$1:$I$89,5,0)</f>
        <v>8.7516000000000016</v>
      </c>
      <c r="EL13" s="14">
        <f t="shared" si="45"/>
        <v>3.1331453604025001</v>
      </c>
      <c r="EM13" s="22">
        <f t="shared" si="19"/>
        <v>20.699264836034356</v>
      </c>
      <c r="EN13" s="62">
        <f t="shared" si="20"/>
        <v>289.58815372492319</v>
      </c>
      <c r="EO13" s="62">
        <f ca="1">AVERAGE(OFFSET($EN$3,0,0,'Données projet'!$E$15+1,1))-AVERAGE(OFFSET($H$3,0,0,'Données projet'!$E$15+1,1))</f>
        <v>353.37024194969638</v>
      </c>
      <c r="EP13" s="62">
        <f t="shared" si="46"/>
        <v>345.4750813433123</v>
      </c>
      <c r="EQ13" s="16">
        <f>IF(ISNA(VLOOKUP(A13,'Données projet'!$A$191:$I$211,3,0)),0,VLOOKUP(A13,'Données projet'!$A$191:$I$211,3,0))</f>
        <v>1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11</v>
      </c>
      <c r="FC13" s="13">
        <f>VLOOKUP(A13,'Données projet'!$A$217:$I$237,9,0)</f>
        <v>1.1000000000000001</v>
      </c>
      <c r="FD13" s="13">
        <f t="array" ref="FD13">INDEX(FC:FC,MIN(IF(ISNUMBER(FC13:FC209),ROW(FC13:FC209),"")))</f>
        <v>1.1000000000000001</v>
      </c>
      <c r="FE13" s="13">
        <f>IF('Données projet'!$A$218&gt;35,FE12+FD13-FM12,IF(A13&lt;'Données projet'!$A$218,$FB$205^A13,IF(A13='Données projet'!$A$218,'Données projet'!$B$218,FE12+FD13-FM12)))</f>
        <v>11</v>
      </c>
      <c r="FF13" s="18">
        <f>FE13*VLOOKUP('Données projet'!$B$16,Paramètres!$A$1:$I$89,3,0)*VLOOKUP('Données projet'!$B$16,Paramètres!$A$1:$I$89,5,0)</f>
        <v>7.2072000000000003</v>
      </c>
      <c r="FG13" s="14">
        <f t="shared" si="47"/>
        <v>2.6392140198770462</v>
      </c>
      <c r="FH13" s="22">
        <f t="shared" si="22"/>
        <v>17.149171084619187</v>
      </c>
      <c r="FI13" s="62">
        <f t="shared" si="23"/>
        <v>286.03805997350804</v>
      </c>
      <c r="FJ13" s="62">
        <f ca="1">AVERAGE(OFFSET($FI$3,0,0,'Données projet'!$E$16+1,1))-AVERAGE(OFFSET($H$3,0,0,'Données projet'!$E$16+1,1))</f>
        <v>263.30962868541337</v>
      </c>
      <c r="FK13" s="62">
        <f t="shared" si="48"/>
        <v>269.61868559913404</v>
      </c>
      <c r="FL13" s="16">
        <f>IF(ISNA(VLOOKUP(A13,'Données projet'!$A$217:$I$237,3,0)),0,VLOOKUP(A13,'Données projet'!$A$217:$I$237,3,0))</f>
        <v>1</v>
      </c>
      <c r="FM13" s="16">
        <f>IF(ISNA(VLOOKUP(A13,'Données projet'!$A$217:$I$237,4,0)),0,VLOOKUP(A13,'Données projet'!$A$217:$I$237,4,0))</f>
        <v>1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4.5262222222222226</v>
      </c>
      <c r="N14" s="14">
        <f>IF('Données projet'!$A$36&gt;35,N13+M14-V13,IF(A14&lt;'Données projet'!$A$36,$K$205^A14,IF(A14='Données projet'!$A$36,'Données projet'!$B$36,N13+M14-V13)))</f>
        <v>49.788444444444451</v>
      </c>
      <c r="O14" s="14">
        <f>N14*VLOOKUP('Données projet'!$B$9,Paramètres!$A$1:$I$89,3,0)*VLOOKUP('Données projet'!$B$9,Paramètres!$A$1:$I$89,5,0)</f>
        <v>29.773489777777787</v>
      </c>
      <c r="P14" s="14">
        <f t="shared" si="33"/>
        <v>9.2433207709446492</v>
      </c>
      <c r="Q14" s="22">
        <f t="shared" si="2"/>
        <v>67.954278372358246</v>
      </c>
      <c r="R14" s="62">
        <f t="shared" si="0"/>
        <v>338.0653894834694</v>
      </c>
      <c r="S14" s="62">
        <f ca="1">AVERAGE(OFFSET($R$3,0,0,'Données projet'!$E$9+1,1))-AVERAGE(OFFSET($H$3,0,0,'Données projet'!$E$9+1,1))</f>
        <v>262.06511368698341</v>
      </c>
      <c r="T14" s="62">
        <f t="shared" si="34"/>
        <v>217.15709240080542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6.3325490196078427</v>
      </c>
      <c r="AI14" s="14">
        <f>IF('Données projet'!$A$62&gt;35,AI13+AH14-AQ13,IF(A14&lt;'Données projet'!$A$62,$AF$205^A14,IF(A14='Données projet'!$A$62,'Données projet'!$B$62,AI13+AH14-AQ13)))</f>
        <v>69.658039215686259</v>
      </c>
      <c r="AJ14" s="14">
        <f>AI14*VLOOKUP('Données projet'!$B$10,Paramètres!$A$1:$I$89,3,0)*VLOOKUP('Données projet'!$B$10,Paramètres!$A$1:$I$89,5,0)</f>
        <v>32.599962352941169</v>
      </c>
      <c r="AK14" s="14">
        <f t="shared" si="35"/>
        <v>10.014532796032778</v>
      </c>
      <c r="AL14" s="22">
        <f t="shared" si="4"/>
        <v>74.220245717796288</v>
      </c>
      <c r="AM14" s="62">
        <f t="shared" si="5"/>
        <v>344.33135682890742</v>
      </c>
      <c r="AN14" s="62">
        <f ca="1">AVERAGE(OFFSET($AM$3,0,0,'Données projet'!$E$10+1,1))-AVERAGE(OFFSET($H$3,0,0,'Données projet'!$E$10+1,1))</f>
        <v>287.83167869616227</v>
      </c>
      <c r="AO14" s="62">
        <f t="shared" si="36"/>
        <v>233.84231920589906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6.583333333333333</v>
      </c>
      <c r="BD14" s="13">
        <f>IF('Données projet'!$A$88&gt;35,BD13+BC14-BL13,IF(A14&lt;'Données projet'!$A$88,$BA$205^A14,IF(A14='Données projet'!$A$88,'Données projet'!$B$88,BD13+BC14-BL13)))</f>
        <v>54.889781293040528</v>
      </c>
      <c r="BE14" s="14">
        <f>BD14*VLOOKUP('Données projet'!$B$11,Paramètres!$A$1:$I$89,3,0)*VLOOKUP('Données projet'!$B$11,Paramètres!$A$1:$I$89,5,0)</f>
        <v>34.251223526857288</v>
      </c>
      <c r="BF14" s="14">
        <f t="shared" si="37"/>
        <v>10.461449381338499</v>
      </c>
      <c r="BG14" s="22">
        <f t="shared" si="7"/>
        <v>77.874571981774324</v>
      </c>
      <c r="BH14" s="62">
        <f t="shared" si="8"/>
        <v>347.98568309288544</v>
      </c>
      <c r="BI14" s="62">
        <f ca="1">AVERAGE(OFFSET($BH$3,0,0,'Données projet'!$E$11+1,1))-AVERAGE(OFFSET($H$3,0,0,'Données projet'!$E$11+1,1))</f>
        <v>262.36903350767881</v>
      </c>
      <c r="BJ14" s="62">
        <f t="shared" si="38"/>
        <v>331.21009482262417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3.887142857142857</v>
      </c>
      <c r="BY14" s="13">
        <f>IF('Données projet'!$A$114&gt;35,BY13+BX14-CG13,IF(A14&lt;'Données projet'!$A$114,$BV$205^A14,IF(A14='Données projet'!$A$114,'Données projet'!$B$114,BY13+BX14-CG13)))</f>
        <v>42.758571428571415</v>
      </c>
      <c r="BZ14" s="14">
        <f>BY14*VLOOKUP('Données projet'!$B$12,Paramètres!$A$1:$I$89,3,0)*VLOOKUP('Données projet'!$B$12,Paramètres!$A$1:$I$89,5,0)</f>
        <v>41.356090285714274</v>
      </c>
      <c r="CA14" s="14">
        <f t="shared" si="39"/>
        <v>12.357378377386118</v>
      </c>
      <c r="CB14" s="22">
        <f t="shared" si="10"/>
        <v>93.550957921566507</v>
      </c>
      <c r="CC14" s="62">
        <f t="shared" si="11"/>
        <v>363.66206903267766</v>
      </c>
      <c r="CD14" s="62">
        <f ca="1">AVERAGE(OFFSET($CC$3,0,0,'Données projet'!$E$12+1,1))-AVERAGE(OFFSET($H$3,0,0,'Données projet'!$E$12+1,1))</f>
        <v>618.83149423524605</v>
      </c>
      <c r="CE14" s="62">
        <f t="shared" si="40"/>
        <v>285.33582535802435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5.8668181818181813</v>
      </c>
      <c r="CT14" s="13">
        <f>IF('Données projet'!$A$140&gt;35,CT13+CS14-DB13,IF(A14&lt;'Données projet'!$A$140,$CQ$205^A14,IF(A14='Données projet'!$A$140,'Données projet'!$B$140,CT13+CS14-DB13)))</f>
        <v>11.360897851842525</v>
      </c>
      <c r="CU14" s="18">
        <f>CT14*VLOOKUP('Données projet'!$B$13,Paramètres!$A$1:$I$89,3,0)*VLOOKUP('Données projet'!$B$13,Paramètres!$A$1:$I$89,5,0)</f>
        <v>6.7938169154018313</v>
      </c>
      <c r="CV14" s="14">
        <f t="shared" si="41"/>
        <v>2.50500070842708</v>
      </c>
      <c r="CW14" s="22">
        <f t="shared" si="13"/>
        <v>16.195440694835355</v>
      </c>
      <c r="CX14" s="62">
        <f t="shared" si="14"/>
        <v>286.30655180594647</v>
      </c>
      <c r="CY14" s="62">
        <f ca="1">AVERAGE(OFFSET($CX$3,0,0,'Données projet'!$E$13+1,1))-AVERAGE(OFFSET($H$3,0,0,'Données projet'!$E$13+1,1))</f>
        <v>349.5718186624772</v>
      </c>
      <c r="CZ14" s="62">
        <f t="shared" si="42"/>
        <v>258.14152930815959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5.8</v>
      </c>
      <c r="DO14" s="13">
        <f>IF('Données projet'!$A$166&gt;35,DO13+DN14-DW13,IF(A14&lt;'Données projet'!$A$166,$DL$205^A14,IF(A14='Données projet'!$A$166,'Données projet'!$B$166,DO13+DN14-DW13)))</f>
        <v>23.8</v>
      </c>
      <c r="DP14" s="18">
        <f>DO14*VLOOKUP('Données projet'!$B$14,Paramètres!$A$1:$I$89,3,0)*VLOOKUP('Données projet'!$B$14,Paramètres!$A$1:$I$89,5,0)</f>
        <v>20.791680000000003</v>
      </c>
      <c r="DQ14" s="14">
        <f t="shared" si="43"/>
        <v>6.7303755760501467</v>
      </c>
      <c r="DR14" s="22">
        <f t="shared" si="16"/>
        <v>47.934246794954014</v>
      </c>
      <c r="DS14" s="62">
        <f t="shared" si="17"/>
        <v>318.04535790606514</v>
      </c>
      <c r="DT14" s="62">
        <f ca="1">AVERAGE(OFFSET($DS$3,0,0,'Données projet'!$E$14+1,1))-AVERAGE(OFFSET($H$3,0,0,'Données projet'!$E$14+1,1))</f>
        <v>300.63505444445104</v>
      </c>
      <c r="DU14" s="62">
        <f t="shared" si="44"/>
        <v>266.32508105927997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10.8</v>
      </c>
      <c r="EJ14" s="13">
        <f>IF('Données projet'!$A$192&gt;35,EJ13+EI14-ER13,IF(A14&lt;'Données projet'!$A$192,$EG$205^A14,IF(A14='Données projet'!$A$192,'Données projet'!$B$192,EJ13+EI14-ER13)))</f>
        <v>21.8</v>
      </c>
      <c r="EK14" s="18">
        <f>EJ14*VLOOKUP('Données projet'!$B$15,Paramètres!$A$1:$I$89,3,0)*VLOOKUP('Données projet'!$B$15,Paramètres!$A$1:$I$89,5,0)</f>
        <v>17.344080000000002</v>
      </c>
      <c r="EL14" s="14">
        <f t="shared" si="45"/>
        <v>5.7341113912136308</v>
      </c>
      <c r="EM14" s="22">
        <f t="shared" si="19"/>
        <v>40.194516673030414</v>
      </c>
      <c r="EN14" s="62">
        <f t="shared" si="20"/>
        <v>310.30562778414156</v>
      </c>
      <c r="EO14" s="62">
        <f ca="1">AVERAGE(OFFSET($EN$3,0,0,'Données projet'!$E$15+1,1))-AVERAGE(OFFSET($H$3,0,0,'Données projet'!$E$15+1,1))</f>
        <v>353.37024194969638</v>
      </c>
      <c r="EP14" s="62">
        <f t="shared" si="46"/>
        <v>345.4750813433123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6.8</v>
      </c>
      <c r="FE14" s="13">
        <f>IF('Données projet'!$A$218&gt;35,FE13+FD14-FM13,IF(A14&lt;'Données projet'!$A$218,$FB$205^A14,IF(A14='Données projet'!$A$218,'Données projet'!$B$218,FE13+FD14-FM13)))</f>
        <v>16.8</v>
      </c>
      <c r="FF14" s="18">
        <f>FE14*VLOOKUP('Données projet'!$B$16,Paramètres!$A$1:$I$89,3,0)*VLOOKUP('Données projet'!$B$16,Paramètres!$A$1:$I$89,5,0)</f>
        <v>11.00736</v>
      </c>
      <c r="FG14" s="14">
        <f t="shared" si="47"/>
        <v>3.8369250365307539</v>
      </c>
      <c r="FH14" s="22">
        <f t="shared" si="22"/>
        <v>25.853796438624396</v>
      </c>
      <c r="FI14" s="62">
        <f t="shared" si="23"/>
        <v>295.96490754973553</v>
      </c>
      <c r="FJ14" s="62">
        <f ca="1">AVERAGE(OFFSET($FI$3,0,0,'Données projet'!$E$16+1,1))-AVERAGE(OFFSET($H$3,0,0,'Données projet'!$E$16+1,1))</f>
        <v>263.30962868541337</v>
      </c>
      <c r="FK14" s="62">
        <f t="shared" si="48"/>
        <v>269.61868559913404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4.5262222222222226</v>
      </c>
      <c r="N15" s="14">
        <f>IF('Données projet'!$A$36&gt;35,N14+M15-V14,IF(A15&lt;'Données projet'!$A$36,$K$205^A15,IF(A15='Données projet'!$A$36,'Données projet'!$B$36,N14+M15-V14)))</f>
        <v>54.314666666666675</v>
      </c>
      <c r="O15" s="14">
        <f>N15*VLOOKUP('Données projet'!$B$9,Paramètres!$A$1:$I$89,3,0)*VLOOKUP('Données projet'!$B$9,Paramètres!$A$1:$I$89,5,0)</f>
        <v>32.480170666666673</v>
      </c>
      <c r="P15" s="14">
        <f t="shared" si="33"/>
        <v>9.9820099175579866</v>
      </c>
      <c r="Q15" s="22">
        <f t="shared" si="2"/>
        <v>73.954964517524616</v>
      </c>
      <c r="R15" s="62">
        <f t="shared" si="0"/>
        <v>345.28829785085793</v>
      </c>
      <c r="S15" s="62">
        <f ca="1">AVERAGE(OFFSET($R$3,0,0,'Données projet'!$E$9+1,1))-AVERAGE(OFFSET($H$3,0,0,'Données projet'!$E$9+1,1))</f>
        <v>262.06511368698341</v>
      </c>
      <c r="T15" s="62">
        <f t="shared" si="34"/>
        <v>217.15709240080542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6.3325490196078427</v>
      </c>
      <c r="AI15" s="14">
        <f>IF('Données projet'!$A$62&gt;35,AI14+AH15-AQ14,IF(A15&lt;'Données projet'!$A$62,$AF$205^A15,IF(A15='Données projet'!$A$62,'Données projet'!$B$62,AI14+AH15-AQ14)))</f>
        <v>75.990588235294098</v>
      </c>
      <c r="AJ15" s="14">
        <f>AI15*VLOOKUP('Données projet'!$B$10,Paramètres!$A$1:$I$89,3,0)*VLOOKUP('Données projet'!$B$10,Paramètres!$A$1:$I$89,5,0)</f>
        <v>35.56359529411764</v>
      </c>
      <c r="AK15" s="14">
        <f t="shared" si="35"/>
        <v>10.814854116492235</v>
      </c>
      <c r="AL15" s="22">
        <f t="shared" si="4"/>
        <v>80.775799390145536</v>
      </c>
      <c r="AM15" s="62">
        <f t="shared" si="5"/>
        <v>352.10913272347887</v>
      </c>
      <c r="AN15" s="62">
        <f ca="1">AVERAGE(OFFSET($AM$3,0,0,'Données projet'!$E$10+1,1))-AVERAGE(OFFSET($H$3,0,0,'Données projet'!$E$10+1,1))</f>
        <v>287.83167869616227</v>
      </c>
      <c r="AO15" s="62">
        <f t="shared" si="36"/>
        <v>233.84231920589906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79</v>
      </c>
      <c r="BB15" s="13">
        <f>VLOOKUP(A15,'Données projet'!$A$87:$I$107,9,0)</f>
        <v>6.583333333333333</v>
      </c>
      <c r="BC15" s="13">
        <f t="array" ref="BC15">INDEX(BB:BB,MIN(IF(ISNUMBER(BB15:BB211),ROW(BB15:BB211),"")))</f>
        <v>6.583333333333333</v>
      </c>
      <c r="BD15" s="13">
        <f>IF('Données projet'!$A$88&gt;35,BD14+BC15-BL14,IF(A15&lt;'Données projet'!$A$88,$BA$205^A15,IF(A15='Données projet'!$A$88,'Données projet'!$B$88,BD14+BC15-BL14)))</f>
        <v>79</v>
      </c>
      <c r="BE15" s="14">
        <f>BD15*VLOOKUP('Données projet'!$B$11,Paramètres!$A$1:$I$89,3,0)*VLOOKUP('Données projet'!$B$11,Paramètres!$A$1:$I$89,5,0)</f>
        <v>49.296000000000006</v>
      </c>
      <c r="BF15" s="14">
        <f t="shared" si="37"/>
        <v>14.431798820797194</v>
      </c>
      <c r="BG15" s="22">
        <f t="shared" si="7"/>
        <v>110.99258294622179</v>
      </c>
      <c r="BH15" s="62">
        <f t="shared" si="8"/>
        <v>382.32591627955509</v>
      </c>
      <c r="BI15" s="62">
        <f ca="1">AVERAGE(OFFSET($BH$3,0,0,'Données projet'!$E$11+1,1))-AVERAGE(OFFSET($H$3,0,0,'Données projet'!$E$11+1,1))</f>
        <v>262.36903350767881</v>
      </c>
      <c r="BJ15" s="62">
        <f t="shared" si="38"/>
        <v>331.21009482262417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14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0.33600000000000002</v>
      </c>
      <c r="BO15" s="17">
        <f>IF(ISNA(VLOOKUP(A15,'Données projet'!$A$87:$I$107,7,0)),0%,VLOOKUP(A15,'Données projet'!$A$87:$I$107,7,0))</f>
        <v>0.44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3.8785277318963658</v>
      </c>
      <c r="BR15" s="23">
        <f>EXP(-LN(2)/2)*BR14+(1-EXP(-LN(2)/2))/(LN(2)/2)*BL15*BO15*VLOOKUP('Données projet'!$B$11,Paramètres!$A$1:$I$89,3,0)*0.475*44/12</f>
        <v>4.352119794524131</v>
      </c>
      <c r="BS15" s="24">
        <f t="shared" si="9"/>
        <v>8.2306475264204977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3.887142857142857</v>
      </c>
      <c r="BY15" s="13">
        <f>IF('Données projet'!$A$114&gt;35,BY14+BX15-CG14,IF(A15&lt;'Données projet'!$A$114,$BV$205^A15,IF(A15='Données projet'!$A$114,'Données projet'!$B$114,BY14+BX15-CG14)))</f>
        <v>46.64571428571427</v>
      </c>
      <c r="BZ15" s="14">
        <f>BY15*VLOOKUP('Données projet'!$B$12,Paramètres!$A$1:$I$89,3,0)*VLOOKUP('Données projet'!$B$12,Paramètres!$A$1:$I$89,5,0)</f>
        <v>45.115734857142847</v>
      </c>
      <c r="CA15" s="14">
        <f t="shared" si="39"/>
        <v>13.344930526032003</v>
      </c>
      <c r="CB15" s="22">
        <f t="shared" si="10"/>
        <v>101.81899220902953</v>
      </c>
      <c r="CC15" s="62">
        <f t="shared" si="11"/>
        <v>373.15232554236286</v>
      </c>
      <c r="CD15" s="62">
        <f ca="1">AVERAGE(OFFSET($CC$3,0,0,'Données projet'!$E$12+1,1))-AVERAGE(OFFSET($H$3,0,0,'Données projet'!$E$12+1,1))</f>
        <v>618.83149423524605</v>
      </c>
      <c r="CE15" s="62">
        <f t="shared" si="40"/>
        <v>285.33582535802435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5.8668181818181813</v>
      </c>
      <c r="CT15" s="13">
        <f>IF('Données projet'!$A$140&gt;35,CT14+CS15-DB14,IF(A15&lt;'Données projet'!$A$140,$CQ$205^A15,IF(A15='Données projet'!$A$140,'Données projet'!$B$140,CT14+CS15-DB14)))</f>
        <v>14.169654470507195</v>
      </c>
      <c r="CU15" s="18">
        <f>CT15*VLOOKUP('Données projet'!$B$13,Paramètres!$A$1:$I$89,3,0)*VLOOKUP('Données projet'!$B$13,Paramètres!$A$1:$I$89,5,0)</f>
        <v>8.4734533733633022</v>
      </c>
      <c r="CV15" s="14">
        <f t="shared" si="41"/>
        <v>3.044992822013763</v>
      </c>
      <c r="CW15" s="22">
        <f t="shared" si="13"/>
        <v>20.06129379028172</v>
      </c>
      <c r="CX15" s="62">
        <f t="shared" si="14"/>
        <v>291.39462712361501</v>
      </c>
      <c r="CY15" s="62">
        <f ca="1">AVERAGE(OFFSET($CX$3,0,0,'Données projet'!$E$13+1,1))-AVERAGE(OFFSET($H$3,0,0,'Données projet'!$E$13+1,1))</f>
        <v>349.5718186624772</v>
      </c>
      <c r="CZ15" s="62">
        <f t="shared" si="42"/>
        <v>258.14152930815959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5.8</v>
      </c>
      <c r="DO15" s="13">
        <f>IF('Données projet'!$A$166&gt;35,DO14+DN15-DW14,IF(A15&lt;'Données projet'!$A$166,$DL$205^A15,IF(A15='Données projet'!$A$166,'Données projet'!$B$166,DO14+DN15-DW14)))</f>
        <v>29.6</v>
      </c>
      <c r="DP15" s="18">
        <f>DO15*VLOOKUP('Données projet'!$B$14,Paramètres!$A$1:$I$89,3,0)*VLOOKUP('Données projet'!$B$14,Paramètres!$A$1:$I$89,5,0)</f>
        <v>25.858560000000008</v>
      </c>
      <c r="DQ15" s="14">
        <f t="shared" si="43"/>
        <v>8.1607346448714608</v>
      </c>
      <c r="DR15" s="22">
        <f t="shared" si="16"/>
        <v>59.250271506484466</v>
      </c>
      <c r="DS15" s="62">
        <f t="shared" si="17"/>
        <v>330.58360483981778</v>
      </c>
      <c r="DT15" s="62">
        <f ca="1">AVERAGE(OFFSET($DS$3,0,0,'Données projet'!$E$14+1,1))-AVERAGE(OFFSET($H$3,0,0,'Données projet'!$E$14+1,1))</f>
        <v>300.63505444445104</v>
      </c>
      <c r="DU15" s="62">
        <f t="shared" si="44"/>
        <v>266.32508105927997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10.8</v>
      </c>
      <c r="EJ15" s="13">
        <f>IF('Données projet'!$A$192&gt;35,EJ14+EI15-ER14,IF(A15&lt;'Données projet'!$A$192,$EG$205^A15,IF(A15='Données projet'!$A$192,'Données projet'!$B$192,EJ14+EI15-ER14)))</f>
        <v>32.6</v>
      </c>
      <c r="EK15" s="18">
        <f>EJ15*VLOOKUP('Données projet'!$B$15,Paramètres!$A$1:$I$89,3,0)*VLOOKUP('Données projet'!$B$15,Paramètres!$A$1:$I$89,5,0)</f>
        <v>25.936560000000004</v>
      </c>
      <c r="EL15" s="14">
        <f t="shared" si="45"/>
        <v>8.1824816304360635</v>
      </c>
      <c r="EM15" s="22">
        <f t="shared" si="19"/>
        <v>59.423997506342801</v>
      </c>
      <c r="EN15" s="62">
        <f t="shared" si="20"/>
        <v>330.75733083967611</v>
      </c>
      <c r="EO15" s="62">
        <f ca="1">AVERAGE(OFFSET($EN$3,0,0,'Données projet'!$E$15+1,1))-AVERAGE(OFFSET($H$3,0,0,'Données projet'!$E$15+1,1))</f>
        <v>353.37024194969638</v>
      </c>
      <c r="EP15" s="62">
        <f t="shared" si="46"/>
        <v>345.4750813433123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6.8</v>
      </c>
      <c r="FE15" s="13">
        <f>IF('Données projet'!$A$218&gt;35,FE14+FD15-FM14,IF(A15&lt;'Données projet'!$A$218,$FB$205^A15,IF(A15='Données projet'!$A$218,'Données projet'!$B$218,FE14+FD15-FM14)))</f>
        <v>23.6</v>
      </c>
      <c r="FF15" s="18">
        <f>FE15*VLOOKUP('Données projet'!$B$16,Paramètres!$A$1:$I$89,3,0)*VLOOKUP('Données projet'!$B$16,Paramètres!$A$1:$I$89,5,0)</f>
        <v>15.462720000000001</v>
      </c>
      <c r="FG15" s="14">
        <f t="shared" si="47"/>
        <v>5.1808984376512361</v>
      </c>
      <c r="FH15" s="22">
        <f t="shared" si="22"/>
        <v>35.954302112242566</v>
      </c>
      <c r="FI15" s="62">
        <f t="shared" si="23"/>
        <v>307.28763544557586</v>
      </c>
      <c r="FJ15" s="62">
        <f ca="1">AVERAGE(OFFSET($FI$3,0,0,'Données projet'!$E$16+1,1))-AVERAGE(OFFSET($H$3,0,0,'Données projet'!$E$16+1,1))</f>
        <v>263.30962868541337</v>
      </c>
      <c r="FK15" s="62">
        <f t="shared" si="48"/>
        <v>269.61868559913404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4.5262222222222226</v>
      </c>
      <c r="N16" s="14">
        <f>IF('Données projet'!$A$36&gt;35,N15+M16-V15,IF(A16&lt;'Données projet'!$A$36,$K$205^A16,IF(A16='Données projet'!$A$36,'Données projet'!$B$36,N15+M16-V15)))</f>
        <v>58.840888888888898</v>
      </c>
      <c r="O16" s="14">
        <f>N16*VLOOKUP('Données projet'!$B$9,Paramètres!$A$1:$I$89,3,0)*VLOOKUP('Données projet'!$B$9,Paramètres!$A$1:$I$89,5,0)</f>
        <v>35.186851555555563</v>
      </c>
      <c r="P16" s="14">
        <f t="shared" si="33"/>
        <v>10.713559702567803</v>
      </c>
      <c r="Q16" s="22">
        <f t="shared" si="2"/>
        <v>79.943216274564875</v>
      </c>
      <c r="R16" s="62">
        <f t="shared" si="0"/>
        <v>352.4987718301204</v>
      </c>
      <c r="S16" s="62">
        <f ca="1">AVERAGE(OFFSET($R$3,0,0,'Données projet'!$E$9+1,1))-AVERAGE(OFFSET($H$3,0,0,'Données projet'!$E$9+1,1))</f>
        <v>262.06511368698341</v>
      </c>
      <c r="T16" s="62">
        <f t="shared" si="34"/>
        <v>217.15709240080542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6.3325490196078427</v>
      </c>
      <c r="AI16" s="14">
        <f>IF('Données projet'!$A$62&gt;35,AI15+AH16-AQ15,IF(A16&lt;'Données projet'!$A$62,$AF$205^A16,IF(A16='Données projet'!$A$62,'Données projet'!$B$62,AI15+AH16-AQ15)))</f>
        <v>82.323137254901937</v>
      </c>
      <c r="AJ16" s="14">
        <f>AI16*VLOOKUP('Données projet'!$B$10,Paramètres!$A$1:$I$89,3,0)*VLOOKUP('Données projet'!$B$10,Paramètres!$A$1:$I$89,5,0)</f>
        <v>38.527228235294103</v>
      </c>
      <c r="AK16" s="14">
        <f t="shared" si="35"/>
        <v>11.607440406144804</v>
      </c>
      <c r="AL16" s="22">
        <f t="shared" si="4"/>
        <v>87.317881217172769</v>
      </c>
      <c r="AM16" s="62">
        <f t="shared" si="5"/>
        <v>359.87343677272833</v>
      </c>
      <c r="AN16" s="62">
        <f ca="1">AVERAGE(OFFSET($AM$3,0,0,'Données projet'!$E$10+1,1))-AVERAGE(OFFSET($H$3,0,0,'Données projet'!$E$10+1,1))</f>
        <v>287.83167869616227</v>
      </c>
      <c r="AO16" s="62">
        <f t="shared" si="36"/>
        <v>233.84231920589906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17.833333333333332</v>
      </c>
      <c r="BD16" s="13">
        <f>IF('Données projet'!$A$88&gt;35,BD15+BC16-BL15,IF(A16&lt;'Données projet'!$A$88,$BA$205^A16,IF(A16='Données projet'!$A$88,'Données projet'!$B$88,BD15+BC16-BL15)))</f>
        <v>82.833333333333329</v>
      </c>
      <c r="BE16" s="14">
        <f>BD16*VLOOKUP('Données projet'!$B$11,Paramètres!$A$1:$I$89,3,0)*VLOOKUP('Données projet'!$B$11,Paramètres!$A$1:$I$89,5,0)</f>
        <v>51.688000000000002</v>
      </c>
      <c r="BF16" s="14">
        <f t="shared" si="37"/>
        <v>15.048847061207777</v>
      </c>
      <c r="BG16" s="22">
        <f t="shared" si="7"/>
        <v>116.23334196493688</v>
      </c>
      <c r="BH16" s="62">
        <f t="shared" si="8"/>
        <v>388.78889752049241</v>
      </c>
      <c r="BI16" s="62">
        <f ca="1">AVERAGE(OFFSET($BH$3,0,0,'Données projet'!$E$11+1,1))-AVERAGE(OFFSET($H$3,0,0,'Données projet'!$E$11+1,1))</f>
        <v>262.36903350767881</v>
      </c>
      <c r="BJ16" s="62">
        <f t="shared" si="38"/>
        <v>331.21009482262417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3.7724691871047509</v>
      </c>
      <c r="BR16" s="23">
        <f>EXP(-LN(2)/2)*BR15+(1-EXP(-LN(2)/2))/(LN(2)/2)*BL16*BO16*VLOOKUP('Données projet'!$B$11,Paramètres!$A$1:$I$89,3,0)*0.475*44/12</f>
        <v>3.0774134192442171</v>
      </c>
      <c r="BS16" s="24">
        <f t="shared" si="9"/>
        <v>6.8498826063489684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3.887142857142857</v>
      </c>
      <c r="BY16" s="13">
        <f>IF('Données projet'!$A$114&gt;35,BY15+BX16-CG15,IF(A16&lt;'Données projet'!$A$114,$BV$205^A16,IF(A16='Données projet'!$A$114,'Données projet'!$B$114,BY15+BX16-CG15)))</f>
        <v>50.532857142857125</v>
      </c>
      <c r="BZ16" s="14">
        <f>BY16*VLOOKUP('Données projet'!$B$12,Paramètres!$A$1:$I$89,3,0)*VLOOKUP('Données projet'!$B$12,Paramètres!$A$1:$I$89,5,0)</f>
        <v>48.875379428571414</v>
      </c>
      <c r="CA16" s="14">
        <f t="shared" si="39"/>
        <v>14.322938075405181</v>
      </c>
      <c r="CB16" s="22">
        <f t="shared" si="10"/>
        <v>110.07040298609256</v>
      </c>
      <c r="CC16" s="62">
        <f t="shared" si="11"/>
        <v>382.62595854164812</v>
      </c>
      <c r="CD16" s="62">
        <f ca="1">AVERAGE(OFFSET($CC$3,0,0,'Données projet'!$E$12+1,1))-AVERAGE(OFFSET($H$3,0,0,'Données projet'!$E$12+1,1))</f>
        <v>618.83149423524605</v>
      </c>
      <c r="CE16" s="62">
        <f t="shared" si="40"/>
        <v>285.33582535802435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5.8668181818181813</v>
      </c>
      <c r="CT16" s="13">
        <f>IF('Données projet'!$A$140&gt;35,CT15+CS16-DB15,IF(A16&lt;'Données projet'!$A$140,$CQ$205^A16,IF(A16='Données projet'!$A$140,'Données projet'!$B$140,CT15+CS16-DB15)))</f>
        <v>17.672820443588613</v>
      </c>
      <c r="CU16" s="18">
        <f>CT16*VLOOKUP('Données projet'!$B$13,Paramètres!$A$1:$I$89,3,0)*VLOOKUP('Données projet'!$B$13,Paramètres!$A$1:$I$89,5,0)</f>
        <v>10.56834662526599</v>
      </c>
      <c r="CV16" s="14">
        <f t="shared" si="41"/>
        <v>3.7013886882041378</v>
      </c>
      <c r="CW16" s="22">
        <f t="shared" si="13"/>
        <v>24.853122337627141</v>
      </c>
      <c r="CX16" s="62">
        <f t="shared" si="14"/>
        <v>297.4086778931827</v>
      </c>
      <c r="CY16" s="62">
        <f ca="1">AVERAGE(OFFSET($CX$3,0,0,'Données projet'!$E$13+1,1))-AVERAGE(OFFSET($H$3,0,0,'Données projet'!$E$13+1,1))</f>
        <v>349.5718186624772</v>
      </c>
      <c r="CZ16" s="62">
        <f t="shared" si="42"/>
        <v>258.14152930815959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5.8</v>
      </c>
      <c r="DO16" s="13">
        <f>IF('Données projet'!$A$166&gt;35,DO15+DN16-DW15,IF(A16&lt;'Données projet'!$A$166,$DL$205^A16,IF(A16='Données projet'!$A$166,'Données projet'!$B$166,DO15+DN16-DW15)))</f>
        <v>35.4</v>
      </c>
      <c r="DP16" s="18">
        <f>DO16*VLOOKUP('Données projet'!$B$14,Paramètres!$A$1:$I$89,3,0)*VLOOKUP('Données projet'!$B$14,Paramètres!$A$1:$I$89,5,0)</f>
        <v>30.925440000000002</v>
      </c>
      <c r="DQ16" s="14">
        <f t="shared" si="43"/>
        <v>9.5586196975402125</v>
      </c>
      <c r="DR16" s="22">
        <f t="shared" si="16"/>
        <v>70.509737306549212</v>
      </c>
      <c r="DS16" s="62">
        <f t="shared" si="17"/>
        <v>343.06529286210474</v>
      </c>
      <c r="DT16" s="62">
        <f ca="1">AVERAGE(OFFSET($DS$3,0,0,'Données projet'!$E$14+1,1))-AVERAGE(OFFSET($H$3,0,0,'Données projet'!$E$14+1,1))</f>
        <v>300.63505444445104</v>
      </c>
      <c r="DU16" s="62">
        <f t="shared" si="44"/>
        <v>266.32508105927997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10.8</v>
      </c>
      <c r="EJ16" s="13">
        <f>IF('Données projet'!$A$192&gt;35,EJ15+EI16-ER15,IF(A16&lt;'Données projet'!$A$192,$EG$205^A16,IF(A16='Données projet'!$A$192,'Données projet'!$B$192,EJ15+EI16-ER15)))</f>
        <v>43.400000000000006</v>
      </c>
      <c r="EK16" s="18">
        <f>EJ16*VLOOKUP('Données projet'!$B$15,Paramètres!$A$1:$I$89,3,0)*VLOOKUP('Données projet'!$B$15,Paramètres!$A$1:$I$89,5,0)</f>
        <v>34.529040000000009</v>
      </c>
      <c r="EL16" s="14">
        <f t="shared" si="45"/>
        <v>10.536391336679102</v>
      </c>
      <c r="EM16" s="22">
        <f t="shared" si="19"/>
        <v>78.488959578049446</v>
      </c>
      <c r="EN16" s="62">
        <f t="shared" si="20"/>
        <v>351.04451513360499</v>
      </c>
      <c r="EO16" s="62">
        <f ca="1">AVERAGE(OFFSET($EN$3,0,0,'Données projet'!$E$15+1,1))-AVERAGE(OFFSET($H$3,0,0,'Données projet'!$E$15+1,1))</f>
        <v>353.37024194969638</v>
      </c>
      <c r="EP16" s="62">
        <f t="shared" si="46"/>
        <v>345.4750813433123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6.8</v>
      </c>
      <c r="FE16" s="13">
        <f>IF('Données projet'!$A$218&gt;35,FE15+FD16-FM15,IF(A16&lt;'Données projet'!$A$218,$FB$205^A16,IF(A16='Données projet'!$A$218,'Données projet'!$B$218,FE15+FD16-FM15)))</f>
        <v>30.400000000000002</v>
      </c>
      <c r="FF16" s="18">
        <f>FE16*VLOOKUP('Données projet'!$B$16,Paramètres!$A$1:$I$89,3,0)*VLOOKUP('Données projet'!$B$16,Paramètres!$A$1:$I$89,5,0)</f>
        <v>19.918080000000003</v>
      </c>
      <c r="FG16" s="14">
        <f t="shared" si="47"/>
        <v>6.4798825087607046</v>
      </c>
      <c r="FH16" s="22">
        <f t="shared" si="22"/>
        <v>45.976451369424893</v>
      </c>
      <c r="FI16" s="62">
        <f t="shared" si="23"/>
        <v>318.53200692498046</v>
      </c>
      <c r="FJ16" s="62">
        <f ca="1">AVERAGE(OFFSET($FI$3,0,0,'Données projet'!$E$16+1,1))-AVERAGE(OFFSET($H$3,0,0,'Données projet'!$E$16+1,1))</f>
        <v>263.30962868541337</v>
      </c>
      <c r="FK16" s="62">
        <f t="shared" si="48"/>
        <v>269.61868559913404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4.5262222222222226</v>
      </c>
      <c r="N17" s="14">
        <f>IF('Données projet'!$A$36&gt;35,N16+M17-V16,IF(A17&lt;'Données projet'!$A$36,$K$205^A17,IF(A17='Données projet'!$A$36,'Données projet'!$B$36,N16+M17-V16)))</f>
        <v>63.367111111111122</v>
      </c>
      <c r="O17" s="14">
        <f>N17*VLOOKUP('Données projet'!$B$9,Paramètres!$A$1:$I$89,3,0)*VLOOKUP('Données projet'!$B$9,Paramètres!$A$1:$I$89,5,0)</f>
        <v>37.893532444444453</v>
      </c>
      <c r="P17" s="14">
        <f t="shared" si="33"/>
        <v>11.43858174910995</v>
      </c>
      <c r="Q17" s="22">
        <f t="shared" si="2"/>
        <v>85.920098887107244</v>
      </c>
      <c r="R17" s="62">
        <f t="shared" si="0"/>
        <v>359.69787666488503</v>
      </c>
      <c r="S17" s="62">
        <f ca="1">AVERAGE(OFFSET($R$3,0,0,'Données projet'!$E$9+1,1))-AVERAGE(OFFSET($H$3,0,0,'Données projet'!$E$9+1,1))</f>
        <v>262.06511368698341</v>
      </c>
      <c r="T17" s="62">
        <f t="shared" si="34"/>
        <v>217.15709240080542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6.3325490196078427</v>
      </c>
      <c r="AI17" s="14">
        <f>IF('Données projet'!$A$62&gt;35,AI16+AH17-AQ16,IF(A17&lt;'Données projet'!$A$62,$AF$205^A17,IF(A17='Données projet'!$A$62,'Données projet'!$B$62,AI16+AH17-AQ16)))</f>
        <v>88.655686274509776</v>
      </c>
      <c r="AJ17" s="14">
        <f>AI17*VLOOKUP('Données projet'!$B$10,Paramètres!$A$1:$I$89,3,0)*VLOOKUP('Données projet'!$B$10,Paramètres!$A$1:$I$89,5,0)</f>
        <v>41.490861176470574</v>
      </c>
      <c r="AK17" s="14">
        <f t="shared" si="35"/>
        <v>12.392954318608655</v>
      </c>
      <c r="AL17" s="22">
        <f t="shared" si="4"/>
        <v>93.847645320596328</v>
      </c>
      <c r="AM17" s="62">
        <f t="shared" si="5"/>
        <v>367.62542309837409</v>
      </c>
      <c r="AN17" s="62">
        <f ca="1">AVERAGE(OFFSET($AM$3,0,0,'Données projet'!$E$10+1,1))-AVERAGE(OFFSET($H$3,0,0,'Données projet'!$E$10+1,1))</f>
        <v>287.83167869616227</v>
      </c>
      <c r="AO17" s="62">
        <f t="shared" si="36"/>
        <v>233.84231920589906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17.833333333333332</v>
      </c>
      <c r="BD17" s="13">
        <f>IF('Données projet'!$A$88&gt;35,BD16+BC17-BL16,IF(A17&lt;'Données projet'!$A$88,$BA$205^A17,IF(A17='Données projet'!$A$88,'Données projet'!$B$88,BD16+BC17-BL16)))</f>
        <v>100.66666666666666</v>
      </c>
      <c r="BE17" s="14">
        <f>BD17*VLOOKUP('Données projet'!$B$11,Paramètres!$A$1:$I$89,3,0)*VLOOKUP('Données projet'!$B$11,Paramètres!$A$1:$I$89,5,0)</f>
        <v>62.815999999999995</v>
      </c>
      <c r="BF17" s="14">
        <f t="shared" si="37"/>
        <v>17.878330542286516</v>
      </c>
      <c r="BG17" s="22">
        <f t="shared" si="7"/>
        <v>140.54262569448233</v>
      </c>
      <c r="BH17" s="62">
        <f t="shared" si="8"/>
        <v>414.32040347226007</v>
      </c>
      <c r="BI17" s="62">
        <f ca="1">AVERAGE(OFFSET($BH$3,0,0,'Données projet'!$E$11+1,1))-AVERAGE(OFFSET($H$3,0,0,'Données projet'!$E$11+1,1))</f>
        <v>262.36903350767881</v>
      </c>
      <c r="BJ17" s="62">
        <f t="shared" si="38"/>
        <v>331.21009482262417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3.6693108187978392</v>
      </c>
      <c r="BR17" s="23">
        <f>EXP(-LN(2)/2)*BR16+(1-EXP(-LN(2)/2))/(LN(2)/2)*BL17*BO17*VLOOKUP('Données projet'!$B$11,Paramètres!$A$1:$I$89,3,0)*0.475*44/12</f>
        <v>2.1760598972620659</v>
      </c>
      <c r="BS17" s="24">
        <f t="shared" si="9"/>
        <v>5.8453707160599055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3.887142857142857</v>
      </c>
      <c r="BY17" s="13">
        <f>IF('Données projet'!$A$114&gt;35,BY16+BX17-CG16,IF(A17&lt;'Données projet'!$A$114,$BV$205^A17,IF(A17='Données projet'!$A$114,'Données projet'!$B$114,BY16+BX17-CG16)))</f>
        <v>54.41999999999998</v>
      </c>
      <c r="BZ17" s="14">
        <f>BY17*VLOOKUP('Données projet'!$B$12,Paramètres!$A$1:$I$89,3,0)*VLOOKUP('Données projet'!$B$12,Paramètres!$A$1:$I$89,5,0)</f>
        <v>52.63502399999998</v>
      </c>
      <c r="CA17" s="14">
        <f t="shared" si="39"/>
        <v>15.292218703340431</v>
      </c>
      <c r="CB17" s="22">
        <f t="shared" si="10"/>
        <v>118.30661437498453</v>
      </c>
      <c r="CC17" s="62">
        <f t="shared" si="11"/>
        <v>392.08439215276229</v>
      </c>
      <c r="CD17" s="62">
        <f ca="1">AVERAGE(OFFSET($CC$3,0,0,'Données projet'!$E$12+1,1))-AVERAGE(OFFSET($H$3,0,0,'Données projet'!$E$12+1,1))</f>
        <v>618.83149423524605</v>
      </c>
      <c r="CE17" s="62">
        <f t="shared" si="40"/>
        <v>285.33582535802435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5.8668181818181813</v>
      </c>
      <c r="CT17" s="13">
        <f>IF('Données projet'!$A$140&gt;35,CT16+CS17-DB16,IF(A17&lt;'Données projet'!$A$140,$CQ$205^A17,IF(A17='Données projet'!$A$140,'Données projet'!$B$140,CT16+CS17-DB16)))</f>
        <v>22.042074708413409</v>
      </c>
      <c r="CU17" s="18">
        <f>CT17*VLOOKUP('Données projet'!$B$13,Paramètres!$A$1:$I$89,3,0)*VLOOKUP('Données projet'!$B$13,Paramètres!$A$1:$I$89,5,0)</f>
        <v>13.181160675631221</v>
      </c>
      <c r="CV17" s="14">
        <f t="shared" si="41"/>
        <v>4.4992809579449391</v>
      </c>
      <c r="CW17" s="22">
        <f t="shared" si="13"/>
        <v>30.793435845145144</v>
      </c>
      <c r="CX17" s="62">
        <f t="shared" si="14"/>
        <v>304.57121362292293</v>
      </c>
      <c r="CY17" s="62">
        <f ca="1">AVERAGE(OFFSET($CX$3,0,0,'Données projet'!$E$13+1,1))-AVERAGE(OFFSET($H$3,0,0,'Données projet'!$E$13+1,1))</f>
        <v>349.5718186624772</v>
      </c>
      <c r="CZ17" s="62">
        <f t="shared" si="42"/>
        <v>258.14152930815959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5.8</v>
      </c>
      <c r="DO17" s="13">
        <f>IF('Données projet'!$A$166&gt;35,DO16+DN17-DW16,IF(A17&lt;'Données projet'!$A$166,$DL$205^A17,IF(A17='Données projet'!$A$166,'Données projet'!$B$166,DO16+DN17-DW16)))</f>
        <v>41.199999999999996</v>
      </c>
      <c r="DP17" s="18">
        <f>DO17*VLOOKUP('Données projet'!$B$14,Paramètres!$A$1:$I$89,3,0)*VLOOKUP('Données projet'!$B$14,Paramètres!$A$1:$I$89,5,0)</f>
        <v>35.992319999999999</v>
      </c>
      <c r="DQ17" s="14">
        <f t="shared" si="43"/>
        <v>10.929972788578748</v>
      </c>
      <c r="DR17" s="22">
        <f t="shared" si="16"/>
        <v>81.722993273441304</v>
      </c>
      <c r="DS17" s="62">
        <f t="shared" si="17"/>
        <v>355.50077105121909</v>
      </c>
      <c r="DT17" s="62">
        <f ca="1">AVERAGE(OFFSET($DS$3,0,0,'Données projet'!$E$14+1,1))-AVERAGE(OFFSET($H$3,0,0,'Données projet'!$E$14+1,1))</f>
        <v>300.63505444445104</v>
      </c>
      <c r="DU17" s="62">
        <f t="shared" si="44"/>
        <v>266.32508105927997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10.8</v>
      </c>
      <c r="EJ17" s="13">
        <f>IF('Données projet'!$A$192&gt;35,EJ16+EI17-ER16,IF(A17&lt;'Données projet'!$A$192,$EG$205^A17,IF(A17='Données projet'!$A$192,'Données projet'!$B$192,EJ16+EI17-ER16)))</f>
        <v>54.2</v>
      </c>
      <c r="EK17" s="18">
        <f>EJ17*VLOOKUP('Données projet'!$B$15,Paramètres!$A$1:$I$89,3,0)*VLOOKUP('Données projet'!$B$15,Paramètres!$A$1:$I$89,5,0)</f>
        <v>43.121520000000004</v>
      </c>
      <c r="EL17" s="14">
        <f t="shared" si="45"/>
        <v>12.822353245070515</v>
      </c>
      <c r="EM17" s="22">
        <f t="shared" si="19"/>
        <v>97.435579235164482</v>
      </c>
      <c r="EN17" s="62">
        <f t="shared" si="20"/>
        <v>371.21335701294225</v>
      </c>
      <c r="EO17" s="62">
        <f ca="1">AVERAGE(OFFSET($EN$3,0,0,'Données projet'!$E$15+1,1))-AVERAGE(OFFSET($H$3,0,0,'Données projet'!$E$15+1,1))</f>
        <v>353.37024194969638</v>
      </c>
      <c r="EP17" s="62">
        <f t="shared" si="46"/>
        <v>345.4750813433123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6.8</v>
      </c>
      <c r="FE17" s="13">
        <f>IF('Données projet'!$A$218&gt;35,FE16+FD17-FM16,IF(A17&lt;'Données projet'!$A$218,$FB$205^A17,IF(A17='Données projet'!$A$218,'Données projet'!$B$218,FE16+FD17-FM16)))</f>
        <v>37.200000000000003</v>
      </c>
      <c r="FF17" s="18">
        <f>FE17*VLOOKUP('Données projet'!$B$16,Paramètres!$A$1:$I$89,3,0)*VLOOKUP('Données projet'!$B$16,Paramètres!$A$1:$I$89,5,0)</f>
        <v>24.373440000000002</v>
      </c>
      <c r="FG17" s="14">
        <f t="shared" si="47"/>
        <v>7.7451846247230876</v>
      </c>
      <c r="FH17" s="22">
        <f t="shared" si="22"/>
        <v>55.939937888059376</v>
      </c>
      <c r="FI17" s="62">
        <f t="shared" si="23"/>
        <v>329.71771566583715</v>
      </c>
      <c r="FJ17" s="62">
        <f ca="1">AVERAGE(OFFSET($FI$3,0,0,'Données projet'!$E$16+1,1))-AVERAGE(OFFSET($H$3,0,0,'Données projet'!$E$16+1,1))</f>
        <v>263.30962868541337</v>
      </c>
      <c r="FK17" s="62">
        <f t="shared" si="48"/>
        <v>269.61868559913404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4.5262222222222226</v>
      </c>
      <c r="N18" s="14">
        <f>IF('Données projet'!$A$36&gt;35,N17+M18-V17,IF(A18&lt;'Données projet'!$A$36,$K$205^A18,IF(A18='Données projet'!$A$36,'Données projet'!$B$36,N17+M18-V17)))</f>
        <v>67.893333333333345</v>
      </c>
      <c r="O18" s="14">
        <f>N18*VLOOKUP('Données projet'!$B$9,Paramètres!$A$1:$I$89,3,0)*VLOOKUP('Données projet'!$B$9,Paramètres!$A$1:$I$89,5,0)</f>
        <v>40.600213333333343</v>
      </c>
      <c r="P18" s="14">
        <f t="shared" si="33"/>
        <v>12.157595354522108</v>
      </c>
      <c r="Q18" s="22">
        <f t="shared" si="2"/>
        <v>91.88651679801491</v>
      </c>
      <c r="R18" s="62">
        <f t="shared" si="0"/>
        <v>366.8865167980149</v>
      </c>
      <c r="S18" s="62">
        <f ca="1">AVERAGE(OFFSET($R$3,0,0,'Données projet'!$E$9+1,1))-AVERAGE(OFFSET($H$3,0,0,'Données projet'!$E$9+1,1))</f>
        <v>262.06511368698341</v>
      </c>
      <c r="T18" s="62">
        <f t="shared" si="34"/>
        <v>217.15709240080542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6.3325490196078427</v>
      </c>
      <c r="AI18" s="14">
        <f>IF('Données projet'!$A$62&gt;35,AI17+AH18-AQ17,IF(A18&lt;'Données projet'!$A$62,$AF$205^A18,IF(A18='Données projet'!$A$62,'Données projet'!$B$62,AI17+AH18-AQ17)))</f>
        <v>94.988235294117615</v>
      </c>
      <c r="AJ18" s="14">
        <f>AI18*VLOOKUP('Données projet'!$B$10,Paramètres!$A$1:$I$89,3,0)*VLOOKUP('Données projet'!$B$10,Paramètres!$A$1:$I$89,5,0)</f>
        <v>44.454494117647045</v>
      </c>
      <c r="AK18" s="14">
        <f t="shared" si="35"/>
        <v>13.171958478545204</v>
      </c>
      <c r="AL18" s="22">
        <f t="shared" si="4"/>
        <v>100.36607160503483</v>
      </c>
      <c r="AM18" s="62">
        <f t="shared" si="5"/>
        <v>375.36607160503485</v>
      </c>
      <c r="AN18" s="62">
        <f ca="1">AVERAGE(OFFSET($AM$3,0,0,'Données projet'!$E$10+1,1))-AVERAGE(OFFSET($H$3,0,0,'Données projet'!$E$10+1,1))</f>
        <v>287.83167869616227</v>
      </c>
      <c r="AO18" s="62">
        <f t="shared" si="36"/>
        <v>233.84231920589906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17.833333333333332</v>
      </c>
      <c r="BD18" s="13">
        <f>IF('Données projet'!$A$88&gt;35,BD17+BC18-BL17,IF(A18&lt;'Données projet'!$A$88,$BA$205^A18,IF(A18='Données projet'!$A$88,'Données projet'!$B$88,BD17+BC18-BL17)))</f>
        <v>118.49999999999999</v>
      </c>
      <c r="BE18" s="14">
        <f>BD18*VLOOKUP('Données projet'!$B$11,Paramètres!$A$1:$I$89,3,0)*VLOOKUP('Données projet'!$B$11,Paramètres!$A$1:$I$89,5,0)</f>
        <v>73.943999999999988</v>
      </c>
      <c r="BF18" s="14">
        <f t="shared" si="37"/>
        <v>20.649745460165708</v>
      </c>
      <c r="BG18" s="22">
        <f t="shared" si="7"/>
        <v>164.75077334312189</v>
      </c>
      <c r="BH18" s="62">
        <f t="shared" si="8"/>
        <v>439.75077334312186</v>
      </c>
      <c r="BI18" s="62">
        <f ca="1">AVERAGE(OFFSET($BH$3,0,0,'Données projet'!$E$11+1,1))-AVERAGE(OFFSET($H$3,0,0,'Données projet'!$E$11+1,1))</f>
        <v>262.36903350767881</v>
      </c>
      <c r="BJ18" s="62">
        <f t="shared" si="38"/>
        <v>331.21009482262417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3.5689733214971424</v>
      </c>
      <c r="BR18" s="23">
        <f>EXP(-LN(2)/2)*BR17+(1-EXP(-LN(2)/2))/(LN(2)/2)*BL18*BO18*VLOOKUP('Données projet'!$B$11,Paramètres!$A$1:$I$89,3,0)*0.475*44/12</f>
        <v>1.5387067096221088</v>
      </c>
      <c r="BS18" s="24">
        <f t="shared" si="9"/>
        <v>5.1076800311192514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3.887142857142857</v>
      </c>
      <c r="BY18" s="13">
        <f>IF('Données projet'!$A$114&gt;35,BY17+BX18-CG17,IF(A18&lt;'Données projet'!$A$114,$BV$205^A18,IF(A18='Données projet'!$A$114,'Données projet'!$B$114,BY17+BX18-CG17)))</f>
        <v>58.307142857142836</v>
      </c>
      <c r="BZ18" s="14">
        <f>BY18*VLOOKUP('Données projet'!$B$12,Paramètres!$A$1:$I$89,3,0)*VLOOKUP('Données projet'!$B$12,Paramètres!$A$1:$I$89,5,0)</f>
        <v>56.394668571428546</v>
      </c>
      <c r="CA18" s="14">
        <f t="shared" si="39"/>
        <v>16.253466657484363</v>
      </c>
      <c r="CB18" s="22">
        <f t="shared" si="10"/>
        <v>126.52883552368996</v>
      </c>
      <c r="CC18" s="62">
        <f t="shared" si="11"/>
        <v>401.52883552368996</v>
      </c>
      <c r="CD18" s="62">
        <f ca="1">AVERAGE(OFFSET($CC$3,0,0,'Données projet'!$E$12+1,1))-AVERAGE(OFFSET($H$3,0,0,'Données projet'!$E$12+1,1))</f>
        <v>618.83149423524605</v>
      </c>
      <c r="CE18" s="62">
        <f t="shared" si="40"/>
        <v>285.33582535802435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5.8668181818181813</v>
      </c>
      <c r="CT18" s="13">
        <f>IF('Données projet'!$A$140&gt;35,CT17+CS18-DB17,IF(A18&lt;'Données projet'!$A$140,$CQ$205^A18,IF(A18='Données projet'!$A$140,'Données projet'!$B$140,CT17+CS18-DB17)))</f>
        <v>27.491540413830034</v>
      </c>
      <c r="CU18" s="18">
        <f>CT18*VLOOKUP('Données projet'!$B$13,Paramètres!$A$1:$I$89,3,0)*VLOOKUP('Données projet'!$B$13,Paramètres!$A$1:$I$89,5,0)</f>
        <v>16.439941167470362</v>
      </c>
      <c r="CV18" s="14">
        <f t="shared" si="41"/>
        <v>5.4691713958708279</v>
      </c>
      <c r="CW18" s="22">
        <f t="shared" si="13"/>
        <v>38.158371047819237</v>
      </c>
      <c r="CX18" s="62">
        <f t="shared" si="14"/>
        <v>313.15837104781923</v>
      </c>
      <c r="CY18" s="62">
        <f ca="1">AVERAGE(OFFSET($CX$3,0,0,'Données projet'!$E$13+1,1))-AVERAGE(OFFSET($H$3,0,0,'Données projet'!$E$13+1,1))</f>
        <v>349.5718186624772</v>
      </c>
      <c r="CZ18" s="62">
        <f t="shared" si="42"/>
        <v>258.14152930815959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47</v>
      </c>
      <c r="DM18" s="13">
        <f>VLOOKUP(A18,'Données projet'!$A$165:$I$185,9,0)</f>
        <v>5.8</v>
      </c>
      <c r="DN18" s="13">
        <f t="array" ref="DN18">INDEX(DM:DM,MIN(IF(ISNUMBER(DM18:DM214),ROW(DM18:DM214),"")))</f>
        <v>5.8</v>
      </c>
      <c r="DO18" s="13">
        <f>IF('Données projet'!$A$166&gt;35,DO17+DN18-DW17,IF(A18&lt;'Données projet'!$A$166,$DL$205^A18,IF(A18='Données projet'!$A$166,'Données projet'!$B$166,DO17+DN18-DW17)))</f>
        <v>46.999999999999993</v>
      </c>
      <c r="DP18" s="18">
        <f>DO18*VLOOKUP('Données projet'!$B$14,Paramètres!$A$1:$I$89,3,0)*VLOOKUP('Données projet'!$B$14,Paramètres!$A$1:$I$89,5,0)</f>
        <v>41.059200000000004</v>
      </c>
      <c r="DQ18" s="14">
        <f t="shared" si="43"/>
        <v>12.278959527914743</v>
      </c>
      <c r="DR18" s="22">
        <f t="shared" si="16"/>
        <v>92.897294511118176</v>
      </c>
      <c r="DS18" s="62">
        <f t="shared" si="17"/>
        <v>367.89729451111816</v>
      </c>
      <c r="DT18" s="62">
        <f ca="1">AVERAGE(OFFSET($DS$3,0,0,'Données projet'!$E$14+1,1))-AVERAGE(OFFSET($H$3,0,0,'Données projet'!$E$14+1,1))</f>
        <v>300.63505444445104</v>
      </c>
      <c r="DU18" s="62">
        <f t="shared" si="44"/>
        <v>266.32508105927997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65</v>
      </c>
      <c r="EH18" s="13">
        <f>VLOOKUP(A18,'Données projet'!$A$191:$I$211,9,0)</f>
        <v>10.8</v>
      </c>
      <c r="EI18" s="13">
        <f t="array" ref="EI18">INDEX(EH:EH,MIN(IF(ISNUMBER(EH18:EH214),ROW(EH18:EH214),"")))</f>
        <v>10.8</v>
      </c>
      <c r="EJ18" s="13">
        <f>IF('Données projet'!$A$192&gt;35,EJ17+EI18-ER17,IF(A18&lt;'Données projet'!$A$192,$EG$205^A18,IF(A18='Données projet'!$A$192,'Données projet'!$B$192,EJ17+EI18-ER17)))</f>
        <v>65</v>
      </c>
      <c r="EK18" s="18">
        <f>EJ18*VLOOKUP('Données projet'!$B$15,Paramètres!$A$1:$I$89,3,0)*VLOOKUP('Données projet'!$B$15,Paramètres!$A$1:$I$89,5,0)</f>
        <v>51.713999999999999</v>
      </c>
      <c r="EL18" s="14">
        <f t="shared" si="45"/>
        <v>15.055535578337075</v>
      </c>
      <c r="EM18" s="22">
        <f t="shared" si="19"/>
        <v>116.29027446560372</v>
      </c>
      <c r="EN18" s="62">
        <f t="shared" si="20"/>
        <v>391.29027446560372</v>
      </c>
      <c r="EO18" s="62">
        <f ca="1">AVERAGE(OFFSET($EN$3,0,0,'Données projet'!$E$15+1,1))-AVERAGE(OFFSET($H$3,0,0,'Données projet'!$E$15+1,1))</f>
        <v>353.37024194969638</v>
      </c>
      <c r="EP18" s="62">
        <f t="shared" si="46"/>
        <v>345.4750813433123</v>
      </c>
      <c r="EQ18" s="16">
        <f>IF(ISNA(VLOOKUP(A18,'Données projet'!$A$191:$I$211,3,0)),0,VLOOKUP(A18,'Données projet'!$A$191:$I$211,3,0))</f>
        <v>2</v>
      </c>
      <c r="ER18" s="16">
        <f>IF(ISNA(VLOOKUP(A18,'Données projet'!$A$191:$I$211,4,0)),0,VLOOKUP(A18,'Données projet'!$A$191:$I$211,4,0))</f>
        <v>32</v>
      </c>
      <c r="ES18" s="17">
        <f>IF(ISNA(VLOOKUP(A18,'Données projet'!$A$191:$I$211,5,0)),0%,VLOOKUP(A18,'Données projet'!$A$191:$I$211,5,0)*VLOOKUP('Données projet'!$B$15,Paramètres!$A$1:$I$89,7,0))</f>
        <v>0.10600000000000001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2.9833054975801603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2.9833054975801603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44</v>
      </c>
      <c r="FC18" s="13">
        <f>VLOOKUP(A18,'Données projet'!$A$217:$I$237,9,0)</f>
        <v>6.8</v>
      </c>
      <c r="FD18" s="13">
        <f t="array" ref="FD18">INDEX(FC:FC,MIN(IF(ISNUMBER(FC18:FC214),ROW(FC18:FC214),"")))</f>
        <v>6.8</v>
      </c>
      <c r="FE18" s="13">
        <f>IF('Données projet'!$A$218&gt;35,FE17+FD18-FM17,IF(A18&lt;'Données projet'!$A$218,$FB$205^A18,IF(A18='Données projet'!$A$218,'Données projet'!$B$218,FE17+FD18-FM17)))</f>
        <v>44</v>
      </c>
      <c r="FF18" s="18">
        <f>FE18*VLOOKUP('Données projet'!$B$16,Paramètres!$A$1:$I$89,3,0)*VLOOKUP('Données projet'!$B$16,Paramètres!$A$1:$I$89,5,0)</f>
        <v>28.828800000000001</v>
      </c>
      <c r="FG18" s="14">
        <f t="shared" si="47"/>
        <v>8.983691253405949</v>
      </c>
      <c r="FH18" s="22">
        <f t="shared" si="22"/>
        <v>65.856755599682032</v>
      </c>
      <c r="FI18" s="62">
        <f t="shared" si="23"/>
        <v>340.85675559968206</v>
      </c>
      <c r="FJ18" s="62">
        <f ca="1">AVERAGE(OFFSET($FI$3,0,0,'Données projet'!$E$16+1,1))-AVERAGE(OFFSET($H$3,0,0,'Données projet'!$E$16+1,1))</f>
        <v>263.30962868541337</v>
      </c>
      <c r="FK18" s="62">
        <f t="shared" si="48"/>
        <v>269.61868559913404</v>
      </c>
      <c r="FL18" s="16">
        <f>IF(ISNA(VLOOKUP(A18,'Données projet'!$A$217:$I$237,3,0)),0,VLOOKUP(A18,'Données projet'!$A$217:$I$237,3,0))</f>
        <v>2</v>
      </c>
      <c r="FM18" s="16">
        <f>IF(ISNA(VLOOKUP(A18,'Données projet'!$A$217:$I$237,4,0)),0,VLOOKUP(A18,'Données projet'!$A$217:$I$237,4,0))</f>
        <v>4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4.5262222222222226</v>
      </c>
      <c r="N19" s="14">
        <f>IF('Données projet'!$A$36&gt;35,N18+M19-V18,IF(A19&lt;'Données projet'!$A$36,$K$205^A19,IF(A19='Données projet'!$A$36,'Données projet'!$B$36,N18+M19-V18)))</f>
        <v>72.419555555555561</v>
      </c>
      <c r="O19" s="14">
        <f>N19*VLOOKUP('Données projet'!$B$9,Paramètres!$A$1:$I$89,3,0)*VLOOKUP('Données projet'!$B$9,Paramètres!$A$1:$I$89,5,0)</f>
        <v>43.306894222222226</v>
      </c>
      <c r="P19" s="14">
        <f t="shared" si="33"/>
        <v>12.871046659290542</v>
      </c>
      <c r="Q19" s="22">
        <f t="shared" si="2"/>
        <v>97.843247035301388</v>
      </c>
      <c r="R19" s="62">
        <f t="shared" si="0"/>
        <v>374.0654692575236</v>
      </c>
      <c r="S19" s="62">
        <f ca="1">AVERAGE(OFFSET($R$3,0,0,'Données projet'!$E$9+1,1))-AVERAGE(OFFSET($H$3,0,0,'Données projet'!$E$9+1,1))</f>
        <v>262.06511368698341</v>
      </c>
      <c r="T19" s="62">
        <f t="shared" si="34"/>
        <v>217.15709240080542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6.3325490196078427</v>
      </c>
      <c r="AI19" s="14">
        <f>IF('Données projet'!$A$62&gt;35,AI18+AH19-AQ18,IF(A19&lt;'Données projet'!$A$62,$AF$205^A19,IF(A19='Données projet'!$A$62,'Données projet'!$B$62,AI18+AH19-AQ18)))</f>
        <v>101.32078431372545</v>
      </c>
      <c r="AJ19" s="14">
        <f>AI19*VLOOKUP('Données projet'!$B$10,Paramètres!$A$1:$I$89,3,0)*VLOOKUP('Données projet'!$B$10,Paramètres!$A$1:$I$89,5,0)</f>
        <v>47.418127058823515</v>
      </c>
      <c r="AK19" s="14">
        <f t="shared" si="35"/>
        <v>13.944936249957722</v>
      </c>
      <c r="AL19" s="22">
        <f t="shared" si="4"/>
        <v>106.87400192946065</v>
      </c>
      <c r="AM19" s="62">
        <f t="shared" si="5"/>
        <v>383.09622415168286</v>
      </c>
      <c r="AN19" s="62">
        <f ca="1">AVERAGE(OFFSET($AM$3,0,0,'Données projet'!$E$10+1,1))-AVERAGE(OFFSET($H$3,0,0,'Données projet'!$E$10+1,1))</f>
        <v>287.83167869616227</v>
      </c>
      <c r="AO19" s="62">
        <f t="shared" si="36"/>
        <v>233.84231920589906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17.833333333333332</v>
      </c>
      <c r="BD19" s="13">
        <f>IF('Données projet'!$A$88&gt;35,BD18+BC19-BL18,IF(A19&lt;'Données projet'!$A$88,$BA$205^A19,IF(A19='Données projet'!$A$88,'Données projet'!$B$88,BD18+BC19-BL18)))</f>
        <v>136.33333333333331</v>
      </c>
      <c r="BE19" s="14">
        <f>BD19*VLOOKUP('Données projet'!$B$11,Paramètres!$A$1:$I$89,3,0)*VLOOKUP('Données projet'!$B$11,Paramètres!$A$1:$I$89,5,0)</f>
        <v>85.071999999999989</v>
      </c>
      <c r="BF19" s="14">
        <f t="shared" si="37"/>
        <v>23.372843040969951</v>
      </c>
      <c r="BG19" s="22">
        <f t="shared" si="7"/>
        <v>188.874768296356</v>
      </c>
      <c r="BH19" s="62">
        <f t="shared" si="8"/>
        <v>465.0969905185782</v>
      </c>
      <c r="BI19" s="62">
        <f ca="1">AVERAGE(OFFSET($BH$3,0,0,'Données projet'!$E$11+1,1))-AVERAGE(OFFSET($H$3,0,0,'Données projet'!$E$11+1,1))</f>
        <v>262.36903350767881</v>
      </c>
      <c r="BJ19" s="62">
        <f t="shared" si="38"/>
        <v>331.21009482262417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3.4713795583366531</v>
      </c>
      <c r="BR19" s="23">
        <f>EXP(-LN(2)/2)*BR18+(1-EXP(-LN(2)/2))/(LN(2)/2)*BL19*BO19*VLOOKUP('Données projet'!$B$11,Paramètres!$A$1:$I$89,3,0)*0.475*44/12</f>
        <v>1.088029948631033</v>
      </c>
      <c r="BS19" s="24">
        <f t="shared" si="9"/>
        <v>4.5594095069676861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3.887142857142857</v>
      </c>
      <c r="BY19" s="13">
        <f>IF('Données projet'!$A$114&gt;35,BY18+BX19-CG18,IF(A19&lt;'Données projet'!$A$114,$BV$205^A19,IF(A19='Données projet'!$A$114,'Données projet'!$B$114,BY18+BX19-CG18)))</f>
        <v>62.194285714285691</v>
      </c>
      <c r="BZ19" s="14">
        <f>BY19*VLOOKUP('Données projet'!$B$12,Paramètres!$A$1:$I$89,3,0)*VLOOKUP('Données projet'!$B$12,Paramètres!$A$1:$I$89,5,0)</f>
        <v>60.15431314285712</v>
      </c>
      <c r="CA19" s="14">
        <f t="shared" si="39"/>
        <v>17.207278382224739</v>
      </c>
      <c r="CB19" s="22">
        <f t="shared" si="10"/>
        <v>134.73810523951758</v>
      </c>
      <c r="CC19" s="62">
        <f t="shared" si="11"/>
        <v>410.96032746173978</v>
      </c>
      <c r="CD19" s="62">
        <f ca="1">AVERAGE(OFFSET($CC$3,0,0,'Données projet'!$E$12+1,1))-AVERAGE(OFFSET($H$3,0,0,'Données projet'!$E$12+1,1))</f>
        <v>618.83149423524605</v>
      </c>
      <c r="CE19" s="62">
        <f t="shared" si="40"/>
        <v>285.33582535802435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5.8668181818181813</v>
      </c>
      <c r="CT19" s="13">
        <f>IF('Données projet'!$A$140&gt;35,CT18+CS19-DB18,IF(A19&lt;'Données projet'!$A$140,$CQ$205^A19,IF(A19='Données projet'!$A$140,'Données projet'!$B$140,CT18+CS19-DB18)))</f>
        <v>34.288278409507839</v>
      </c>
      <c r="CU19" s="18">
        <f>CT19*VLOOKUP('Données projet'!$B$13,Paramètres!$A$1:$I$89,3,0)*VLOOKUP('Données projet'!$B$13,Paramètres!$A$1:$I$89,5,0)</f>
        <v>20.50439048888569</v>
      </c>
      <c r="CV19" s="14">
        <f t="shared" si="41"/>
        <v>6.6481368994289252</v>
      </c>
      <c r="CW19" s="22">
        <f t="shared" si="13"/>
        <v>47.290651867981289</v>
      </c>
      <c r="CX19" s="62">
        <f t="shared" si="14"/>
        <v>323.51287409020352</v>
      </c>
      <c r="CY19" s="62">
        <f ca="1">AVERAGE(OFFSET($CX$3,0,0,'Données projet'!$E$13+1,1))-AVERAGE(OFFSET($H$3,0,0,'Données projet'!$E$13+1,1))</f>
        <v>349.5718186624772</v>
      </c>
      <c r="CZ19" s="62">
        <f t="shared" si="42"/>
        <v>258.14152930815959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</v>
      </c>
      <c r="DO19" s="13">
        <f>IF('Données projet'!$A$166&gt;35,DO18+DN19-DW18,IF(A19&lt;'Données projet'!$A$166,$DL$205^A19,IF(A19='Données projet'!$A$166,'Données projet'!$B$166,DO18+DN19-DW18)))</f>
        <v>54.999999999999993</v>
      </c>
      <c r="DP19" s="18">
        <f>DO19*VLOOKUP('Données projet'!$B$14,Paramètres!$A$1:$I$89,3,0)*VLOOKUP('Données projet'!$B$14,Paramètres!$A$1:$I$89,5,0)</f>
        <v>48.048000000000002</v>
      </c>
      <c r="DQ19" s="14">
        <f t="shared" si="43"/>
        <v>14.108484750160615</v>
      </c>
      <c r="DR19" s="22">
        <f t="shared" si="16"/>
        <v>108.25587760652974</v>
      </c>
      <c r="DS19" s="62">
        <f t="shared" si="17"/>
        <v>384.47809982875197</v>
      </c>
      <c r="DT19" s="62">
        <f ca="1">AVERAGE(OFFSET($DS$3,0,0,'Données projet'!$E$14+1,1))-AVERAGE(OFFSET($H$3,0,0,'Données projet'!$E$14+1,1))</f>
        <v>300.63505444445104</v>
      </c>
      <c r="DU19" s="62">
        <f t="shared" si="44"/>
        <v>266.32508105927997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13.8</v>
      </c>
      <c r="EJ19" s="13">
        <f>IF('Données projet'!$A$192&gt;35,EJ18+EI19-ER18,IF(A19&lt;'Données projet'!$A$192,$EG$205^A19,IF(A19='Données projet'!$A$192,'Données projet'!$B$192,EJ18+EI19-ER18)))</f>
        <v>46.8</v>
      </c>
      <c r="EK19" s="18">
        <f>EJ19*VLOOKUP('Données projet'!$B$15,Paramètres!$A$1:$I$89,3,0)*VLOOKUP('Données projet'!$B$15,Paramètres!$A$1:$I$89,5,0)</f>
        <v>37.234079999999999</v>
      </c>
      <c r="EL19" s="14">
        <f t="shared" si="45"/>
        <v>11.262510356679771</v>
      </c>
      <c r="EM19" s="22">
        <f t="shared" si="19"/>
        <v>84.464894871217254</v>
      </c>
      <c r="EN19" s="62">
        <f t="shared" si="20"/>
        <v>360.6871170934395</v>
      </c>
      <c r="EO19" s="62">
        <f ca="1">AVERAGE(OFFSET($EN$3,0,0,'Données projet'!$E$15+1,1))-AVERAGE(OFFSET($H$3,0,0,'Données projet'!$E$15+1,1))</f>
        <v>353.37024194969638</v>
      </c>
      <c r="EP19" s="62">
        <f t="shared" si="46"/>
        <v>345.4750813433123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2.9248046964092929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2.9248046964092929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12</v>
      </c>
      <c r="FE19" s="13">
        <f>IF('Données projet'!$A$218&gt;35,FE18+FD19-FM18,IF(A19&lt;'Données projet'!$A$218,$FB$205^A19,IF(A19='Données projet'!$A$218,'Données projet'!$B$218,FE18+FD19-FM18)))</f>
        <v>52</v>
      </c>
      <c r="FF19" s="18">
        <f>FE19*VLOOKUP('Données projet'!$B$16,Paramètres!$A$1:$I$89,3,0)*VLOOKUP('Données projet'!$B$16,Paramètres!$A$1:$I$89,5,0)</f>
        <v>34.070399999999999</v>
      </c>
      <c r="FG19" s="14">
        <f t="shared" si="47"/>
        <v>10.412633617059315</v>
      </c>
      <c r="FH19" s="22">
        <f t="shared" si="22"/>
        <v>77.474616883044959</v>
      </c>
      <c r="FI19" s="62">
        <f t="shared" si="23"/>
        <v>353.6968391052672</v>
      </c>
      <c r="FJ19" s="62">
        <f ca="1">AVERAGE(OFFSET($FI$3,0,0,'Données projet'!$E$16+1,1))-AVERAGE(OFFSET($H$3,0,0,'Données projet'!$E$16+1,1))</f>
        <v>263.30962868541337</v>
      </c>
      <c r="FK19" s="62">
        <f t="shared" si="48"/>
        <v>269.61868559913404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4.5262222222222226</v>
      </c>
      <c r="N20" s="14">
        <f>IF('Données projet'!$A$36&gt;35,N19+M20-V19,IF(A20&lt;'Données projet'!$A$36,$K$205^A20,IF(A20='Données projet'!$A$36,'Données projet'!$B$36,N19+M20-V19)))</f>
        <v>76.945777777777778</v>
      </c>
      <c r="O20" s="14">
        <f>N20*VLOOKUP('Données projet'!$B$9,Paramètres!$A$1:$I$89,3,0)*VLOOKUP('Données projet'!$B$9,Paramètres!$A$1:$I$89,5,0)</f>
        <v>46.013575111111116</v>
      </c>
      <c r="P20" s="14">
        <f t="shared" si="33"/>
        <v>13.579322884348041</v>
      </c>
      <c r="Q20" s="22">
        <f t="shared" si="2"/>
        <v>103.79096400875802</v>
      </c>
      <c r="R20" s="62">
        <f t="shared" si="0"/>
        <v>381.23540845320247</v>
      </c>
      <c r="S20" s="62">
        <f ca="1">AVERAGE(OFFSET($R$3,0,0,'Données projet'!$E$9+1,1))-AVERAGE(OFFSET($H$3,0,0,'Données projet'!$E$9+1,1))</f>
        <v>262.06511368698341</v>
      </c>
      <c r="T20" s="62">
        <f t="shared" si="34"/>
        <v>217.15709240080542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6.3325490196078427</v>
      </c>
      <c r="AI20" s="14">
        <f>IF('Données projet'!$A$62&gt;35,AI19+AH20-AQ19,IF(A20&lt;'Données projet'!$A$62,$AF$205^A20,IF(A20='Données projet'!$A$62,'Données projet'!$B$62,AI19+AH20-AQ19)))</f>
        <v>107.65333333333329</v>
      </c>
      <c r="AJ20" s="14">
        <f>AI20*VLOOKUP('Données projet'!$B$10,Paramètres!$A$1:$I$89,3,0)*VLOOKUP('Données projet'!$B$10,Paramètres!$A$1:$I$89,5,0)</f>
        <v>50.381759999999979</v>
      </c>
      <c r="AK20" s="14">
        <f t="shared" si="35"/>
        <v>14.71230716137139</v>
      </c>
      <c r="AL20" s="22">
        <f t="shared" si="4"/>
        <v>113.3721669727218</v>
      </c>
      <c r="AM20" s="62">
        <f t="shared" si="5"/>
        <v>390.81661141716626</v>
      </c>
      <c r="AN20" s="62">
        <f ca="1">AVERAGE(OFFSET($AM$3,0,0,'Données projet'!$E$10+1,1))-AVERAGE(OFFSET($H$3,0,0,'Données projet'!$E$10+1,1))</f>
        <v>287.83167869616227</v>
      </c>
      <c r="AO20" s="62">
        <f t="shared" si="36"/>
        <v>233.84231920589906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17.833333333333332</v>
      </c>
      <c r="BD20" s="13">
        <f>IF('Données projet'!$A$88&gt;35,BD19+BC20-BL19,IF(A20&lt;'Données projet'!$A$88,$BA$205^A20,IF(A20='Données projet'!$A$88,'Données projet'!$B$88,BD19+BC20-BL19)))</f>
        <v>154.16666666666666</v>
      </c>
      <c r="BE20" s="14">
        <f>BD20*VLOOKUP('Données projet'!$B$11,Paramètres!$A$1:$I$89,3,0)*VLOOKUP('Données projet'!$B$11,Paramètres!$A$1:$I$89,5,0)</f>
        <v>96.199999999999989</v>
      </c>
      <c r="BF20" s="14">
        <f t="shared" si="37"/>
        <v>26.054668897183113</v>
      </c>
      <c r="BG20" s="22">
        <f t="shared" si="7"/>
        <v>212.9268816625939</v>
      </c>
      <c r="BH20" s="62">
        <f t="shared" si="8"/>
        <v>490.37132610703839</v>
      </c>
      <c r="BI20" s="62">
        <f ca="1">AVERAGE(OFFSET($BH$3,0,0,'Données projet'!$E$11+1,1))-AVERAGE(OFFSET($H$3,0,0,'Données projet'!$E$11+1,1))</f>
        <v>262.36903350767881</v>
      </c>
      <c r="BJ20" s="62">
        <f t="shared" si="38"/>
        <v>331.21009482262417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3.3764545017620202</v>
      </c>
      <c r="BR20" s="23">
        <f>EXP(-LN(2)/2)*BR19+(1-EXP(-LN(2)/2))/(LN(2)/2)*BL20*BO20*VLOOKUP('Données projet'!$B$11,Paramètres!$A$1:$I$89,3,0)*0.475*44/12</f>
        <v>0.76935335481105438</v>
      </c>
      <c r="BS20" s="24">
        <f t="shared" si="9"/>
        <v>4.1458078565730743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3.887142857142857</v>
      </c>
      <c r="BY20" s="13">
        <f>IF('Données projet'!$A$114&gt;35,BY19+BX20-CG19,IF(A20&lt;'Données projet'!$A$114,$BV$205^A20,IF(A20='Données projet'!$A$114,'Données projet'!$B$114,BY19+BX20-CG19)))</f>
        <v>66.081428571428546</v>
      </c>
      <c r="BZ20" s="14">
        <f>BY20*VLOOKUP('Données projet'!$B$12,Paramètres!$A$1:$I$89,3,0)*VLOOKUP('Données projet'!$B$12,Paramètres!$A$1:$I$89,5,0)</f>
        <v>63.913957714285694</v>
      </c>
      <c r="CA20" s="14">
        <f t="shared" si="39"/>
        <v>18.154171552507719</v>
      </c>
      <c r="CB20" s="22">
        <f t="shared" si="10"/>
        <v>142.9353251396652</v>
      </c>
      <c r="CC20" s="62">
        <f t="shared" si="11"/>
        <v>420.37976958410968</v>
      </c>
      <c r="CD20" s="62">
        <f ca="1">AVERAGE(OFFSET($CC$3,0,0,'Données projet'!$E$12+1,1))-AVERAGE(OFFSET($H$3,0,0,'Données projet'!$E$12+1,1))</f>
        <v>618.83149423524605</v>
      </c>
      <c r="CE20" s="62">
        <f t="shared" si="40"/>
        <v>285.33582535802435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5.8668181818181813</v>
      </c>
      <c r="CT20" s="13">
        <f>IF('Données projet'!$A$140&gt;35,CT19+CS20-DB19,IF(A20&lt;'Données projet'!$A$140,$CQ$205^A20,IF(A20='Données projet'!$A$140,'Données projet'!$B$140,CT19+CS20-DB19)))</f>
        <v>42.765375042297542</v>
      </c>
      <c r="CU20" s="18">
        <f>CT20*VLOOKUP('Données projet'!$B$13,Paramètres!$A$1:$I$89,3,0)*VLOOKUP('Données projet'!$B$13,Paramètres!$A$1:$I$89,5,0)</f>
        <v>25.573694275293931</v>
      </c>
      <c r="CV20" s="14">
        <f t="shared" si="41"/>
        <v>8.0812468716773616</v>
      </c>
      <c r="CW20" s="22">
        <f t="shared" si="13"/>
        <v>58.615689164308343</v>
      </c>
      <c r="CX20" s="62">
        <f t="shared" si="14"/>
        <v>336.06013360875278</v>
      </c>
      <c r="CY20" s="62">
        <f ca="1">AVERAGE(OFFSET($CX$3,0,0,'Données projet'!$E$13+1,1))-AVERAGE(OFFSET($H$3,0,0,'Données projet'!$E$13+1,1))</f>
        <v>349.5718186624772</v>
      </c>
      <c r="CZ20" s="62">
        <f t="shared" si="42"/>
        <v>258.14152930815959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</v>
      </c>
      <c r="DO20" s="13">
        <f>IF('Données projet'!$A$166&gt;35,DO19+DN20-DW19,IF(A20&lt;'Données projet'!$A$166,$DL$205^A20,IF(A20='Données projet'!$A$166,'Données projet'!$B$166,DO19+DN20-DW19)))</f>
        <v>62.999999999999993</v>
      </c>
      <c r="DP20" s="18">
        <f>DO20*VLOOKUP('Données projet'!$B$14,Paramètres!$A$1:$I$89,3,0)*VLOOKUP('Données projet'!$B$14,Paramètres!$A$1:$I$89,5,0)</f>
        <v>55.036800000000007</v>
      </c>
      <c r="DQ20" s="14">
        <f t="shared" si="43"/>
        <v>15.907180538864345</v>
      </c>
      <c r="DR20" s="22">
        <f t="shared" si="16"/>
        <v>123.56076610518875</v>
      </c>
      <c r="DS20" s="62">
        <f t="shared" si="17"/>
        <v>401.0052105496332</v>
      </c>
      <c r="DT20" s="62">
        <f ca="1">AVERAGE(OFFSET($DS$3,0,0,'Données projet'!$E$14+1,1))-AVERAGE(OFFSET($H$3,0,0,'Données projet'!$E$14+1,1))</f>
        <v>300.63505444445104</v>
      </c>
      <c r="DU20" s="62">
        <f t="shared" si="44"/>
        <v>266.32508105927997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13.8</v>
      </c>
      <c r="EJ20" s="13">
        <f>IF('Données projet'!$A$192&gt;35,EJ19+EI20-ER19,IF(A20&lt;'Données projet'!$A$192,$EG$205^A20,IF(A20='Données projet'!$A$192,'Données projet'!$B$192,EJ19+EI20-ER19)))</f>
        <v>60.599999999999994</v>
      </c>
      <c r="EK20" s="18">
        <f>EJ20*VLOOKUP('Données projet'!$B$15,Paramètres!$A$1:$I$89,3,0)*VLOOKUP('Données projet'!$B$15,Paramètres!$A$1:$I$89,5,0)</f>
        <v>48.213360000000002</v>
      </c>
      <c r="EL20" s="14">
        <f t="shared" si="45"/>
        <v>14.151379520104694</v>
      </c>
      <c r="EM20" s="22">
        <f t="shared" si="19"/>
        <v>108.61858799751566</v>
      </c>
      <c r="EN20" s="62">
        <f t="shared" si="20"/>
        <v>386.0630324419601</v>
      </c>
      <c r="EO20" s="62">
        <f ca="1">AVERAGE(OFFSET($EN$3,0,0,'Données projet'!$E$15+1,1))-AVERAGE(OFFSET($H$3,0,0,'Données projet'!$E$15+1,1))</f>
        <v>353.37024194969638</v>
      </c>
      <c r="EP20" s="62">
        <f t="shared" si="46"/>
        <v>345.4750813433123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2.8674510602674204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2.8674510602674204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12</v>
      </c>
      <c r="FE20" s="13">
        <f>IF('Données projet'!$A$218&gt;35,FE19+FD20-FM19,IF(A20&lt;'Données projet'!$A$218,$FB$205^A20,IF(A20='Données projet'!$A$218,'Données projet'!$B$218,FE19+FD20-FM19)))</f>
        <v>64</v>
      </c>
      <c r="FF20" s="18">
        <f>FE20*VLOOKUP('Données projet'!$B$16,Paramètres!$A$1:$I$89,3,0)*VLOOKUP('Données projet'!$B$16,Paramètres!$A$1:$I$89,5,0)</f>
        <v>41.9328</v>
      </c>
      <c r="FG20" s="14">
        <f t="shared" si="47"/>
        <v>12.509520351031938</v>
      </c>
      <c r="FH20" s="22">
        <f t="shared" si="22"/>
        <v>94.820374611380615</v>
      </c>
      <c r="FI20" s="62">
        <f t="shared" si="23"/>
        <v>372.26481905582506</v>
      </c>
      <c r="FJ20" s="62">
        <f ca="1">AVERAGE(OFFSET($FI$3,0,0,'Données projet'!$E$16+1,1))-AVERAGE(OFFSET($H$3,0,0,'Données projet'!$E$16+1,1))</f>
        <v>263.30962868541337</v>
      </c>
      <c r="FK20" s="62">
        <f t="shared" si="48"/>
        <v>269.61868559913404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4.5262222222222226</v>
      </c>
      <c r="N21" s="14">
        <f>IF('Données projet'!$A$36&gt;35,N20+M21-V20,IF(A21&lt;'Données projet'!$A$36,$K$205^A21,IF(A21='Données projet'!$A$36,'Données projet'!$B$36,N20+M21-V20)))</f>
        <v>81.471999999999994</v>
      </c>
      <c r="O21" s="14">
        <f>N21*VLOOKUP('Données projet'!$B$9,Paramètres!$A$1:$I$89,3,0)*VLOOKUP('Données projet'!$B$9,Paramètres!$A$1:$I$89,5,0)</f>
        <v>48.720255999999999</v>
      </c>
      <c r="P21" s="14">
        <f t="shared" si="33"/>
        <v>14.282763121765576</v>
      </c>
      <c r="Q21" s="22">
        <f t="shared" si="2"/>
        <v>109.73025830374171</v>
      </c>
      <c r="R21" s="62">
        <f t="shared" si="0"/>
        <v>388.39692497040841</v>
      </c>
      <c r="S21" s="62">
        <f ca="1">AVERAGE(OFFSET($R$3,0,0,'Données projet'!$E$9+1,1))-AVERAGE(OFFSET($H$3,0,0,'Données projet'!$E$9+1,1))</f>
        <v>262.06511368698341</v>
      </c>
      <c r="T21" s="62">
        <f t="shared" si="34"/>
        <v>217.15709240080542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6.3325490196078427</v>
      </c>
      <c r="AI21" s="14">
        <f>IF('Données projet'!$A$62&gt;35,AI20+AH21-AQ20,IF(A21&lt;'Données projet'!$A$62,$AF$205^A21,IF(A21='Données projet'!$A$62,'Données projet'!$B$62,AI20+AH21-AQ20)))</f>
        <v>113.98588235294113</v>
      </c>
      <c r="AJ21" s="14">
        <f>AI21*VLOOKUP('Données projet'!$B$10,Paramètres!$A$1:$I$89,3,0)*VLOOKUP('Données projet'!$B$10,Paramètres!$A$1:$I$89,5,0)</f>
        <v>53.345392941176449</v>
      </c>
      <c r="AK21" s="14">
        <f t="shared" si="35"/>
        <v>15.474438596841097</v>
      </c>
      <c r="AL21" s="22">
        <f t="shared" si="4"/>
        <v>119.86120659538057</v>
      </c>
      <c r="AM21" s="62">
        <f t="shared" si="5"/>
        <v>398.52787326204725</v>
      </c>
      <c r="AN21" s="62">
        <f ca="1">AVERAGE(OFFSET($AM$3,0,0,'Données projet'!$E$10+1,1))-AVERAGE(OFFSET($H$3,0,0,'Données projet'!$E$10+1,1))</f>
        <v>287.83167869616227</v>
      </c>
      <c r="AO21" s="62">
        <f t="shared" si="36"/>
        <v>233.84231920589906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172</v>
      </c>
      <c r="BB21" s="13">
        <f>VLOOKUP(A21,'Données projet'!$A$87:$I$107,9,0)</f>
        <v>17.833333333333332</v>
      </c>
      <c r="BC21" s="13">
        <f t="array" ref="BC21">INDEX(BB:BB,MIN(IF(ISNUMBER(BB21:BB217),ROW(BB21:BB217),"")))</f>
        <v>17.833333333333332</v>
      </c>
      <c r="BD21" s="13">
        <f>IF('Données projet'!$A$88&gt;35,BD20+BC21-BL20,IF(A21&lt;'Données projet'!$A$88,$BA$205^A21,IF(A21='Données projet'!$A$88,'Données projet'!$B$88,BD20+BC21-BL20)))</f>
        <v>172</v>
      </c>
      <c r="BE21" s="14">
        <f>BD21*VLOOKUP('Données projet'!$B$11,Paramètres!$A$1:$I$89,3,0)*VLOOKUP('Données projet'!$B$11,Paramètres!$A$1:$I$89,5,0)</f>
        <v>107.328</v>
      </c>
      <c r="BF21" s="14">
        <f t="shared" si="37"/>
        <v>28.700542375698706</v>
      </c>
      <c r="BG21" s="22">
        <f t="shared" si="7"/>
        <v>236.91637797100859</v>
      </c>
      <c r="BH21" s="62">
        <f t="shared" si="8"/>
        <v>515.58304463767524</v>
      </c>
      <c r="BI21" s="62">
        <f ca="1">AVERAGE(OFFSET($BH$3,0,0,'Données projet'!$E$11+1,1))-AVERAGE(OFFSET($H$3,0,0,'Données projet'!$E$11+1,1))</f>
        <v>262.36903350767881</v>
      </c>
      <c r="BJ21" s="62">
        <f t="shared" si="38"/>
        <v>331.21009482262417</v>
      </c>
      <c r="BK21" s="16">
        <f>IF(ISNA(VLOOKUP(A21,'Données projet'!$A$87:$I$107,3,0)),0,VLOOKUP(A21,'Données projet'!$A$87:$I$107,3,0))</f>
        <v>2</v>
      </c>
      <c r="BL21" s="16">
        <f>IF(ISNA(VLOOKUP(A21,'Données projet'!$A$87:$I$107,4,0)),0,VLOOKUP(A21,'Données projet'!$A$87:$I$107,4,0))</f>
        <v>65</v>
      </c>
      <c r="BM21" s="17">
        <f>IF(ISNA(VLOOKUP(A21,'Données projet'!$A$87:$I$107,5,0)),0%,VLOOKUP(A21,'Données projet'!$A$87:$I$107,5,0)*VLOOKUP('Données projet'!$B$11,Paramètres!$A$1:$I$89,7,0))</f>
        <v>0.12</v>
      </c>
      <c r="BN21" s="17">
        <f>IF(ISNA(VLOOKUP(A21,'Données projet'!$A$87:$I$107,6,0)),0%,VLOOKUP(A21,'Données projet'!$A$87:$I$107,6,0)*VLOOKUP('Données projet'!$B$11,Paramètres!$A$1:$I$89,7,0))</f>
        <v>0.27</v>
      </c>
      <c r="BO21" s="17">
        <f>IF(ISNA(VLOOKUP(A21,'Données projet'!$A$87:$I$107,7,0)),0%,VLOOKUP(A21,'Données projet'!$A$87:$I$107,7,0))</f>
        <v>0.35</v>
      </c>
      <c r="BP21" s="23">
        <f>EXP(-LN(2)/35)*BP20+(1-EXP(-LN(2)/35))/(LN(2)/35)*BL21*BM21*VLOOKUP('Données projet'!$B$11,Paramètres!$A$1:$I$89,3,0)*0.475*44/12</f>
        <v>6.4566545175153296</v>
      </c>
      <c r="BQ21" s="23">
        <f>EXP(-LN(2)/25)*BQ20+(1-EXP(-LN(2)/25))/(LN(2)/25)*Calculateur!BL21*Calculateur!BN21*VLOOKUP('Données projet'!$B$11,Paramètres!$A$1:$I$89,3,0)*0.475*44/12</f>
        <v>17.754397644979971</v>
      </c>
      <c r="BR21" s="23">
        <f>EXP(-LN(2)/2)*BR20+(1-EXP(-LN(2)/2))/(LN(2)/2)*BL21*BO21*VLOOKUP('Données projet'!$B$11,Paramètres!$A$1:$I$89,3,0)*0.475*44/12</f>
        <v>16.617184670001222</v>
      </c>
      <c r="BS21" s="24">
        <f t="shared" si="9"/>
        <v>40.828236832496522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3.887142857142857</v>
      </c>
      <c r="BY21" s="13">
        <f>IF('Données projet'!$A$114&gt;35,BY20+BX21-CG20,IF(A21&lt;'Données projet'!$A$114,$BV$205^A21,IF(A21='Données projet'!$A$114,'Données projet'!$B$114,BY20+BX21-CG20)))</f>
        <v>69.968571428571408</v>
      </c>
      <c r="BZ21" s="14">
        <f>BY21*VLOOKUP('Données projet'!$B$12,Paramètres!$A$1:$I$89,3,0)*VLOOKUP('Données projet'!$B$12,Paramètres!$A$1:$I$89,5,0)</f>
        <v>67.673602285714267</v>
      </c>
      <c r="CA21" s="14">
        <f t="shared" si="39"/>
        <v>19.094599499893381</v>
      </c>
      <c r="CB21" s="22">
        <f t="shared" si="10"/>
        <v>151.12128477659996</v>
      </c>
      <c r="CC21" s="62">
        <f t="shared" si="11"/>
        <v>429.78795144326665</v>
      </c>
      <c r="CD21" s="62">
        <f ca="1">AVERAGE(OFFSET($CC$3,0,0,'Données projet'!$E$12+1,1))-AVERAGE(OFFSET($H$3,0,0,'Données projet'!$E$12+1,1))</f>
        <v>618.83149423524605</v>
      </c>
      <c r="CE21" s="62">
        <f t="shared" si="40"/>
        <v>285.33582535802435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5.8668181818181813</v>
      </c>
      <c r="CT21" s="13">
        <f>IF('Données projet'!$A$140&gt;35,CT20+CS21-DB20,IF(A21&lt;'Données projet'!$A$140,$CQ$205^A21,IF(A21='Données projet'!$A$140,'Données projet'!$B$140,CT20+CS21-DB20)))</f>
        <v>53.338265650608868</v>
      </c>
      <c r="CU21" s="18">
        <f>CT21*VLOOKUP('Données projet'!$B$13,Paramètres!$A$1:$I$89,3,0)*VLOOKUP('Données projet'!$B$13,Paramètres!$A$1:$I$89,5,0)</f>
        <v>31.896282859064108</v>
      </c>
      <c r="CV21" s="14">
        <f t="shared" si="41"/>
        <v>9.8232861309767845</v>
      </c>
      <c r="CW21" s="22">
        <f t="shared" si="13"/>
        <v>72.661582657654549</v>
      </c>
      <c r="CX21" s="62">
        <f t="shared" si="14"/>
        <v>351.32824932432123</v>
      </c>
      <c r="CY21" s="62">
        <f ca="1">AVERAGE(OFFSET($CX$3,0,0,'Données projet'!$E$13+1,1))-AVERAGE(OFFSET($H$3,0,0,'Données projet'!$E$13+1,1))</f>
        <v>349.5718186624772</v>
      </c>
      <c r="CZ21" s="62">
        <f t="shared" si="42"/>
        <v>258.14152930815959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</v>
      </c>
      <c r="DO21" s="13">
        <f>IF('Données projet'!$A$166&gt;35,DO20+DN21-DW20,IF(A21&lt;'Données projet'!$A$166,$DL$205^A21,IF(A21='Données projet'!$A$166,'Données projet'!$B$166,DO20+DN21-DW20)))</f>
        <v>71</v>
      </c>
      <c r="DP21" s="18">
        <f>DO21*VLOOKUP('Données projet'!$B$14,Paramètres!$A$1:$I$89,3,0)*VLOOKUP('Données projet'!$B$14,Paramètres!$A$1:$I$89,5,0)</f>
        <v>62.025600000000011</v>
      </c>
      <c r="DQ21" s="14">
        <f t="shared" si="43"/>
        <v>17.679410406677221</v>
      </c>
      <c r="DR21" s="22">
        <f t="shared" si="16"/>
        <v>138.8195597916295</v>
      </c>
      <c r="DS21" s="62">
        <f t="shared" si="17"/>
        <v>417.48622645829619</v>
      </c>
      <c r="DT21" s="62">
        <f ca="1">AVERAGE(OFFSET($DS$3,0,0,'Données projet'!$E$14+1,1))-AVERAGE(OFFSET($H$3,0,0,'Données projet'!$E$14+1,1))</f>
        <v>300.63505444445104</v>
      </c>
      <c r="DU21" s="62">
        <f t="shared" si="44"/>
        <v>266.32508105927997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13.8</v>
      </c>
      <c r="EJ21" s="13">
        <f>IF('Données projet'!$A$192&gt;35,EJ20+EI21-ER20,IF(A21&lt;'Données projet'!$A$192,$EG$205^A21,IF(A21='Données projet'!$A$192,'Données projet'!$B$192,EJ20+EI21-ER20)))</f>
        <v>74.399999999999991</v>
      </c>
      <c r="EK21" s="18">
        <f>EJ21*VLOOKUP('Données projet'!$B$15,Paramètres!$A$1:$I$89,3,0)*VLOOKUP('Données projet'!$B$15,Paramètres!$A$1:$I$89,5,0)</f>
        <v>59.192639999999997</v>
      </c>
      <c r="EL21" s="14">
        <f t="shared" si="45"/>
        <v>16.963982408330725</v>
      </c>
      <c r="EM21" s="22">
        <f t="shared" si="19"/>
        <v>132.63945069450935</v>
      </c>
      <c r="EN21" s="62">
        <f t="shared" si="20"/>
        <v>411.30611736117601</v>
      </c>
      <c r="EO21" s="62">
        <f ca="1">AVERAGE(OFFSET($EN$3,0,0,'Données projet'!$E$15+1,1))-AVERAGE(OFFSET($H$3,0,0,'Données projet'!$E$15+1,1))</f>
        <v>353.37024194969638</v>
      </c>
      <c r="EP21" s="62">
        <f t="shared" si="46"/>
        <v>345.4750813433123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2.8112220939480261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2.8112220939480261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12</v>
      </c>
      <c r="FE21" s="13">
        <f>IF('Données projet'!$A$218&gt;35,FE20+FD21-FM20,IF(A21&lt;'Données projet'!$A$218,$FB$205^A21,IF(A21='Données projet'!$A$218,'Données projet'!$B$218,FE20+FD21-FM20)))</f>
        <v>76</v>
      </c>
      <c r="FF21" s="18">
        <f>FE21*VLOOKUP('Données projet'!$B$16,Paramètres!$A$1:$I$89,3,0)*VLOOKUP('Données projet'!$B$16,Paramètres!$A$1:$I$89,5,0)</f>
        <v>49.795200000000001</v>
      </c>
      <c r="FG21" s="14">
        <f t="shared" si="47"/>
        <v>14.560856542690781</v>
      </c>
      <c r="FH21" s="22">
        <f t="shared" si="22"/>
        <v>112.08679847851977</v>
      </c>
      <c r="FI21" s="62">
        <f t="shared" si="23"/>
        <v>390.75346514518645</v>
      </c>
      <c r="FJ21" s="62">
        <f ca="1">AVERAGE(OFFSET($FI$3,0,0,'Données projet'!$E$16+1,1))-AVERAGE(OFFSET($H$3,0,0,'Données projet'!$E$16+1,1))</f>
        <v>263.30962868541337</v>
      </c>
      <c r="FK21" s="62">
        <f t="shared" si="48"/>
        <v>269.61868559913404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4.5262222222222226</v>
      </c>
      <c r="N22" s="14">
        <f>IF('Données projet'!$A$36&gt;35,N21+M22-V21,IF(A22&lt;'Données projet'!$A$36,$K$205^A22,IF(A22='Données projet'!$A$36,'Données projet'!$B$36,N21+M22-V21)))</f>
        <v>85.998222222222211</v>
      </c>
      <c r="O22" s="14">
        <f>N22*VLOOKUP('Données projet'!$B$9,Paramètres!$A$1:$I$89,3,0)*VLOOKUP('Données projet'!$B$9,Paramètres!$A$1:$I$89,5,0)</f>
        <v>51.426936888888889</v>
      </c>
      <c r="P22" s="14">
        <f t="shared" si="33"/>
        <v>14.981666658765917</v>
      </c>
      <c r="Q22" s="22">
        <f t="shared" si="2"/>
        <v>115.66165117883212</v>
      </c>
      <c r="R22" s="62">
        <f t="shared" si="0"/>
        <v>395.55054006772099</v>
      </c>
      <c r="S22" s="62">
        <f ca="1">AVERAGE(OFFSET($R$3,0,0,'Données projet'!$E$9+1,1))-AVERAGE(OFFSET($H$3,0,0,'Données projet'!$E$9+1,1))</f>
        <v>262.06511368698341</v>
      </c>
      <c r="T22" s="62">
        <f t="shared" si="34"/>
        <v>217.15709240080542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6.3325490196078427</v>
      </c>
      <c r="AI22" s="14">
        <f>IF('Données projet'!$A$62&gt;35,AI21+AH22-AQ21,IF(A22&lt;'Données projet'!$A$62,$AF$205^A22,IF(A22='Données projet'!$A$62,'Données projet'!$B$62,AI21+AH22-AQ21)))</f>
        <v>120.31843137254897</v>
      </c>
      <c r="AJ22" s="14">
        <f>AI22*VLOOKUP('Données projet'!$B$10,Paramètres!$A$1:$I$89,3,0)*VLOOKUP('Données projet'!$B$10,Paramètres!$A$1:$I$89,5,0)</f>
        <v>56.30902588235292</v>
      </c>
      <c r="AK22" s="14">
        <f t="shared" si="35"/>
        <v>16.231654814475174</v>
      </c>
      <c r="AL22" s="22">
        <f t="shared" si="4"/>
        <v>126.3416855469756</v>
      </c>
      <c r="AM22" s="62">
        <f t="shared" si="5"/>
        <v>406.23057443586447</v>
      </c>
      <c r="AN22" s="62">
        <f ca="1">AVERAGE(OFFSET($AM$3,0,0,'Données projet'!$E$10+1,1))-AVERAGE(OFFSET($H$3,0,0,'Données projet'!$E$10+1,1))</f>
        <v>287.83167869616227</v>
      </c>
      <c r="AO22" s="62">
        <f t="shared" si="36"/>
        <v>233.84231920589906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14.666666666666666</v>
      </c>
      <c r="BD22" s="13">
        <f>IF('Données projet'!$A$88&gt;35,BD21+BC22-BL21,IF(A22&lt;'Données projet'!$A$88,$BA$205^A22,IF(A22='Données projet'!$A$88,'Données projet'!$B$88,BD21+BC22-BL21)))</f>
        <v>121.66666666666666</v>
      </c>
      <c r="BE22" s="14">
        <f>BD22*VLOOKUP('Données projet'!$B$11,Paramètres!$A$1:$I$89,3,0)*VLOOKUP('Données projet'!$B$11,Paramètres!$A$1:$I$89,5,0)</f>
        <v>75.919999999999987</v>
      </c>
      <c r="BF22" s="14">
        <f t="shared" si="37"/>
        <v>21.136584134424744</v>
      </c>
      <c r="BG22" s="22">
        <f t="shared" si="7"/>
        <v>169.04021736745639</v>
      </c>
      <c r="BH22" s="62">
        <f t="shared" si="8"/>
        <v>448.92910625634522</v>
      </c>
      <c r="BI22" s="62">
        <f ca="1">AVERAGE(OFFSET($BH$3,0,0,'Données projet'!$E$11+1,1))-AVERAGE(OFFSET($H$3,0,0,'Données projet'!$E$11+1,1))</f>
        <v>262.36903350767881</v>
      </c>
      <c r="BJ22" s="62">
        <f t="shared" si="38"/>
        <v>331.21009482262417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6.3300434605972473</v>
      </c>
      <c r="BQ22" s="23">
        <f>EXP(-LN(2)/25)*BQ21+(1-EXP(-LN(2)/25))/(LN(2)/25)*Calculateur!BL22*Calculateur!BN22*VLOOKUP('Données projet'!$B$11,Paramètres!$A$1:$I$89,3,0)*0.475*44/12</f>
        <v>17.268902707714801</v>
      </c>
      <c r="BR22" s="23">
        <f>EXP(-LN(2)/2)*BR21+(1-EXP(-LN(2)/2))/(LN(2)/2)*BL22*BO22*VLOOKUP('Données projet'!$B$11,Paramètres!$A$1:$I$89,3,0)*0.475*44/12</f>
        <v>11.750123964387008</v>
      </c>
      <c r="BS22" s="24">
        <f t="shared" si="9"/>
        <v>35.349070132699055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3.887142857142857</v>
      </c>
      <c r="BY22" s="13">
        <f>IF('Données projet'!$A$114&gt;35,BY21+BX22-CG21,IF(A22&lt;'Données projet'!$A$114,$BV$205^A22,IF(A22='Données projet'!$A$114,'Données projet'!$B$114,BY21+BX22-CG21)))</f>
        <v>73.855714285714271</v>
      </c>
      <c r="BZ22" s="14">
        <f>BY22*VLOOKUP('Données projet'!$B$12,Paramètres!$A$1:$I$89,3,0)*VLOOKUP('Données projet'!$B$12,Paramètres!$A$1:$I$89,5,0)</f>
        <v>71.433246857142848</v>
      </c>
      <c r="CA22" s="14">
        <f t="shared" si="39"/>
        <v>20.02896234091423</v>
      </c>
      <c r="CB22" s="22">
        <f t="shared" si="10"/>
        <v>159.2966810199494</v>
      </c>
      <c r="CC22" s="62">
        <f t="shared" si="11"/>
        <v>439.18556990883826</v>
      </c>
      <c r="CD22" s="62">
        <f ca="1">AVERAGE(OFFSET($CC$3,0,0,'Données projet'!$E$12+1,1))-AVERAGE(OFFSET($H$3,0,0,'Données projet'!$E$12+1,1))</f>
        <v>618.83149423524605</v>
      </c>
      <c r="CE22" s="62">
        <f t="shared" si="40"/>
        <v>285.33582535802435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5.8668181818181813</v>
      </c>
      <c r="CT22" s="13">
        <f>IF('Données projet'!$A$140&gt;35,CT21+CS22-DB21,IF(A22&lt;'Données projet'!$A$140,$CQ$205^A22,IF(A22='Données projet'!$A$140,'Données projet'!$B$140,CT21+CS22-DB21)))</f>
        <v>66.525093718950743</v>
      </c>
      <c r="CU22" s="18">
        <f>CT22*VLOOKUP('Données projet'!$B$13,Paramètres!$A$1:$I$89,3,0)*VLOOKUP('Données projet'!$B$13,Paramètres!$A$1:$I$89,5,0)</f>
        <v>39.782006043932547</v>
      </c>
      <c r="CV22" s="14">
        <f t="shared" si="41"/>
        <v>11.940849220834615</v>
      </c>
      <c r="CW22" s="22">
        <f t="shared" si="13"/>
        <v>90.083972919469474</v>
      </c>
      <c r="CX22" s="62">
        <f t="shared" si="14"/>
        <v>369.97286180835835</v>
      </c>
      <c r="CY22" s="62">
        <f ca="1">AVERAGE(OFFSET($CX$3,0,0,'Données projet'!$E$13+1,1))-AVERAGE(OFFSET($H$3,0,0,'Données projet'!$E$13+1,1))</f>
        <v>349.5718186624772</v>
      </c>
      <c r="CZ22" s="62">
        <f t="shared" si="42"/>
        <v>258.14152930815959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</v>
      </c>
      <c r="DO22" s="13">
        <f>IF('Données projet'!$A$166&gt;35,DO21+DN22-DW21,IF(A22&lt;'Données projet'!$A$166,$DL$205^A22,IF(A22='Données projet'!$A$166,'Données projet'!$B$166,DO21+DN22-DW21)))</f>
        <v>79</v>
      </c>
      <c r="DP22" s="18">
        <f>DO22*VLOOKUP('Données projet'!$B$14,Paramètres!$A$1:$I$89,3,0)*VLOOKUP('Données projet'!$B$14,Paramètres!$A$1:$I$89,5,0)</f>
        <v>69.014400000000009</v>
      </c>
      <c r="DQ22" s="14">
        <f t="shared" si="43"/>
        <v>19.428496726251055</v>
      </c>
      <c r="DR22" s="22">
        <f t="shared" si="16"/>
        <v>154.03804513155393</v>
      </c>
      <c r="DS22" s="62">
        <f t="shared" si="17"/>
        <v>433.92693402044279</v>
      </c>
      <c r="DT22" s="62">
        <f ca="1">AVERAGE(OFFSET($DS$3,0,0,'Données projet'!$E$14+1,1))-AVERAGE(OFFSET($H$3,0,0,'Données projet'!$E$14+1,1))</f>
        <v>300.63505444445104</v>
      </c>
      <c r="DU22" s="62">
        <f t="shared" si="44"/>
        <v>266.32508105927997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13.8</v>
      </c>
      <c r="EJ22" s="13">
        <f>IF('Données projet'!$A$192&gt;35,EJ21+EI22-ER21,IF(A22&lt;'Données projet'!$A$192,$EG$205^A22,IF(A22='Données projet'!$A$192,'Données projet'!$B$192,EJ21+EI22-ER21)))</f>
        <v>88.199999999999989</v>
      </c>
      <c r="EK22" s="18">
        <f>EJ22*VLOOKUP('Données projet'!$B$15,Paramètres!$A$1:$I$89,3,0)*VLOOKUP('Données projet'!$B$15,Paramètres!$A$1:$I$89,5,0)</f>
        <v>70.171919999999986</v>
      </c>
      <c r="EL22" s="14">
        <f t="shared" si="45"/>
        <v>19.716145269554726</v>
      </c>
      <c r="EM22" s="22">
        <f t="shared" si="19"/>
        <v>156.55504701114111</v>
      </c>
      <c r="EN22" s="62">
        <f t="shared" si="20"/>
        <v>436.44393590002994</v>
      </c>
      <c r="EO22" s="62">
        <f ca="1">AVERAGE(OFFSET($EN$3,0,0,'Données projet'!$E$15+1,1))-AVERAGE(OFFSET($H$3,0,0,'Données projet'!$E$15+1,1))</f>
        <v>353.37024194969638</v>
      </c>
      <c r="EP22" s="62">
        <f t="shared" si="46"/>
        <v>345.4750813433123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2.7560957433618722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2.7560957433618722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12</v>
      </c>
      <c r="FE22" s="13">
        <f>IF('Données projet'!$A$218&gt;35,FE21+FD22-FM21,IF(A22&lt;'Données projet'!$A$218,$FB$205^A22,IF(A22='Données projet'!$A$218,'Données projet'!$B$218,FE21+FD22-FM21)))</f>
        <v>88</v>
      </c>
      <c r="FF22" s="18">
        <f>FE22*VLOOKUP('Données projet'!$B$16,Paramètres!$A$1:$I$89,3,0)*VLOOKUP('Données projet'!$B$16,Paramètres!$A$1:$I$89,5,0)</f>
        <v>57.657600000000002</v>
      </c>
      <c r="FG22" s="14">
        <f t="shared" si="47"/>
        <v>16.574671209026025</v>
      </c>
      <c r="FH22" s="22">
        <f t="shared" si="22"/>
        <v>129.28787235572034</v>
      </c>
      <c r="FI22" s="62">
        <f t="shared" si="23"/>
        <v>409.17676124460922</v>
      </c>
      <c r="FJ22" s="62">
        <f ca="1">AVERAGE(OFFSET($FI$3,0,0,'Données projet'!$E$16+1,1))-AVERAGE(OFFSET($H$3,0,0,'Données projet'!$E$16+1,1))</f>
        <v>263.30962868541337</v>
      </c>
      <c r="FK22" s="62">
        <f t="shared" si="48"/>
        <v>269.61868559913404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4.5262222222222226</v>
      </c>
      <c r="N23" s="14">
        <f>IF('Données projet'!$A$36&gt;35,N22+M23-V22,IF(A23&lt;'Données projet'!$A$36,$K$205^A23,IF(A23='Données projet'!$A$36,'Données projet'!$B$36,N22+M23-V22)))</f>
        <v>90.524444444444427</v>
      </c>
      <c r="O23" s="14">
        <f>N23*VLOOKUP('Données projet'!$B$9,Paramètres!$A$1:$I$89,3,0)*VLOOKUP('Données projet'!$B$9,Paramètres!$A$1:$I$89,5,0)</f>
        <v>54.133617777777772</v>
      </c>
      <c r="P23" s="14">
        <f t="shared" si="33"/>
        <v>15.676299499320631</v>
      </c>
      <c r="Q23" s="22">
        <f t="shared" si="2"/>
        <v>121.58560592427973</v>
      </c>
      <c r="R23" s="62">
        <f t="shared" si="0"/>
        <v>402.69671703539086</v>
      </c>
      <c r="S23" s="62">
        <f ca="1">AVERAGE(OFFSET($R$3,0,0,'Données projet'!$E$9+1,1))-AVERAGE(OFFSET($H$3,0,0,'Données projet'!$E$9+1,1))</f>
        <v>262.06511368698341</v>
      </c>
      <c r="T23" s="62">
        <f t="shared" si="34"/>
        <v>217.15709240080542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6.3325490196078427</v>
      </c>
      <c r="AI23" s="14">
        <f>IF('Données projet'!$A$62&gt;35,AI22+AH23-AQ22,IF(A23&lt;'Données projet'!$A$62,$AF$205^A23,IF(A23='Données projet'!$A$62,'Données projet'!$B$62,AI22+AH23-AQ22)))</f>
        <v>126.65098039215681</v>
      </c>
      <c r="AJ23" s="14">
        <f>AI23*VLOOKUP('Données projet'!$B$10,Paramètres!$A$1:$I$89,3,0)*VLOOKUP('Données projet'!$B$10,Paramètres!$A$1:$I$89,5,0)</f>
        <v>59.27265882352939</v>
      </c>
      <c r="AK23" s="14">
        <f t="shared" si="35"/>
        <v>16.984244012158705</v>
      </c>
      <c r="AL23" s="22">
        <f t="shared" si="4"/>
        <v>132.81410577215675</v>
      </c>
      <c r="AM23" s="62">
        <f t="shared" si="5"/>
        <v>413.92521688326792</v>
      </c>
      <c r="AN23" s="62">
        <f ca="1">AVERAGE(OFFSET($AM$3,0,0,'Données projet'!$E$10+1,1))-AVERAGE(OFFSET($H$3,0,0,'Données projet'!$E$10+1,1))</f>
        <v>287.83167869616227</v>
      </c>
      <c r="AO23" s="62">
        <f t="shared" si="36"/>
        <v>233.84231920589906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14.666666666666666</v>
      </c>
      <c r="BD23" s="13">
        <f>IF('Données projet'!$A$88&gt;35,BD22+BC23-BL22,IF(A23&lt;'Données projet'!$A$88,$BA$205^A23,IF(A23='Données projet'!$A$88,'Données projet'!$B$88,BD22+BC23-BL22)))</f>
        <v>136.33333333333331</v>
      </c>
      <c r="BE23" s="14">
        <f>BD23*VLOOKUP('Données projet'!$B$11,Paramètres!$A$1:$I$89,3,0)*VLOOKUP('Données projet'!$B$11,Paramètres!$A$1:$I$89,5,0)</f>
        <v>85.071999999999989</v>
      </c>
      <c r="BF23" s="14">
        <f t="shared" si="37"/>
        <v>23.372843040969951</v>
      </c>
      <c r="BG23" s="22">
        <f t="shared" si="7"/>
        <v>188.874768296356</v>
      </c>
      <c r="BH23" s="62">
        <f t="shared" si="8"/>
        <v>469.98587940746711</v>
      </c>
      <c r="BI23" s="62">
        <f ca="1">AVERAGE(OFFSET($BH$3,0,0,'Données projet'!$E$11+1,1))-AVERAGE(OFFSET($H$3,0,0,'Données projet'!$E$11+1,1))</f>
        <v>262.36903350767881</v>
      </c>
      <c r="BJ23" s="62">
        <f t="shared" si="38"/>
        <v>331.21009482262417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6.2059151692802095</v>
      </c>
      <c r="BQ23" s="23">
        <f>EXP(-LN(2)/25)*BQ22+(1-EXP(-LN(2)/25))/(LN(2)/25)*Calculateur!BL23*Calculateur!BN23*VLOOKUP('Données projet'!$B$11,Paramètres!$A$1:$I$89,3,0)*0.475*44/12</f>
        <v>16.796683655040216</v>
      </c>
      <c r="BR23" s="23">
        <f>EXP(-LN(2)/2)*BR22+(1-EXP(-LN(2)/2))/(LN(2)/2)*BL23*BO23*VLOOKUP('Données projet'!$B$11,Paramètres!$A$1:$I$89,3,0)*0.475*44/12</f>
        <v>8.308592335000613</v>
      </c>
      <c r="BS23" s="24">
        <f t="shared" si="9"/>
        <v>31.311191159321041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3.887142857142857</v>
      </c>
      <c r="BY23" s="13">
        <f>IF('Données projet'!$A$114&gt;35,BY22+BX23-CG22,IF(A23&lt;'Données projet'!$A$114,$BV$205^A23,IF(A23='Données projet'!$A$114,'Données projet'!$B$114,BY22+BX23-CG22)))</f>
        <v>77.742857142857133</v>
      </c>
      <c r="BZ23" s="14">
        <f>BY23*VLOOKUP('Données projet'!$B$12,Paramètres!$A$1:$I$89,3,0)*VLOOKUP('Données projet'!$B$12,Paramètres!$A$1:$I$89,5,0)</f>
        <v>75.192891428571414</v>
      </c>
      <c r="CA23" s="14">
        <f t="shared" si="39"/>
        <v>20.957615695785943</v>
      </c>
      <c r="CB23" s="22">
        <f t="shared" si="10"/>
        <v>167.46213324158907</v>
      </c>
      <c r="CC23" s="62">
        <f t="shared" si="11"/>
        <v>448.57324435270021</v>
      </c>
      <c r="CD23" s="62">
        <f ca="1">AVERAGE(OFFSET($CC$3,0,0,'Données projet'!$E$12+1,1))-AVERAGE(OFFSET($H$3,0,0,'Données projet'!$E$12+1,1))</f>
        <v>618.83149423524605</v>
      </c>
      <c r="CE23" s="62">
        <f t="shared" si="40"/>
        <v>285.33582535802435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5.8668181818181813</v>
      </c>
      <c r="CT23" s="13">
        <f>IF('Données projet'!$A$140&gt;35,CT22+CS23-DB22,IF(A23&lt;'Données projet'!$A$140,$CQ$205^A23,IF(A23='Données projet'!$A$140,'Données projet'!$B$140,CT22+CS23-DB22)))</f>
        <v>82.972103429550899</v>
      </c>
      <c r="CU23" s="18">
        <f>CT23*VLOOKUP('Données projet'!$B$13,Paramètres!$A$1:$I$89,3,0)*VLOOKUP('Données projet'!$B$13,Paramètres!$A$1:$I$89,5,0)</f>
        <v>49.617317850871444</v>
      </c>
      <c r="CV23" s="14">
        <f t="shared" si="41"/>
        <v>14.514886181018609</v>
      </c>
      <c r="CW23" s="22">
        <f t="shared" si="13"/>
        <v>111.69692202220851</v>
      </c>
      <c r="CX23" s="62">
        <f t="shared" si="14"/>
        <v>392.80803313331967</v>
      </c>
      <c r="CY23" s="62">
        <f ca="1">AVERAGE(OFFSET($CX$3,0,0,'Données projet'!$E$13+1,1))-AVERAGE(OFFSET($H$3,0,0,'Données projet'!$E$13+1,1))</f>
        <v>349.5718186624772</v>
      </c>
      <c r="CZ23" s="62">
        <f t="shared" si="42"/>
        <v>258.14152930815959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87</v>
      </c>
      <c r="DM23" s="13">
        <f>VLOOKUP(A23,'Données projet'!$A$165:$I$185,9,0)</f>
        <v>8</v>
      </c>
      <c r="DN23" s="13">
        <f t="array" ref="DN23">INDEX(DM:DM,MIN(IF(ISNUMBER(DM23:DM219),ROW(DM23:DM219),"")))</f>
        <v>8</v>
      </c>
      <c r="DO23" s="13">
        <f>IF('Données projet'!$A$166&gt;35,DO22+DN23-DW22,IF(A23&lt;'Données projet'!$A$166,$DL$205^A23,IF(A23='Données projet'!$A$166,'Données projet'!$B$166,DO22+DN23-DW22)))</f>
        <v>87</v>
      </c>
      <c r="DP23" s="18">
        <f>DO23*VLOOKUP('Données projet'!$B$14,Paramètres!$A$1:$I$89,3,0)*VLOOKUP('Données projet'!$B$14,Paramètres!$A$1:$I$89,5,0)</f>
        <v>76.003200000000007</v>
      </c>
      <c r="DQ23" s="14">
        <f t="shared" si="43"/>
        <v>21.157049992000456</v>
      </c>
      <c r="DR23" s="22">
        <f t="shared" si="16"/>
        <v>169.22076873606747</v>
      </c>
      <c r="DS23" s="62">
        <f t="shared" si="17"/>
        <v>450.33187984717858</v>
      </c>
      <c r="DT23" s="62">
        <f ca="1">AVERAGE(OFFSET($DS$3,0,0,'Données projet'!$E$14+1,1))-AVERAGE(OFFSET($H$3,0,0,'Données projet'!$E$14+1,1))</f>
        <v>300.63505444445104</v>
      </c>
      <c r="DU23" s="62">
        <f t="shared" si="44"/>
        <v>266.32508105927997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29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102</v>
      </c>
      <c r="EH23" s="13">
        <f>VLOOKUP(A23,'Données projet'!$A$191:$I$211,9,0)</f>
        <v>13.8</v>
      </c>
      <c r="EI23" s="13">
        <f t="array" ref="EI23">INDEX(EH:EH,MIN(IF(ISNUMBER(EH23:EH219),ROW(EH23:EH219),"")))</f>
        <v>13.8</v>
      </c>
      <c r="EJ23" s="13">
        <f>IF('Données projet'!$A$192&gt;35,EJ22+EI23-ER22,IF(A23&lt;'Données projet'!$A$192,$EG$205^A23,IF(A23='Données projet'!$A$192,'Données projet'!$B$192,EJ22+EI23-ER22)))</f>
        <v>101.99999999999999</v>
      </c>
      <c r="EK23" s="18">
        <f>EJ23*VLOOKUP('Données projet'!$B$15,Paramètres!$A$1:$I$89,3,0)*VLOOKUP('Données projet'!$B$15,Paramètres!$A$1:$I$89,5,0)</f>
        <v>81.151200000000003</v>
      </c>
      <c r="EL23" s="14">
        <f t="shared" si="45"/>
        <v>22.418424032002342</v>
      </c>
      <c r="EM23" s="22">
        <f t="shared" si="19"/>
        <v>180.38376185573739</v>
      </c>
      <c r="EN23" s="62">
        <f t="shared" si="20"/>
        <v>461.49487296684856</v>
      </c>
      <c r="EO23" s="62">
        <f ca="1">AVERAGE(OFFSET($EN$3,0,0,'Données projet'!$E$15+1,1))-AVERAGE(OFFSET($H$3,0,0,'Données projet'!$E$15+1,1))</f>
        <v>353.37024194969638</v>
      </c>
      <c r="EP23" s="62">
        <f t="shared" si="46"/>
        <v>345.4750813433123</v>
      </c>
      <c r="EQ23" s="16">
        <f>IF(ISNA(VLOOKUP(A23,'Données projet'!$A$191:$I$211,3,0)),0,VLOOKUP(A23,'Données projet'!$A$191:$I$211,3,0))</f>
        <v>3</v>
      </c>
      <c r="ER23" s="16">
        <f>IF(ISNA(VLOOKUP(A23,'Données projet'!$A$191:$I$211,4,0)),0,VLOOKUP(A23,'Données projet'!$A$191:$I$211,4,0))</f>
        <v>35</v>
      </c>
      <c r="ES23" s="17">
        <f>IF(ISNA(VLOOKUP(A23,'Données projet'!$A$191:$I$211,5,0)),0%,VLOOKUP(A23,'Données projet'!$A$191:$I$211,5,0)*VLOOKUP('Données projet'!$B$15,Paramètres!$A$1:$I$89,7,0))</f>
        <v>0.10600000000000001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5.9650407748652601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5.9650407748652601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100</v>
      </c>
      <c r="FC23" s="13">
        <f>VLOOKUP(A23,'Données projet'!$A$217:$I$237,9,0)</f>
        <v>12</v>
      </c>
      <c r="FD23" s="13">
        <f t="array" ref="FD23">INDEX(FC:FC,MIN(IF(ISNUMBER(FC23:FC219),ROW(FC23:FC219),"")))</f>
        <v>12</v>
      </c>
      <c r="FE23" s="13">
        <f>IF('Données projet'!$A$218&gt;35,FE22+FD23-FM22,IF(A23&lt;'Données projet'!$A$218,$FB$205^A23,IF(A23='Données projet'!$A$218,'Données projet'!$B$218,FE22+FD23-FM22)))</f>
        <v>100</v>
      </c>
      <c r="FF23" s="18">
        <f>FE23*VLOOKUP('Données projet'!$B$16,Paramètres!$A$1:$I$89,3,0)*VLOOKUP('Données projet'!$B$16,Paramètres!$A$1:$I$89,5,0)</f>
        <v>65.52</v>
      </c>
      <c r="FG23" s="14">
        <f t="shared" si="47"/>
        <v>18.556669503136725</v>
      </c>
      <c r="FH23" s="22">
        <f t="shared" si="22"/>
        <v>146.43353271796309</v>
      </c>
      <c r="FI23" s="62">
        <f t="shared" si="23"/>
        <v>427.54464382907423</v>
      </c>
      <c r="FJ23" s="62">
        <f ca="1">AVERAGE(OFFSET($FI$3,0,0,'Données projet'!$E$16+1,1))-AVERAGE(OFFSET($H$3,0,0,'Données projet'!$E$16+1,1))</f>
        <v>263.30962868541337</v>
      </c>
      <c r="FK23" s="62">
        <f t="shared" si="48"/>
        <v>269.61868559913404</v>
      </c>
      <c r="FL23" s="16">
        <f>IF(ISNA(VLOOKUP(A23,'Données projet'!$A$217:$I$237,3,0)),0,VLOOKUP(A23,'Données projet'!$A$217:$I$237,3,0))</f>
        <v>3</v>
      </c>
      <c r="FM23" s="16">
        <f>IF(ISNA(VLOOKUP(A23,'Données projet'!$A$217:$I$237,4,0)),0,VLOOKUP(A23,'Données projet'!$A$217:$I$237,4,0))</f>
        <v>10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4.5262222222222226</v>
      </c>
      <c r="N24" s="14">
        <f>IF('Données projet'!$A$36&gt;35,N23+M24-V23,IF(A24&lt;'Données projet'!$A$36,$K$205^A24,IF(A24='Données projet'!$A$36,'Données projet'!$B$36,N23+M24-V23)))</f>
        <v>95.050666666666643</v>
      </c>
      <c r="O24" s="14">
        <f>N24*VLOOKUP('Données projet'!$B$9,Paramètres!$A$1:$I$89,3,0)*VLOOKUP('Données projet'!$B$9,Paramètres!$A$1:$I$89,5,0)</f>
        <v>56.840298666666655</v>
      </c>
      <c r="P24" s="14">
        <f t="shared" si="33"/>
        <v>16.366899544361157</v>
      </c>
      <c r="Q24" s="22">
        <f t="shared" si="2"/>
        <v>127.50253688420678</v>
      </c>
      <c r="R24" s="62">
        <f t="shared" si="0"/>
        <v>409.8358702175401</v>
      </c>
      <c r="S24" s="62">
        <f ca="1">AVERAGE(OFFSET($R$3,0,0,'Données projet'!$E$9+1,1))-AVERAGE(OFFSET($H$3,0,0,'Données projet'!$E$9+1,1))</f>
        <v>262.06511368698341</v>
      </c>
      <c r="T24" s="62">
        <f t="shared" si="34"/>
        <v>217.15709240080542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6.3325490196078427</v>
      </c>
      <c r="AI24" s="14">
        <f>IF('Données projet'!$A$62&gt;35,AI23+AH24-AQ23,IF(A24&lt;'Données projet'!$A$62,$AF$205^A24,IF(A24='Données projet'!$A$62,'Données projet'!$B$62,AI23+AH24-AQ23)))</f>
        <v>132.98352941176466</v>
      </c>
      <c r="AJ24" s="14">
        <f>AI24*VLOOKUP('Données projet'!$B$10,Paramètres!$A$1:$I$89,3,0)*VLOOKUP('Données projet'!$B$10,Paramètres!$A$1:$I$89,5,0)</f>
        <v>62.236291764705861</v>
      </c>
      <c r="AK24" s="14">
        <f t="shared" si="35"/>
        <v>17.732463939972927</v>
      </c>
      <c r="AL24" s="22">
        <f t="shared" si="4"/>
        <v>139.27891618564885</v>
      </c>
      <c r="AM24" s="62">
        <f t="shared" si="5"/>
        <v>421.61224951898214</v>
      </c>
      <c r="AN24" s="62">
        <f ca="1">AVERAGE(OFFSET($AM$3,0,0,'Données projet'!$E$10+1,1))-AVERAGE(OFFSET($H$3,0,0,'Données projet'!$E$10+1,1))</f>
        <v>287.83167869616227</v>
      </c>
      <c r="AO24" s="62">
        <f t="shared" si="36"/>
        <v>233.84231920589906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14.666666666666666</v>
      </c>
      <c r="BD24" s="13">
        <f>IF('Données projet'!$A$88&gt;35,BD23+BC24-BL23,IF(A24&lt;'Données projet'!$A$88,$BA$205^A24,IF(A24='Données projet'!$A$88,'Données projet'!$B$88,BD23+BC24-BL23)))</f>
        <v>150.99999999999997</v>
      </c>
      <c r="BE24" s="14">
        <f>BD24*VLOOKUP('Données projet'!$B$11,Paramètres!$A$1:$I$89,3,0)*VLOOKUP('Données projet'!$B$11,Paramètres!$A$1:$I$89,5,0)</f>
        <v>94.22399999999999</v>
      </c>
      <c r="BF24" s="14">
        <f t="shared" si="37"/>
        <v>25.581216834792983</v>
      </c>
      <c r="BG24" s="22">
        <f t="shared" si="7"/>
        <v>208.6607526539311</v>
      </c>
      <c r="BH24" s="62">
        <f t="shared" si="8"/>
        <v>490.99408598726438</v>
      </c>
      <c r="BI24" s="62">
        <f ca="1">AVERAGE(OFFSET($BH$3,0,0,'Données projet'!$E$11+1,1))-AVERAGE(OFFSET($H$3,0,0,'Données projet'!$E$11+1,1))</f>
        <v>262.36903350767881</v>
      </c>
      <c r="BJ24" s="62">
        <f t="shared" si="38"/>
        <v>331.21009482262417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6.0842209580451172</v>
      </c>
      <c r="BQ24" s="23">
        <f>EXP(-LN(2)/25)*BQ23+(1-EXP(-LN(2)/25))/(LN(2)/25)*Calculateur!BL24*Calculateur!BN24*VLOOKUP('Données projet'!$B$11,Paramètres!$A$1:$I$89,3,0)*0.475*44/12</f>
        <v>16.337377457193938</v>
      </c>
      <c r="BR24" s="23">
        <f>EXP(-LN(2)/2)*BR23+(1-EXP(-LN(2)/2))/(LN(2)/2)*BL24*BO24*VLOOKUP('Données projet'!$B$11,Paramètres!$A$1:$I$89,3,0)*0.475*44/12</f>
        <v>5.8750619821935048</v>
      </c>
      <c r="BS24" s="24">
        <f t="shared" si="9"/>
        <v>28.296660397432557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3.887142857142857</v>
      </c>
      <c r="BY24" s="13">
        <f>IF('Données projet'!$A$114&gt;35,BY23+BX24-CG23,IF(A24&lt;'Données projet'!$A$114,$BV$205^A24,IF(A24='Données projet'!$A$114,'Données projet'!$B$114,BY23+BX24-CG23)))</f>
        <v>81.63</v>
      </c>
      <c r="BZ24" s="14">
        <f>BY24*VLOOKUP('Données projet'!$B$12,Paramètres!$A$1:$I$89,3,0)*VLOOKUP('Données projet'!$B$12,Paramètres!$A$1:$I$89,5,0)</f>
        <v>78.952535999999995</v>
      </c>
      <c r="CA24" s="14">
        <f t="shared" si="39"/>
        <v>21.880877613822086</v>
      </c>
      <c r="CB24" s="22">
        <f t="shared" si="10"/>
        <v>175.61819537740678</v>
      </c>
      <c r="CC24" s="62">
        <f t="shared" si="11"/>
        <v>457.95152871074009</v>
      </c>
      <c r="CD24" s="62">
        <f ca="1">AVERAGE(OFFSET($CC$3,0,0,'Données projet'!$E$12+1,1))-AVERAGE(OFFSET($H$3,0,0,'Données projet'!$E$12+1,1))</f>
        <v>618.83149423524605</v>
      </c>
      <c r="CE24" s="62">
        <f t="shared" si="40"/>
        <v>285.33582535802435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5.8668181818181813</v>
      </c>
      <c r="CT24" s="13">
        <f>IF('Données projet'!$A$140&gt;35,CT23+CS24-DB23,IF(A24&lt;'Données projet'!$A$140,$CQ$205^A24,IF(A24='Données projet'!$A$140,'Données projet'!$B$140,CT23+CS24-DB23)))</f>
        <v>103.48531001863087</v>
      </c>
      <c r="CU24" s="18">
        <f>CT24*VLOOKUP('Données projet'!$B$13,Paramètres!$A$1:$I$89,3,0)*VLOOKUP('Données projet'!$B$13,Paramètres!$A$1:$I$89,5,0)</f>
        <v>61.884215391141261</v>
      </c>
      <c r="CV24" s="14">
        <f t="shared" si="41"/>
        <v>17.643797099482939</v>
      </c>
      <c r="CW24" s="22">
        <f t="shared" si="13"/>
        <v>138.51128842117049</v>
      </c>
      <c r="CX24" s="62">
        <f t="shared" si="14"/>
        <v>420.84462175450381</v>
      </c>
      <c r="CY24" s="62">
        <f ca="1">AVERAGE(OFFSET($CX$3,0,0,'Données projet'!$E$13+1,1))-AVERAGE(OFFSET($H$3,0,0,'Données projet'!$E$13+1,1))</f>
        <v>349.5718186624772</v>
      </c>
      <c r="CZ24" s="62">
        <f t="shared" si="42"/>
        <v>258.14152930815959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</v>
      </c>
      <c r="DO24" s="13">
        <f>IF('Données projet'!$A$166&gt;35,DO23+DN24-DW23,IF(A24&lt;'Données projet'!$A$166,$DL$205^A24,IF(A24='Données projet'!$A$166,'Données projet'!$B$166,DO23+DN24-DW23)))</f>
        <v>66</v>
      </c>
      <c r="DP24" s="18">
        <f>DO24*VLOOKUP('Données projet'!$B$14,Paramètres!$A$1:$I$89,3,0)*VLOOKUP('Données projet'!$B$14,Paramètres!$A$1:$I$89,5,0)</f>
        <v>57.657600000000002</v>
      </c>
      <c r="DQ24" s="14">
        <f t="shared" si="43"/>
        <v>16.574671209026025</v>
      </c>
      <c r="DR24" s="22">
        <f t="shared" si="16"/>
        <v>129.28787235572034</v>
      </c>
      <c r="DS24" s="62">
        <f t="shared" si="17"/>
        <v>411.62120568905368</v>
      </c>
      <c r="DT24" s="62">
        <f ca="1">AVERAGE(OFFSET($DS$3,0,0,'Données projet'!$E$14+1,1))-AVERAGE(OFFSET($H$3,0,0,'Données projet'!$E$14+1,1))</f>
        <v>300.63505444445104</v>
      </c>
      <c r="DU24" s="62">
        <f t="shared" si="44"/>
        <v>266.32508105927997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14.8</v>
      </c>
      <c r="EJ24" s="13">
        <f>IF('Données projet'!$A$192&gt;35,EJ23+EI24-ER23,IF(A24&lt;'Données projet'!$A$192,$EG$205^A24,IF(A24='Données projet'!$A$192,'Données projet'!$B$192,EJ23+EI24-ER23)))</f>
        <v>81.799999999999983</v>
      </c>
      <c r="EK24" s="18">
        <f>EJ24*VLOOKUP('Données projet'!$B$15,Paramètres!$A$1:$I$89,3,0)*VLOOKUP('Données projet'!$B$15,Paramètres!$A$1:$I$89,5,0)</f>
        <v>65.080079999999981</v>
      </c>
      <c r="EL24" s="14">
        <f t="shared" si="45"/>
        <v>18.44653442602603</v>
      </c>
      <c r="EM24" s="22">
        <f t="shared" si="19"/>
        <v>145.47552012532864</v>
      </c>
      <c r="EN24" s="62">
        <f t="shared" si="20"/>
        <v>427.80885345866193</v>
      </c>
      <c r="EO24" s="62">
        <f ca="1">AVERAGE(OFFSET($EN$3,0,0,'Données projet'!$E$15+1,1))-AVERAGE(OFFSET($H$3,0,0,'Données projet'!$E$15+1,1))</f>
        <v>353.37024194969638</v>
      </c>
      <c r="EP24" s="62">
        <f t="shared" si="46"/>
        <v>345.4750813433123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5.8480699635857709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5.8480699635857709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9.6</v>
      </c>
      <c r="FE24" s="13">
        <f>IF('Données projet'!$A$218&gt;35,FE23+FD24-FM23,IF(A24&lt;'Données projet'!$A$218,$FB$205^A24,IF(A24='Données projet'!$A$218,'Données projet'!$B$218,FE23+FD24-FM23)))</f>
        <v>99.6</v>
      </c>
      <c r="FF24" s="18">
        <f>FE24*VLOOKUP('Données projet'!$B$16,Paramètres!$A$1:$I$89,3,0)*VLOOKUP('Données projet'!$B$16,Paramètres!$A$1:$I$89,5,0)</f>
        <v>65.257919999999999</v>
      </c>
      <c r="FG24" s="14">
        <f t="shared" si="47"/>
        <v>18.491067519086762</v>
      </c>
      <c r="FH24" s="22">
        <f t="shared" si="22"/>
        <v>145.8628199290761</v>
      </c>
      <c r="FI24" s="62">
        <f t="shared" si="23"/>
        <v>428.19615326240944</v>
      </c>
      <c r="FJ24" s="62">
        <f ca="1">AVERAGE(OFFSET($FI$3,0,0,'Données projet'!$E$16+1,1))-AVERAGE(OFFSET($H$3,0,0,'Données projet'!$E$16+1,1))</f>
        <v>263.30962868541337</v>
      </c>
      <c r="FK24" s="62">
        <f t="shared" si="48"/>
        <v>269.61868559913404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4.5262222222222226</v>
      </c>
      <c r="N25" s="14">
        <f>IF('Données projet'!$A$36&gt;35,N24+M25-V24,IF(A25&lt;'Données projet'!$A$36,$K$205^A25,IF(A25='Données projet'!$A$36,'Données projet'!$B$36,N24+M25-V24)))</f>
        <v>99.57688888888886</v>
      </c>
      <c r="O25" s="14">
        <f>N25*VLOOKUP('Données projet'!$B$9,Paramètres!$A$1:$I$89,3,0)*VLOOKUP('Données projet'!$B$9,Paramètres!$A$1:$I$89,5,0)</f>
        <v>59.546979555555545</v>
      </c>
      <c r="P25" s="14">
        <f t="shared" si="33"/>
        <v>17.053680757326159</v>
      </c>
      <c r="Q25" s="22">
        <f t="shared" si="2"/>
        <v>133.41281671160229</v>
      </c>
      <c r="R25" s="62">
        <f t="shared" si="0"/>
        <v>416.96837226715786</v>
      </c>
      <c r="S25" s="62">
        <f ca="1">AVERAGE(OFFSET($R$3,0,0,'Données projet'!$E$9+1,1))-AVERAGE(OFFSET($H$3,0,0,'Données projet'!$E$9+1,1))</f>
        <v>262.06511368698341</v>
      </c>
      <c r="T25" s="62">
        <f t="shared" si="34"/>
        <v>217.15709240080542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6.3325490196078427</v>
      </c>
      <c r="AI25" s="14">
        <f>IF('Données projet'!$A$62&gt;35,AI24+AH25-AQ24,IF(A25&lt;'Données projet'!$A$62,$AF$205^A25,IF(A25='Données projet'!$A$62,'Données projet'!$B$62,AI24+AH25-AQ24)))</f>
        <v>139.31607843137252</v>
      </c>
      <c r="AJ25" s="14">
        <f>AI25*VLOOKUP('Données projet'!$B$10,Paramètres!$A$1:$I$89,3,0)*VLOOKUP('Données projet'!$B$10,Paramètres!$A$1:$I$89,5,0)</f>
        <v>65.199924705882339</v>
      </c>
      <c r="AK25" s="14">
        <f t="shared" si="35"/>
        <v>18.476546413293221</v>
      </c>
      <c r="AL25" s="22">
        <f t="shared" si="4"/>
        <v>145.7365205325641</v>
      </c>
      <c r="AM25" s="62">
        <f t="shared" si="5"/>
        <v>429.29207608811964</v>
      </c>
      <c r="AN25" s="62">
        <f ca="1">AVERAGE(OFFSET($AM$3,0,0,'Données projet'!$E$10+1,1))-AVERAGE(OFFSET($H$3,0,0,'Données projet'!$E$10+1,1))</f>
        <v>287.83167869616227</v>
      </c>
      <c r="AO25" s="62">
        <f t="shared" si="36"/>
        <v>233.84231920589906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14.666666666666666</v>
      </c>
      <c r="BD25" s="13">
        <f>IF('Données projet'!$A$88&gt;35,BD24+BC25-BL24,IF(A25&lt;'Données projet'!$A$88,$BA$205^A25,IF(A25='Données projet'!$A$88,'Données projet'!$B$88,BD24+BC25-BL24)))</f>
        <v>165.66666666666663</v>
      </c>
      <c r="BE25" s="14">
        <f>BD25*VLOOKUP('Données projet'!$B$11,Paramètres!$A$1:$I$89,3,0)*VLOOKUP('Données projet'!$B$11,Paramètres!$A$1:$I$89,5,0)</f>
        <v>103.37599999999998</v>
      </c>
      <c r="BF25" s="14">
        <f t="shared" si="37"/>
        <v>27.76472221481021</v>
      </c>
      <c r="BG25" s="22">
        <f t="shared" si="7"/>
        <v>228.4034245241277</v>
      </c>
      <c r="BH25" s="62">
        <f t="shared" si="8"/>
        <v>511.95898007968322</v>
      </c>
      <c r="BI25" s="62">
        <f ca="1">AVERAGE(OFFSET($BH$3,0,0,'Données projet'!$E$11+1,1))-AVERAGE(OFFSET($H$3,0,0,'Données projet'!$E$11+1,1))</f>
        <v>262.36903350767881</v>
      </c>
      <c r="BJ25" s="62">
        <f t="shared" si="38"/>
        <v>331.21009482262417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5.9649130960662049</v>
      </c>
      <c r="BQ25" s="23">
        <f>EXP(-LN(2)/25)*BQ24+(1-EXP(-LN(2)/25))/(LN(2)/25)*Calculateur!BL25*Calculateur!BN25*VLOOKUP('Données projet'!$B$11,Paramètres!$A$1:$I$89,3,0)*0.475*44/12</f>
        <v>15.890631011481629</v>
      </c>
      <c r="BR25" s="23">
        <f>EXP(-LN(2)/2)*BR24+(1-EXP(-LN(2)/2))/(LN(2)/2)*BL25*BO25*VLOOKUP('Données projet'!$B$11,Paramètres!$A$1:$I$89,3,0)*0.475*44/12</f>
        <v>4.1542961675003074</v>
      </c>
      <c r="BS25" s="24">
        <f t="shared" si="9"/>
        <v>26.009840275048141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3.887142857142857</v>
      </c>
      <c r="BY25" s="13">
        <f>IF('Données projet'!$A$114&gt;35,BY24+BX25-CG24,IF(A25&lt;'Données projet'!$A$114,$BV$205^A25,IF(A25='Données projet'!$A$114,'Données projet'!$B$114,BY24+BX25-CG24)))</f>
        <v>85.517142857142858</v>
      </c>
      <c r="BZ25" s="14">
        <f>BY25*VLOOKUP('Données projet'!$B$12,Paramètres!$A$1:$I$89,3,0)*VLOOKUP('Données projet'!$B$12,Paramètres!$A$1:$I$89,5,0)</f>
        <v>82.712180571428576</v>
      </c>
      <c r="CA25" s="14">
        <f t="shared" si="39"/>
        <v>22.799034142346564</v>
      </c>
      <c r="CB25" s="22">
        <f t="shared" si="10"/>
        <v>183.76536562649167</v>
      </c>
      <c r="CC25" s="62">
        <f t="shared" si="11"/>
        <v>467.32092118204719</v>
      </c>
      <c r="CD25" s="62">
        <f ca="1">AVERAGE(OFFSET($CC$3,0,0,'Données projet'!$E$12+1,1))-AVERAGE(OFFSET($H$3,0,0,'Données projet'!$E$12+1,1))</f>
        <v>618.83149423524605</v>
      </c>
      <c r="CE25" s="62">
        <f t="shared" si="40"/>
        <v>285.33582535802435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>
        <f>VLOOKUP(A25,'Données projet'!$A$139:$I$159,2,0)</f>
        <v>129.07</v>
      </c>
      <c r="CR25" s="13">
        <f>VLOOKUP(A25,'Données projet'!$A$139:$I$159,9,0)</f>
        <v>5.8668181818181813</v>
      </c>
      <c r="CS25" s="13">
        <f t="array" ref="CS25">INDEX(CR:CR,MIN(IF(ISNUMBER(CR25:CR221),ROW(CR25:CR221),"")))</f>
        <v>5.8668181818181813</v>
      </c>
      <c r="CT25" s="13">
        <f>IF('Données projet'!$A$140&gt;35,CT24+CS25-DB24,IF(A25&lt;'Données projet'!$A$140,$CQ$205^A25,IF(A25='Données projet'!$A$140,'Données projet'!$B$140,CT24+CS25-DB24)))</f>
        <v>129.07</v>
      </c>
      <c r="CU25" s="18">
        <f>CT25*VLOOKUP('Données projet'!$B$13,Paramètres!$A$1:$I$89,3,0)*VLOOKUP('Données projet'!$B$13,Paramètres!$A$1:$I$89,5,0)</f>
        <v>77.183859999999996</v>
      </c>
      <c r="CV25" s="14">
        <f t="shared" si="41"/>
        <v>21.447193743401183</v>
      </c>
      <c r="CW25" s="22">
        <f t="shared" si="13"/>
        <v>171.78241860309038</v>
      </c>
      <c r="CX25" s="62">
        <f t="shared" si="14"/>
        <v>455.33797415864592</v>
      </c>
      <c r="CY25" s="62">
        <f ca="1">AVERAGE(OFFSET($CX$3,0,0,'Données projet'!$E$13+1,1))-AVERAGE(OFFSET($H$3,0,0,'Données projet'!$E$13+1,1))</f>
        <v>349.5718186624772</v>
      </c>
      <c r="CZ25" s="62">
        <f t="shared" si="42"/>
        <v>258.14152930815959</v>
      </c>
      <c r="DA25" s="16">
        <f>IF(ISNA(VLOOKUP(A25,'Données projet'!$A$139:$I$159,3,0)),0,VLOOKUP(A25,'Données projet'!$A$139:$I$159,3,0))</f>
        <v>1</v>
      </c>
      <c r="DB25" s="16">
        <f>IF(ISNA(VLOOKUP(A25,'Données projet'!$A$139:$I$159,4,0)),0,VLOOKUP(A25,'Données projet'!$A$139:$I$159,4,0))</f>
        <v>52.41</v>
      </c>
      <c r="DC25" s="17">
        <f>IF(ISNA(VLOOKUP(A25,'Données projet'!$A$139:$I$159,5,0)),0%,VLOOKUP(A25,'Données projet'!$A$139:$I$159,5,0)*VLOOKUP('Données projet'!$B$13,Paramètres!$A$1:$I$89,7,0))</f>
        <v>0.13500000000000001</v>
      </c>
      <c r="DD25" s="17">
        <f>IF(ISNA(VLOOKUP(A25,'Données projet'!$A$139:$I$159,6,0)),0%,VLOOKUP(A25,'Données projet'!$A$139:$I$159,6,0)*VLOOKUP('Données projet'!$B$13,Paramètres!$A$1:$I$89,7,0))</f>
        <v>0.17550000000000002</v>
      </c>
      <c r="DE25" s="17">
        <f>IF(ISNA(VLOOKUP(A25,'Données projet'!$A$139:$I$159,7,0)),0%,VLOOKUP(A25,'Données projet'!$A$139:$I$159,7,0))</f>
        <v>0.31</v>
      </c>
      <c r="DF25" s="23">
        <f>EXP(-LN(2)/35)*DF24+(1-EXP(-LN(2)/35))/(LN(2)/35)*DB25*DC25*VLOOKUP('Données projet'!$B$13,Paramètres!$A$1:$I$89,3,0)*0.475*44/12</f>
        <v>5.6127728762369022</v>
      </c>
      <c r="DG25" s="23">
        <f>EXP(-LN(2)/25)*DG24+(1-EXP(-LN(2)/25))/(LN(2)/25)*Calculateur!DB25*Calculateur!DD25*VLOOKUP('Données projet'!$B$13,Paramètres!$A$1:$I$89,3,0)*0.475*44/12</f>
        <v>7.2678752260257333</v>
      </c>
      <c r="DH25" s="23">
        <f>EXP(-LN(2)/2)*DH24+(1-EXP(-LN(2)/2))/(LN(2)/2)*DB25*DE25*VLOOKUP('Données projet'!$B$13,Paramètres!$A$1:$I$89,3,0)*0.475*44/12</f>
        <v>11.000503833963061</v>
      </c>
      <c r="DI25" s="24">
        <f t="shared" si="15"/>
        <v>23.881151936225699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</v>
      </c>
      <c r="DO25" s="13">
        <f>IF('Données projet'!$A$166&gt;35,DO24+DN25-DW24,IF(A25&lt;'Données projet'!$A$166,$DL$205^A25,IF(A25='Données projet'!$A$166,'Données projet'!$B$166,DO24+DN25-DW24)))</f>
        <v>74</v>
      </c>
      <c r="DP25" s="18">
        <f>DO25*VLOOKUP('Données projet'!$B$14,Paramètres!$A$1:$I$89,3,0)*VLOOKUP('Données projet'!$B$14,Paramètres!$A$1:$I$89,5,0)</f>
        <v>64.646400000000014</v>
      </c>
      <c r="DQ25" s="14">
        <f t="shared" si="43"/>
        <v>18.337876695493666</v>
      </c>
      <c r="DR25" s="22">
        <f t="shared" si="16"/>
        <v>144.53094857798482</v>
      </c>
      <c r="DS25" s="62">
        <f t="shared" si="17"/>
        <v>428.08650413354036</v>
      </c>
      <c r="DT25" s="62">
        <f ca="1">AVERAGE(OFFSET($DS$3,0,0,'Données projet'!$E$14+1,1))-AVERAGE(OFFSET($H$3,0,0,'Données projet'!$E$14+1,1))</f>
        <v>300.63505444445104</v>
      </c>
      <c r="DU25" s="62">
        <f t="shared" si="44"/>
        <v>266.32508105927997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14.8</v>
      </c>
      <c r="EJ25" s="13">
        <f>IF('Données projet'!$A$192&gt;35,EJ24+EI25-ER24,IF(A25&lt;'Données projet'!$A$192,$EG$205^A25,IF(A25='Données projet'!$A$192,'Données projet'!$B$192,EJ24+EI25-ER24)))</f>
        <v>96.59999999999998</v>
      </c>
      <c r="EK25" s="18">
        <f>EJ25*VLOOKUP('Données projet'!$B$15,Paramètres!$A$1:$I$89,3,0)*VLOOKUP('Données projet'!$B$15,Paramètres!$A$1:$I$89,5,0)</f>
        <v>76.854959999999991</v>
      </c>
      <c r="EL25" s="14">
        <f t="shared" si="45"/>
        <v>21.366419773799993</v>
      </c>
      <c r="EM25" s="22">
        <f t="shared" si="19"/>
        <v>171.06890310603498</v>
      </c>
      <c r="EN25" s="62">
        <f t="shared" si="20"/>
        <v>454.62445866159055</v>
      </c>
      <c r="EO25" s="62">
        <f ca="1">AVERAGE(OFFSET($EN$3,0,0,'Données projet'!$E$15+1,1))-AVERAGE(OFFSET($H$3,0,0,'Données projet'!$E$15+1,1))</f>
        <v>353.37024194969638</v>
      </c>
      <c r="EP25" s="62">
        <f t="shared" si="46"/>
        <v>345.4750813433123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5.7333928785703225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5.7333928785703225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9.6</v>
      </c>
      <c r="FE25" s="13">
        <f>IF('Données projet'!$A$218&gt;35,FE24+FD25-FM24,IF(A25&lt;'Données projet'!$A$218,$FB$205^A25,IF(A25='Données projet'!$A$218,'Données projet'!$B$218,FE24+FD25-FM24)))</f>
        <v>109.19999999999999</v>
      </c>
      <c r="FF25" s="18">
        <f>FE25*VLOOKUP('Données projet'!$B$16,Paramètres!$A$1:$I$89,3,0)*VLOOKUP('Données projet'!$B$16,Paramètres!$A$1:$I$89,5,0)</f>
        <v>71.547839999999994</v>
      </c>
      <c r="FG25" s="14">
        <f t="shared" si="47"/>
        <v>20.05735014974319</v>
      </c>
      <c r="FH25" s="22">
        <f t="shared" si="22"/>
        <v>159.54570617746938</v>
      </c>
      <c r="FI25" s="62">
        <f t="shared" si="23"/>
        <v>443.1012617330249</v>
      </c>
      <c r="FJ25" s="62">
        <f ca="1">AVERAGE(OFFSET($FI$3,0,0,'Données projet'!$E$16+1,1))-AVERAGE(OFFSET($H$3,0,0,'Données projet'!$E$16+1,1))</f>
        <v>263.30962868541337</v>
      </c>
      <c r="FK25" s="62">
        <f t="shared" si="48"/>
        <v>269.61868559913404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4.5262222222222226</v>
      </c>
      <c r="N26" s="14">
        <f>IF('Données projet'!$A$36&gt;35,N25+M26-V25,IF(A26&lt;'Données projet'!$A$36,$K$205^A26,IF(A26='Données projet'!$A$36,'Données projet'!$B$36,N25+M26-V25)))</f>
        <v>104.10311111111108</v>
      </c>
      <c r="O26" s="14">
        <f>N26*VLOOKUP('Données projet'!$B$9,Paramètres!$A$1:$I$89,3,0)*VLOOKUP('Données projet'!$B$9,Paramètres!$A$1:$I$89,5,0)</f>
        <v>62.253660444444428</v>
      </c>
      <c r="P26" s="14">
        <f t="shared" si="33"/>
        <v>17.736836550927574</v>
      </c>
      <c r="Q26" s="22">
        <f t="shared" si="2"/>
        <v>139.31678226693955</v>
      </c>
      <c r="R26" s="62">
        <f t="shared" si="0"/>
        <v>424.09456004471735</v>
      </c>
      <c r="S26" s="62">
        <f ca="1">AVERAGE(OFFSET($R$3,0,0,'Données projet'!$E$9+1,1))-AVERAGE(OFFSET($H$3,0,0,'Données projet'!$E$9+1,1))</f>
        <v>262.06511368698341</v>
      </c>
      <c r="T26" s="62">
        <f t="shared" si="34"/>
        <v>217.15709240080542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6.3325490196078427</v>
      </c>
      <c r="AI26" s="14">
        <f>IF('Données projet'!$A$62&gt;35,AI25+AH26-AQ25,IF(A26&lt;'Données projet'!$A$62,$AF$205^A26,IF(A26='Données projet'!$A$62,'Données projet'!$B$62,AI25+AH26-AQ25)))</f>
        <v>145.64862745098037</v>
      </c>
      <c r="AJ26" s="14">
        <f>AI26*VLOOKUP('Données projet'!$B$10,Paramètres!$A$1:$I$89,3,0)*VLOOKUP('Données projet'!$B$10,Paramètres!$A$1:$I$89,5,0)</f>
        <v>68.163557647058809</v>
      </c>
      <c r="AK26" s="14">
        <f t="shared" si="35"/>
        <v>19.216700982128117</v>
      </c>
      <c r="AL26" s="22">
        <f t="shared" si="4"/>
        <v>152.18728377916722</v>
      </c>
      <c r="AM26" s="62">
        <f t="shared" si="5"/>
        <v>436.96506155694499</v>
      </c>
      <c r="AN26" s="62">
        <f ca="1">AVERAGE(OFFSET($AM$3,0,0,'Données projet'!$E$10+1,1))-AVERAGE(OFFSET($H$3,0,0,'Données projet'!$E$10+1,1))</f>
        <v>287.83167869616227</v>
      </c>
      <c r="AO26" s="62">
        <f t="shared" si="36"/>
        <v>233.84231920589906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14.666666666666666</v>
      </c>
      <c r="BD26" s="13">
        <f>IF('Données projet'!$A$88&gt;35,BD25+BC26-BL25,IF(A26&lt;'Données projet'!$A$88,$BA$205^A26,IF(A26='Données projet'!$A$88,'Données projet'!$B$88,BD25+BC26-BL25)))</f>
        <v>180.33333333333329</v>
      </c>
      <c r="BE26" s="14">
        <f>BD26*VLOOKUP('Données projet'!$B$11,Paramètres!$A$1:$I$89,3,0)*VLOOKUP('Données projet'!$B$11,Paramètres!$A$1:$I$89,5,0)</f>
        <v>112.52799999999996</v>
      </c>
      <c r="BF26" s="14">
        <f t="shared" si="37"/>
        <v>29.925811159844582</v>
      </c>
      <c r="BG26" s="22">
        <f t="shared" si="7"/>
        <v>248.10705443672927</v>
      </c>
      <c r="BH26" s="62">
        <f t="shared" si="8"/>
        <v>532.88483221450701</v>
      </c>
      <c r="BI26" s="62">
        <f ca="1">AVERAGE(OFFSET($BH$3,0,0,'Données projet'!$E$11+1,1))-AVERAGE(OFFSET($H$3,0,0,'Données projet'!$E$11+1,1))</f>
        <v>262.36903350767881</v>
      </c>
      <c r="BJ26" s="62">
        <f t="shared" si="38"/>
        <v>331.21009482262417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5.8479447884900893</v>
      </c>
      <c r="BQ26" s="23">
        <f>EXP(-LN(2)/25)*BQ25+(1-EXP(-LN(2)/25))/(LN(2)/25)*Calculateur!BL26*Calculateur!BN26*VLOOKUP('Données projet'!$B$11,Paramètres!$A$1:$I$89,3,0)*0.475*44/12</f>
        <v>15.456100870820697</v>
      </c>
      <c r="BR26" s="23">
        <f>EXP(-LN(2)/2)*BR25+(1-EXP(-LN(2)/2))/(LN(2)/2)*BL26*BO26*VLOOKUP('Données projet'!$B$11,Paramètres!$A$1:$I$89,3,0)*0.475*44/12</f>
        <v>2.9375309910967529</v>
      </c>
      <c r="BS26" s="24">
        <f t="shared" si="9"/>
        <v>24.241576650407541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3.887142857142857</v>
      </c>
      <c r="BY26" s="13">
        <f>IF('Données projet'!$A$114&gt;35,BY25+BX26-CG25,IF(A26&lt;'Données projet'!$A$114,$BV$205^A26,IF(A26='Données projet'!$A$114,'Données projet'!$B$114,BY25+BX26-CG25)))</f>
        <v>89.40428571428572</v>
      </c>
      <c r="BZ26" s="14">
        <f>BY26*VLOOKUP('Données projet'!$B$12,Paramètres!$A$1:$I$89,3,0)*VLOOKUP('Données projet'!$B$12,Paramètres!$A$1:$I$89,5,0)</f>
        <v>86.471825142857142</v>
      </c>
      <c r="CA26" s="14">
        <f t="shared" si="39"/>
        <v>23.71234385445489</v>
      </c>
      <c r="CB26" s="22">
        <f t="shared" si="10"/>
        <v>191.90409433698508</v>
      </c>
      <c r="CC26" s="62">
        <f t="shared" si="11"/>
        <v>476.68187211476288</v>
      </c>
      <c r="CD26" s="62">
        <f ca="1">AVERAGE(OFFSET($CC$3,0,0,'Données projet'!$E$12+1,1))-AVERAGE(OFFSET($H$3,0,0,'Données projet'!$E$12+1,1))</f>
        <v>618.83149423524605</v>
      </c>
      <c r="CE26" s="62">
        <f t="shared" si="40"/>
        <v>285.33582535802435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15.766000000000002</v>
      </c>
      <c r="CT26" s="13">
        <f>IF('Données projet'!$A$140&gt;35,CT25+CS26-DB25,IF(A26&lt;'Données projet'!$A$140,$CQ$205^A26,IF(A26='Données projet'!$A$140,'Données projet'!$B$140,CT25+CS26-DB25)))</f>
        <v>92.425999999999988</v>
      </c>
      <c r="CU26" s="18">
        <f>CT26*VLOOKUP('Données projet'!$B$13,Paramètres!$A$1:$I$89,3,0)*VLOOKUP('Données projet'!$B$13,Paramètres!$A$1:$I$89,5,0)</f>
        <v>55.27074799999999</v>
      </c>
      <c r="CV26" s="14">
        <f t="shared" si="41"/>
        <v>15.966912640281619</v>
      </c>
      <c r="CW26" s="22">
        <f t="shared" si="13"/>
        <v>124.07225894849046</v>
      </c>
      <c r="CX26" s="62">
        <f t="shared" si="14"/>
        <v>408.85003672626823</v>
      </c>
      <c r="CY26" s="62">
        <f ca="1">AVERAGE(OFFSET($CX$3,0,0,'Données projet'!$E$13+1,1))-AVERAGE(OFFSET($H$3,0,0,'Données projet'!$E$13+1,1))</f>
        <v>349.5718186624772</v>
      </c>
      <c r="CZ26" s="62">
        <f t="shared" si="42"/>
        <v>258.14152930815959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5.5027098235873133</v>
      </c>
      <c r="DG26" s="23">
        <f>EXP(-LN(2)/25)*DG25+(1-EXP(-LN(2)/25))/(LN(2)/25)*Calculateur!DB26*Calculateur!DD26*VLOOKUP('Données projet'!$B$13,Paramètres!$A$1:$I$89,3,0)*0.475*44/12</f>
        <v>7.0691347957691129</v>
      </c>
      <c r="DH26" s="23">
        <f>EXP(-LN(2)/2)*DH25+(1-EXP(-LN(2)/2))/(LN(2)/2)*DB26*DE26*VLOOKUP('Données projet'!$B$13,Paramètres!$A$1:$I$89,3,0)*0.475*44/12</f>
        <v>7.7785308574638954</v>
      </c>
      <c r="DI26" s="24">
        <f t="shared" si="15"/>
        <v>20.350375476820322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</v>
      </c>
      <c r="DO26" s="13">
        <f>IF('Données projet'!$A$166&gt;35,DO25+DN26-DW25,IF(A26&lt;'Données projet'!$A$166,$DL$205^A26,IF(A26='Données projet'!$A$166,'Données projet'!$B$166,DO25+DN26-DW25)))</f>
        <v>82</v>
      </c>
      <c r="DP26" s="18">
        <f>DO26*VLOOKUP('Données projet'!$B$14,Paramètres!$A$1:$I$89,3,0)*VLOOKUP('Données projet'!$B$14,Paramètres!$A$1:$I$89,5,0)</f>
        <v>71.635200000000012</v>
      </c>
      <c r="DQ26" s="14">
        <f t="shared" si="43"/>
        <v>20.078988020012648</v>
      </c>
      <c r="DR26" s="22">
        <f t="shared" si="16"/>
        <v>159.73554413485536</v>
      </c>
      <c r="DS26" s="62">
        <f t="shared" si="17"/>
        <v>444.51332191263316</v>
      </c>
      <c r="DT26" s="62">
        <f ca="1">AVERAGE(OFFSET($DS$3,0,0,'Données projet'!$E$14+1,1))-AVERAGE(OFFSET($H$3,0,0,'Données projet'!$E$14+1,1))</f>
        <v>300.63505444445104</v>
      </c>
      <c r="DU26" s="62">
        <f t="shared" si="44"/>
        <v>266.32508105927997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14.8</v>
      </c>
      <c r="EJ26" s="13">
        <f>IF('Données projet'!$A$192&gt;35,EJ25+EI26-ER25,IF(A26&lt;'Données projet'!$A$192,$EG$205^A26,IF(A26='Données projet'!$A$192,'Données projet'!$B$192,EJ25+EI26-ER25)))</f>
        <v>111.39999999999998</v>
      </c>
      <c r="EK26" s="18">
        <f>EJ26*VLOOKUP('Données projet'!$B$15,Paramètres!$A$1:$I$89,3,0)*VLOOKUP('Données projet'!$B$15,Paramètres!$A$1:$I$89,5,0)</f>
        <v>88.629839999999987</v>
      </c>
      <c r="EL26" s="14">
        <f t="shared" si="45"/>
        <v>24.23448093253452</v>
      </c>
      <c r="EM26" s="22">
        <f t="shared" si="19"/>
        <v>196.57202562416424</v>
      </c>
      <c r="EN26" s="62">
        <f t="shared" si="20"/>
        <v>481.34980340194204</v>
      </c>
      <c r="EO26" s="62">
        <f ca="1">AVERAGE(OFFSET($EN$3,0,0,'Données projet'!$E$15+1,1))-AVERAGE(OFFSET($H$3,0,0,'Données projet'!$E$15+1,1))</f>
        <v>353.37024194969638</v>
      </c>
      <c r="EP26" s="62">
        <f t="shared" si="46"/>
        <v>345.4750813433123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5.6209645412459119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5.6209645412459119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9.6</v>
      </c>
      <c r="FE26" s="13">
        <f>IF('Données projet'!$A$218&gt;35,FE25+FD26-FM25,IF(A26&lt;'Données projet'!$A$218,$FB$205^A26,IF(A26='Données projet'!$A$218,'Données projet'!$B$218,FE25+FD26-FM25)))</f>
        <v>118.79999999999998</v>
      </c>
      <c r="FF26" s="18">
        <f>FE26*VLOOKUP('Données projet'!$B$16,Paramètres!$A$1:$I$89,3,0)*VLOOKUP('Données projet'!$B$16,Paramètres!$A$1:$I$89,5,0)</f>
        <v>77.837759999999989</v>
      </c>
      <c r="FG26" s="14">
        <f t="shared" si="47"/>
        <v>21.607665094033621</v>
      </c>
      <c r="FH26" s="22">
        <f t="shared" si="22"/>
        <v>173.2007820387752</v>
      </c>
      <c r="FI26" s="62">
        <f t="shared" si="23"/>
        <v>457.978559816553</v>
      </c>
      <c r="FJ26" s="62">
        <f ca="1">AVERAGE(OFFSET($FI$3,0,0,'Données projet'!$E$16+1,1))-AVERAGE(OFFSET($H$3,0,0,'Données projet'!$E$16+1,1))</f>
        <v>263.30962868541337</v>
      </c>
      <c r="FK26" s="62">
        <f t="shared" si="48"/>
        <v>269.61868559913404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4.5262222222222226</v>
      </c>
      <c r="N27" s="14">
        <f>IF('Données projet'!$A$36&gt;35,N26+M27-V26,IF(A27&lt;'Données projet'!$A$36,$K$205^A27,IF(A27='Données projet'!$A$36,'Données projet'!$B$36,N26+M27-V26)))</f>
        <v>108.62933333333329</v>
      </c>
      <c r="O27" s="14">
        <f>N27*VLOOKUP('Données projet'!$B$9,Paramètres!$A$1:$I$89,3,0)*VLOOKUP('Données projet'!$B$9,Paramètres!$A$1:$I$89,5,0)</f>
        <v>64.960341333333318</v>
      </c>
      <c r="P27" s="14">
        <f t="shared" si="33"/>
        <v>18.416542568293934</v>
      </c>
      <c r="Q27" s="22">
        <f t="shared" si="2"/>
        <v>145.21473946200081</v>
      </c>
      <c r="R27" s="62">
        <f t="shared" si="0"/>
        <v>431.21473946200081</v>
      </c>
      <c r="S27" s="62">
        <f ca="1">AVERAGE(OFFSET($R$3,0,0,'Données projet'!$E$9+1,1))-AVERAGE(OFFSET($H$3,0,0,'Données projet'!$E$9+1,1))</f>
        <v>262.06511368698341</v>
      </c>
      <c r="T27" s="62">
        <f t="shared" si="34"/>
        <v>217.15709240080542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6.3325490196078427</v>
      </c>
      <c r="AI27" s="14">
        <f>IF('Données projet'!$A$62&gt;35,AI26+AH27-AQ26,IF(A27&lt;'Données projet'!$A$62,$AF$205^A27,IF(A27='Données projet'!$A$62,'Données projet'!$B$62,AI26+AH27-AQ26)))</f>
        <v>151.98117647058822</v>
      </c>
      <c r="AJ27" s="14">
        <f>AI27*VLOOKUP('Données projet'!$B$10,Paramètres!$A$1:$I$89,3,0)*VLOOKUP('Données projet'!$B$10,Paramètres!$A$1:$I$89,5,0)</f>
        <v>71.12719058823528</v>
      </c>
      <c r="AK27" s="14">
        <f t="shared" si="35"/>
        <v>19.953117944306157</v>
      </c>
      <c r="AL27" s="22">
        <f t="shared" si="4"/>
        <v>158.631537360843</v>
      </c>
      <c r="AM27" s="62">
        <f t="shared" si="5"/>
        <v>444.63153736084303</v>
      </c>
      <c r="AN27" s="62">
        <f ca="1">AVERAGE(OFFSET($AM$3,0,0,'Données projet'!$E$10+1,1))-AVERAGE(OFFSET($H$3,0,0,'Données projet'!$E$10+1,1))</f>
        <v>287.83167869616227</v>
      </c>
      <c r="AO27" s="62">
        <f t="shared" si="36"/>
        <v>233.84231920589906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195</v>
      </c>
      <c r="BB27" s="13">
        <f>VLOOKUP(A27,'Données projet'!$A$87:$I$107,9,0)</f>
        <v>14.666666666666666</v>
      </c>
      <c r="BC27" s="13">
        <f t="array" ref="BC27">INDEX(BB:BB,MIN(IF(ISNUMBER(BB27:BB223),ROW(BB27:BB223),"")))</f>
        <v>14.666666666666666</v>
      </c>
      <c r="BD27" s="13">
        <f>IF('Données projet'!$A$88&gt;35,BD26+BC27-BL26,IF(A27&lt;'Données projet'!$A$88,$BA$205^A27,IF(A27='Données projet'!$A$88,'Données projet'!$B$88,BD26+BC27-BL26)))</f>
        <v>194.99999999999994</v>
      </c>
      <c r="BE27" s="14">
        <f>BD27*VLOOKUP('Données projet'!$B$11,Paramètres!$A$1:$I$89,3,0)*VLOOKUP('Données projet'!$B$11,Paramètres!$A$1:$I$89,5,0)</f>
        <v>121.67999999999996</v>
      </c>
      <c r="BF27" s="14">
        <f t="shared" si="37"/>
        <v>32.066514091456256</v>
      </c>
      <c r="BG27" s="22">
        <f t="shared" si="7"/>
        <v>267.77517870928619</v>
      </c>
      <c r="BH27" s="62">
        <f t="shared" si="8"/>
        <v>553.77517870928614</v>
      </c>
      <c r="BI27" s="62">
        <f ca="1">AVERAGE(OFFSET($BH$3,0,0,'Données projet'!$E$11+1,1))-AVERAGE(OFFSET($H$3,0,0,'Données projet'!$E$11+1,1))</f>
        <v>262.36903350767881</v>
      </c>
      <c r="BJ27" s="62">
        <f t="shared" si="38"/>
        <v>331.21009482262417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57</v>
      </c>
      <c r="BM27" s="17">
        <f>IF(ISNA(VLOOKUP(A27,'Données projet'!$A$87:$I$107,5,0)),0%,VLOOKUP(A27,'Données projet'!$A$87:$I$107,5,0)*VLOOKUP('Données projet'!$B$11,Paramètres!$A$1:$I$89,7,0))</f>
        <v>0.12</v>
      </c>
      <c r="BN27" s="17">
        <f>IF(ISNA(VLOOKUP(A27,'Données projet'!$A$87:$I$107,6,0)),0%,VLOOKUP(A27,'Données projet'!$A$87:$I$107,6,0)*VLOOKUP('Données projet'!$B$11,Paramètres!$A$1:$I$89,7,0))</f>
        <v>0.27</v>
      </c>
      <c r="BO27" s="17">
        <f>IF(ISNA(VLOOKUP(A27,'Données projet'!$A$87:$I$107,7,0)),0%,VLOOKUP(A27,'Données projet'!$A$87:$I$107,7,0))</f>
        <v>0.35</v>
      </c>
      <c r="BP27" s="23">
        <f>EXP(-LN(2)/35)*BP26+(1-EXP(-LN(2)/35))/(LN(2)/35)*BL27*BM27*VLOOKUP('Données projet'!$B$11,Paramètres!$A$1:$I$89,3,0)*0.475*44/12</f>
        <v>11.395259504210745</v>
      </c>
      <c r="BQ27" s="23">
        <f>EXP(-LN(2)/25)*BQ26+(1-EXP(-LN(2)/25))/(LN(2)/25)*Calculateur!BL27*Calculateur!BN27*VLOOKUP('Données projet'!$B$11,Paramètres!$A$1:$I$89,3,0)*0.475*44/12</f>
        <v>27.722768837250683</v>
      </c>
      <c r="BR27" s="23">
        <f>EXP(-LN(2)/2)*BR26+(1-EXP(-LN(2)/2))/(LN(2)/2)*BL27*BO27*VLOOKUP('Données projet'!$B$11,Paramètres!$A$1:$I$89,3,0)*0.475*44/12</f>
        <v>16.172081509197621</v>
      </c>
      <c r="BS27" s="24">
        <f t="shared" si="9"/>
        <v>55.29010985065905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3.887142857142857</v>
      </c>
      <c r="BY27" s="13">
        <f>IF('Données projet'!$A$114&gt;35,BY26+BX27-CG26,IF(A27&lt;'Données projet'!$A$114,$BV$205^A27,IF(A27='Données projet'!$A$114,'Données projet'!$B$114,BY26+BX27-CG26)))</f>
        <v>93.291428571428582</v>
      </c>
      <c r="BZ27" s="14">
        <f>BY27*VLOOKUP('Données projet'!$B$12,Paramètres!$A$1:$I$89,3,0)*VLOOKUP('Données projet'!$B$12,Paramètres!$A$1:$I$89,5,0)</f>
        <v>90.231469714285723</v>
      </c>
      <c r="CA27" s="14">
        <f t="shared" si="39"/>
        <v>24.621041567119438</v>
      </c>
      <c r="CB27" s="22">
        <f t="shared" si="10"/>
        <v>200.03479048178065</v>
      </c>
      <c r="CC27" s="62">
        <f t="shared" si="11"/>
        <v>486.03479048178065</v>
      </c>
      <c r="CD27" s="62">
        <f ca="1">AVERAGE(OFFSET($CC$3,0,0,'Données projet'!$E$12+1,1))-AVERAGE(OFFSET($H$3,0,0,'Données projet'!$E$12+1,1))</f>
        <v>618.83149423524605</v>
      </c>
      <c r="CE27" s="62">
        <f t="shared" si="40"/>
        <v>285.33582535802435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15.766000000000002</v>
      </c>
      <c r="CT27" s="13">
        <f>IF('Données projet'!$A$140&gt;35,CT26+CS27-DB26,IF(A27&lt;'Données projet'!$A$140,$CQ$205^A27,IF(A27='Données projet'!$A$140,'Données projet'!$B$140,CT26+CS27-DB26)))</f>
        <v>108.19199999999999</v>
      </c>
      <c r="CU27" s="18">
        <f>CT27*VLOOKUP('Données projet'!$B$13,Paramètres!$A$1:$I$89,3,0)*VLOOKUP('Données projet'!$B$13,Paramètres!$A$1:$I$89,5,0)</f>
        <v>64.698815999999994</v>
      </c>
      <c r="CV27" s="14">
        <f t="shared" si="41"/>
        <v>18.351013925322782</v>
      </c>
      <c r="CW27" s="22">
        <f t="shared" si="13"/>
        <v>144.64512045327049</v>
      </c>
      <c r="CX27" s="62">
        <f t="shared" si="14"/>
        <v>430.64512045327047</v>
      </c>
      <c r="CY27" s="62">
        <f ca="1">AVERAGE(OFFSET($CX$3,0,0,'Données projet'!$E$13+1,1))-AVERAGE(OFFSET($H$3,0,0,'Données projet'!$E$13+1,1))</f>
        <v>349.5718186624772</v>
      </c>
      <c r="CZ27" s="62">
        <f t="shared" si="42"/>
        <v>258.14152930815959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5.3948050402683494</v>
      </c>
      <c r="DG27" s="23">
        <f>EXP(-LN(2)/25)*DG26+(1-EXP(-LN(2)/25))/(LN(2)/25)*Calculateur!DB27*Calculateur!DD27*VLOOKUP('Données projet'!$B$13,Paramètres!$A$1:$I$89,3,0)*0.475*44/12</f>
        <v>6.8758289330291644</v>
      </c>
      <c r="DH27" s="23">
        <f>EXP(-LN(2)/2)*DH26+(1-EXP(-LN(2)/2))/(LN(2)/2)*DB27*DE27*VLOOKUP('Données projet'!$B$13,Paramètres!$A$1:$I$89,3,0)*0.475*44/12</f>
        <v>5.5002519169815312</v>
      </c>
      <c r="DI27" s="24">
        <f t="shared" si="15"/>
        <v>17.770885890279047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</v>
      </c>
      <c r="DO27" s="13">
        <f>IF('Données projet'!$A$166&gt;35,DO26+DN27-DW26,IF(A27&lt;'Données projet'!$A$166,$DL$205^A27,IF(A27='Données projet'!$A$166,'Données projet'!$B$166,DO26+DN27-DW26)))</f>
        <v>90</v>
      </c>
      <c r="DP27" s="18">
        <f>DO27*VLOOKUP('Données projet'!$B$14,Paramètres!$A$1:$I$89,3,0)*VLOOKUP('Données projet'!$B$14,Paramètres!$A$1:$I$89,5,0)</f>
        <v>78.624000000000009</v>
      </c>
      <c r="DQ27" s="14">
        <f t="shared" si="43"/>
        <v>21.800406010684462</v>
      </c>
      <c r="DR27" s="22">
        <f t="shared" si="16"/>
        <v>174.90584046860877</v>
      </c>
      <c r="DS27" s="62">
        <f t="shared" si="17"/>
        <v>460.90584046860874</v>
      </c>
      <c r="DT27" s="62">
        <f ca="1">AVERAGE(OFFSET($DS$3,0,0,'Données projet'!$E$14+1,1))-AVERAGE(OFFSET($H$3,0,0,'Données projet'!$E$14+1,1))</f>
        <v>300.63505444445104</v>
      </c>
      <c r="DU27" s="62">
        <f t="shared" si="44"/>
        <v>266.32508105927997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14.8</v>
      </c>
      <c r="EJ27" s="13">
        <f>IF('Données projet'!$A$192&gt;35,EJ26+EI27-ER26,IF(A27&lt;'Données projet'!$A$192,$EG$205^A27,IF(A27='Données projet'!$A$192,'Données projet'!$B$192,EJ26+EI27-ER26)))</f>
        <v>126.19999999999997</v>
      </c>
      <c r="EK27" s="18">
        <f>EJ27*VLOOKUP('Données projet'!$B$15,Paramètres!$A$1:$I$89,3,0)*VLOOKUP('Données projet'!$B$15,Paramètres!$A$1:$I$89,5,0)</f>
        <v>100.40472</v>
      </c>
      <c r="EL27" s="14">
        <f t="shared" si="45"/>
        <v>27.058393830330502</v>
      </c>
      <c r="EM27" s="22">
        <f t="shared" si="19"/>
        <v>221.99825658782561</v>
      </c>
      <c r="EN27" s="62">
        <f t="shared" si="20"/>
        <v>507.99825658782561</v>
      </c>
      <c r="EO27" s="62">
        <f ca="1">AVERAGE(OFFSET($EN$3,0,0,'Données projet'!$E$15+1,1))-AVERAGE(OFFSET($H$3,0,0,'Données projet'!$E$15+1,1))</f>
        <v>353.37024194969638</v>
      </c>
      <c r="EP27" s="62">
        <f t="shared" si="46"/>
        <v>345.4750813433123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5.5107408550419184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5.5107408550419184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9.6</v>
      </c>
      <c r="FE27" s="13">
        <f>IF('Données projet'!$A$218&gt;35,FE26+FD27-FM26,IF(A27&lt;'Données projet'!$A$218,$FB$205^A27,IF(A27='Données projet'!$A$218,'Données projet'!$B$218,FE26+FD27-FM26)))</f>
        <v>128.39999999999998</v>
      </c>
      <c r="FF27" s="18">
        <f>FE27*VLOOKUP('Données projet'!$B$16,Paramètres!$A$1:$I$89,3,0)*VLOOKUP('Données projet'!$B$16,Paramètres!$A$1:$I$89,5,0)</f>
        <v>84.127679999999984</v>
      </c>
      <c r="FG27" s="14">
        <f t="shared" si="47"/>
        <v>23.143449366413215</v>
      </c>
      <c r="FH27" s="22">
        <f t="shared" si="22"/>
        <v>186.83055031316962</v>
      </c>
      <c r="FI27" s="62">
        <f t="shared" si="23"/>
        <v>472.83055031316962</v>
      </c>
      <c r="FJ27" s="62">
        <f ca="1">AVERAGE(OFFSET($FI$3,0,0,'Données projet'!$E$16+1,1))-AVERAGE(OFFSET($H$3,0,0,'Données projet'!$E$16+1,1))</f>
        <v>263.30962868541337</v>
      </c>
      <c r="FK27" s="62">
        <f t="shared" si="48"/>
        <v>269.61868559913404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4.5262222222222226</v>
      </c>
      <c r="N28" s="14">
        <f>IF('Données projet'!$A$36&gt;35,N27+M28-V27,IF(A28&lt;'Données projet'!$A$36,$K$205^A28,IF(A28='Données projet'!$A$36,'Données projet'!$B$36,N27+M28-V27)))</f>
        <v>113.15555555555551</v>
      </c>
      <c r="O28" s="14">
        <f>N28*VLOOKUP('Données projet'!$B$9,Paramètres!$A$1:$I$89,3,0)*VLOOKUP('Données projet'!$B$9,Paramètres!$A$1:$I$89,5,0)</f>
        <v>67.667022222222201</v>
      </c>
      <c r="P28" s="14">
        <f t="shared" si="33"/>
        <v>19.092958987528537</v>
      </c>
      <c r="Q28" s="22">
        <f t="shared" si="2"/>
        <v>151.10696727364919</v>
      </c>
      <c r="R28" s="62">
        <f t="shared" si="0"/>
        <v>438.32918949587145</v>
      </c>
      <c r="S28" s="62">
        <f ca="1">AVERAGE(OFFSET($R$3,0,0,'Données projet'!$E$9+1,1))-AVERAGE(OFFSET($H$3,0,0,'Données projet'!$E$9+1,1))</f>
        <v>262.06511368698341</v>
      </c>
      <c r="T28" s="62">
        <f t="shared" si="34"/>
        <v>217.15709240080542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6.3325490196078427</v>
      </c>
      <c r="AI28" s="14">
        <f>IF('Données projet'!$A$62&gt;35,AI27+AH28-AQ27,IF(A28&lt;'Données projet'!$A$62,$AF$205^A28,IF(A28='Données projet'!$A$62,'Données projet'!$B$62,AI27+AH28-AQ27)))</f>
        <v>158.31372549019608</v>
      </c>
      <c r="AJ28" s="14">
        <f>AI28*VLOOKUP('Données projet'!$B$10,Paramètres!$A$1:$I$89,3,0)*VLOOKUP('Données projet'!$B$10,Paramètres!$A$1:$I$89,5,0)</f>
        <v>74.090823529411765</v>
      </c>
      <c r="AK28" s="14">
        <f t="shared" si="35"/>
        <v>20.685970842313679</v>
      </c>
      <c r="AL28" s="22">
        <f t="shared" si="4"/>
        <v>165.06958353075512</v>
      </c>
      <c r="AM28" s="62">
        <f t="shared" si="5"/>
        <v>452.29180575297733</v>
      </c>
      <c r="AN28" s="62">
        <f ca="1">AVERAGE(OFFSET($AM$3,0,0,'Données projet'!$E$10+1,1))-AVERAGE(OFFSET($H$3,0,0,'Données projet'!$E$10+1,1))</f>
        <v>287.83167869616227</v>
      </c>
      <c r="AO28" s="62">
        <f t="shared" si="36"/>
        <v>233.84231920589906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12.833333333333334</v>
      </c>
      <c r="BD28" s="13">
        <f>IF('Données projet'!$A$88&gt;35,BD27+BC28-BL27,IF(A28&lt;'Données projet'!$A$88,$BA$205^A28,IF(A28='Données projet'!$A$88,'Données projet'!$B$88,BD27+BC28-BL27)))</f>
        <v>150.83333333333329</v>
      </c>
      <c r="BE28" s="14">
        <f>BD28*VLOOKUP('Données projet'!$B$11,Paramètres!$A$1:$I$89,3,0)*VLOOKUP('Données projet'!$B$11,Paramètres!$A$1:$I$89,5,0)</f>
        <v>94.119999999999976</v>
      </c>
      <c r="BF28" s="14">
        <f t="shared" si="37"/>
        <v>25.556266486217968</v>
      </c>
      <c r="BG28" s="22">
        <f t="shared" si="7"/>
        <v>208.43616413016289</v>
      </c>
      <c r="BH28" s="62">
        <f t="shared" si="8"/>
        <v>495.65838635238515</v>
      </c>
      <c r="BI28" s="62">
        <f ca="1">AVERAGE(OFFSET($BH$3,0,0,'Données projet'!$E$11+1,1))-AVERAGE(OFFSET($H$3,0,0,'Données projet'!$E$11+1,1))</f>
        <v>262.36903350767881</v>
      </c>
      <c r="BJ28" s="62">
        <f t="shared" si="38"/>
        <v>331.21009482262417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11.171805415755173</v>
      </c>
      <c r="BQ28" s="23">
        <f>EXP(-LN(2)/25)*BQ27+(1-EXP(-LN(2)/25))/(LN(2)/25)*Calculateur!BL28*Calculateur!BN28*VLOOKUP('Données projet'!$B$11,Paramètres!$A$1:$I$89,3,0)*0.475*44/12</f>
        <v>26.964688265519012</v>
      </c>
      <c r="BR28" s="23">
        <f>EXP(-LN(2)/2)*BR27+(1-EXP(-LN(2)/2))/(LN(2)/2)*BL28*BO28*VLOOKUP('Données projet'!$B$11,Paramètres!$A$1:$I$89,3,0)*0.475*44/12</f>
        <v>11.435388501055215</v>
      </c>
      <c r="BS28" s="24">
        <f t="shared" si="9"/>
        <v>49.571882182329404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3.887142857142857</v>
      </c>
      <c r="BY28" s="13">
        <f>IF('Données projet'!$A$114&gt;35,BY27+BX28-CG27,IF(A28&lt;'Données projet'!$A$114,$BV$205^A28,IF(A28='Données projet'!$A$114,'Données projet'!$B$114,BY27+BX28-CG27)))</f>
        <v>97.178571428571445</v>
      </c>
      <c r="BZ28" s="14">
        <f>BY28*VLOOKUP('Données projet'!$B$12,Paramètres!$A$1:$I$89,3,0)*VLOOKUP('Données projet'!$B$12,Paramètres!$A$1:$I$89,5,0)</f>
        <v>93.991114285714303</v>
      </c>
      <c r="CA28" s="14">
        <f t="shared" si="39"/>
        <v>25.525341422149168</v>
      </c>
      <c r="CB28" s="22">
        <f t="shared" si="10"/>
        <v>208.15782702452887</v>
      </c>
      <c r="CC28" s="62">
        <f t="shared" si="11"/>
        <v>495.38004924675113</v>
      </c>
      <c r="CD28" s="62">
        <f ca="1">AVERAGE(OFFSET($CC$3,0,0,'Données projet'!$E$12+1,1))-AVERAGE(OFFSET($H$3,0,0,'Données projet'!$E$12+1,1))</f>
        <v>618.83149423524605</v>
      </c>
      <c r="CE28" s="62">
        <f t="shared" si="40"/>
        <v>285.33582535802435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15.766000000000002</v>
      </c>
      <c r="CT28" s="13">
        <f>IF('Données projet'!$A$140&gt;35,CT27+CS28-DB27,IF(A28&lt;'Données projet'!$A$140,$CQ$205^A28,IF(A28='Données projet'!$A$140,'Données projet'!$B$140,CT27+CS28-DB27)))</f>
        <v>123.958</v>
      </c>
      <c r="CU28" s="18">
        <f>CT28*VLOOKUP('Données projet'!$B$13,Paramètres!$A$1:$I$89,3,0)*VLOOKUP('Données projet'!$B$13,Paramètres!$A$1:$I$89,5,0)</f>
        <v>74.126884000000004</v>
      </c>
      <c r="CV28" s="14">
        <f t="shared" si="41"/>
        <v>20.694866668390631</v>
      </c>
      <c r="CW28" s="22">
        <f t="shared" si="13"/>
        <v>165.1478824141137</v>
      </c>
      <c r="CX28" s="62">
        <f t="shared" si="14"/>
        <v>452.3701046363359</v>
      </c>
      <c r="CY28" s="62">
        <f ca="1">AVERAGE(OFFSET($CX$3,0,0,'Données projet'!$E$13+1,1))-AVERAGE(OFFSET($H$3,0,0,'Données projet'!$E$13+1,1))</f>
        <v>349.5718186624772</v>
      </c>
      <c r="CZ28" s="62">
        <f t="shared" si="42"/>
        <v>258.14152930815959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5.2890162039348514</v>
      </c>
      <c r="DG28" s="23">
        <f>EXP(-LN(2)/25)*DG27+(1-EXP(-LN(2)/25))/(LN(2)/25)*Calculateur!DB28*Calculateur!DD28*VLOOKUP('Données projet'!$B$13,Paramètres!$A$1:$I$89,3,0)*0.475*44/12</f>
        <v>6.687809029271353</v>
      </c>
      <c r="DH28" s="23">
        <f>EXP(-LN(2)/2)*DH27+(1-EXP(-LN(2)/2))/(LN(2)/2)*DB28*DE28*VLOOKUP('Données projet'!$B$13,Paramètres!$A$1:$I$89,3,0)*0.475*44/12</f>
        <v>3.8892654287319486</v>
      </c>
      <c r="DI28" s="24">
        <f t="shared" si="15"/>
        <v>15.866090661938152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98</v>
      </c>
      <c r="DM28" s="13">
        <f>VLOOKUP(A28,'Données projet'!$A$165:$I$185,9,0)</f>
        <v>8</v>
      </c>
      <c r="DN28" s="13">
        <f t="array" ref="DN28">INDEX(DM:DM,MIN(IF(ISNUMBER(DM28:DM224),ROW(DM28:DM224),"")))</f>
        <v>8</v>
      </c>
      <c r="DO28" s="13">
        <f>IF('Données projet'!$A$166&gt;35,DO27+DN28-DW27,IF(A28&lt;'Données projet'!$A$166,$DL$205^A28,IF(A28='Données projet'!$A$166,'Données projet'!$B$166,DO27+DN28-DW27)))</f>
        <v>98</v>
      </c>
      <c r="DP28" s="18">
        <f>DO28*VLOOKUP('Données projet'!$B$14,Paramètres!$A$1:$I$89,3,0)*VLOOKUP('Données projet'!$B$14,Paramètres!$A$1:$I$89,5,0)</f>
        <v>85.612800000000007</v>
      </c>
      <c r="DQ28" s="14">
        <f t="shared" si="43"/>
        <v>23.504080242391282</v>
      </c>
      <c r="DR28" s="22">
        <f t="shared" si="16"/>
        <v>190.04523308883151</v>
      </c>
      <c r="DS28" s="62">
        <f t="shared" si="17"/>
        <v>477.26745531105371</v>
      </c>
      <c r="DT28" s="62">
        <f ca="1">AVERAGE(OFFSET($DS$3,0,0,'Données projet'!$E$14+1,1))-AVERAGE(OFFSET($H$3,0,0,'Données projet'!$E$14+1,1))</f>
        <v>300.63505444445104</v>
      </c>
      <c r="DU28" s="62">
        <f t="shared" si="44"/>
        <v>266.32508105927997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19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141</v>
      </c>
      <c r="EH28" s="13">
        <f>VLOOKUP(A28,'Données projet'!$A$191:$I$211,9,0)</f>
        <v>14.8</v>
      </c>
      <c r="EI28" s="13">
        <f t="array" ref="EI28">INDEX(EH:EH,MIN(IF(ISNUMBER(EH28:EH224),ROW(EH28:EH224),"")))</f>
        <v>14.8</v>
      </c>
      <c r="EJ28" s="13">
        <f>IF('Données projet'!$A$192&gt;35,EJ27+EI28-ER27,IF(A28&lt;'Données projet'!$A$192,$EG$205^A28,IF(A28='Données projet'!$A$192,'Données projet'!$B$192,EJ27+EI28-ER27)))</f>
        <v>140.99999999999997</v>
      </c>
      <c r="EK28" s="18">
        <f>EJ28*VLOOKUP('Données projet'!$B$15,Paramètres!$A$1:$I$89,3,0)*VLOOKUP('Données projet'!$B$15,Paramètres!$A$1:$I$89,5,0)</f>
        <v>112.17959999999998</v>
      </c>
      <c r="EL28" s="14">
        <f t="shared" si="45"/>
        <v>29.8439274472838</v>
      </c>
      <c r="EM28" s="22">
        <f t="shared" si="19"/>
        <v>247.35764363735257</v>
      </c>
      <c r="EN28" s="62">
        <f t="shared" si="20"/>
        <v>534.57986585957474</v>
      </c>
      <c r="EO28" s="62">
        <f ca="1">AVERAGE(OFFSET($EN$3,0,0,'Données projet'!$E$15+1,1))-AVERAGE(OFFSET($H$3,0,0,'Données projet'!$E$15+1,1))</f>
        <v>353.37024194969638</v>
      </c>
      <c r="EP28" s="62">
        <f t="shared" si="46"/>
        <v>345.4750813433123</v>
      </c>
      <c r="EQ28" s="16">
        <f>IF(ISNA(VLOOKUP(A28,'Données projet'!$A$191:$I$211,3,0)),0,VLOOKUP(A28,'Données projet'!$A$191:$I$211,3,0))</f>
        <v>4</v>
      </c>
      <c r="ER28" s="16">
        <f>IF(ISNA(VLOOKUP(A28,'Données projet'!$A$191:$I$211,4,0)),0,VLOOKUP(A28,'Données projet'!$A$191:$I$211,4,0))</f>
        <v>35</v>
      </c>
      <c r="ES28" s="17">
        <f>IF(ISNA(VLOOKUP(A28,'Données projet'!$A$191:$I$211,5,0)),0%,VLOOKUP(A28,'Données projet'!$A$191:$I$211,5,0)*VLOOKUP('Données projet'!$B$15,Paramètres!$A$1:$I$89,7,0))</f>
        <v>0.159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10.297164170062025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10.297164170062025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138</v>
      </c>
      <c r="FC28" s="13">
        <f>VLOOKUP(A28,'Données projet'!$A$217:$I$237,9,0)</f>
        <v>9.6</v>
      </c>
      <c r="FD28" s="13">
        <f t="array" ref="FD28">INDEX(FC:FC,MIN(IF(ISNUMBER(FC28:FC224),ROW(FC28:FC224),"")))</f>
        <v>9.6</v>
      </c>
      <c r="FE28" s="13">
        <f>IF('Données projet'!$A$218&gt;35,FE27+FD28-FM27,IF(A28&lt;'Données projet'!$A$218,$FB$205^A28,IF(A28='Données projet'!$A$218,'Données projet'!$B$218,FE27+FD28-FM27)))</f>
        <v>137.99999999999997</v>
      </c>
      <c r="FF28" s="18">
        <f>FE28*VLOOKUP('Données projet'!$B$16,Paramètres!$A$1:$I$89,3,0)*VLOOKUP('Données projet'!$B$16,Paramètres!$A$1:$I$89,5,0)</f>
        <v>90.417599999999979</v>
      </c>
      <c r="FG28" s="14">
        <f t="shared" si="47"/>
        <v>24.665912907068826</v>
      </c>
      <c r="FH28" s="22">
        <f t="shared" si="22"/>
        <v>200.43711831314485</v>
      </c>
      <c r="FI28" s="62">
        <f t="shared" si="23"/>
        <v>487.65934053536705</v>
      </c>
      <c r="FJ28" s="62">
        <f ca="1">AVERAGE(OFFSET($FI$3,0,0,'Données projet'!$E$16+1,1))-AVERAGE(OFFSET($H$3,0,0,'Données projet'!$E$16+1,1))</f>
        <v>263.30962868541337</v>
      </c>
      <c r="FK28" s="62">
        <f t="shared" si="48"/>
        <v>269.61868559913404</v>
      </c>
      <c r="FL28" s="16">
        <f>IF(ISNA(VLOOKUP(A28,'Données projet'!$A$217:$I$237,3,0)),0,VLOOKUP(A28,'Données projet'!$A$217:$I$237,3,0))</f>
        <v>4</v>
      </c>
      <c r="FM28" s="16">
        <f>IF(ISNA(VLOOKUP(A28,'Données projet'!$A$217:$I$237,4,0)),0,VLOOKUP(A28,'Données projet'!$A$217:$I$237,4,0))</f>
        <v>21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4.5262222222222226</v>
      </c>
      <c r="N29" s="14">
        <f>IF('Données projet'!$A$36&gt;35,N28+M29-V28,IF(A29&lt;'Données projet'!$A$36,$K$205^A29,IF(A29='Données projet'!$A$36,'Données projet'!$B$36,N28+M29-V28)))</f>
        <v>117.68177777777773</v>
      </c>
      <c r="O29" s="14">
        <f>N29*VLOOKUP('Données projet'!$B$9,Paramètres!$A$1:$I$89,3,0)*VLOOKUP('Données projet'!$B$9,Paramètres!$A$1:$I$89,5,0)</f>
        <v>70.373703111111084</v>
      </c>
      <c r="P29" s="14">
        <f t="shared" si="33"/>
        <v>19.766232447159091</v>
      </c>
      <c r="Q29" s="22">
        <f t="shared" si="2"/>
        <v>156.99372109732053</v>
      </c>
      <c r="R29" s="62">
        <f t="shared" si="0"/>
        <v>445.43816554176499</v>
      </c>
      <c r="S29" s="62">
        <f ca="1">AVERAGE(OFFSET($R$3,0,0,'Données projet'!$E$9+1,1))-AVERAGE(OFFSET($H$3,0,0,'Données projet'!$E$9+1,1))</f>
        <v>262.06511368698341</v>
      </c>
      <c r="T29" s="62">
        <f t="shared" si="34"/>
        <v>217.15709240080542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6.3325490196078427</v>
      </c>
      <c r="AI29" s="14">
        <f>IF('Données projet'!$A$62&gt;35,AI28+AH29-AQ28,IF(A29&lt;'Données projet'!$A$62,$AF$205^A29,IF(A29='Données projet'!$A$62,'Données projet'!$B$62,AI28+AH29-AQ28)))</f>
        <v>164.64627450980393</v>
      </c>
      <c r="AJ29" s="14">
        <f>AI29*VLOOKUP('Données projet'!$B$10,Paramètres!$A$1:$I$89,3,0)*VLOOKUP('Données projet'!$B$10,Paramètres!$A$1:$I$89,5,0)</f>
        <v>77.054456470588235</v>
      </c>
      <c r="AK29" s="14">
        <f t="shared" si="35"/>
        <v>21.415418549393475</v>
      </c>
      <c r="AL29" s="22">
        <f t="shared" si="4"/>
        <v>171.50169899313482</v>
      </c>
      <c r="AM29" s="62">
        <f t="shared" si="5"/>
        <v>459.94614343757928</v>
      </c>
      <c r="AN29" s="62">
        <f ca="1">AVERAGE(OFFSET($AM$3,0,0,'Données projet'!$E$10+1,1))-AVERAGE(OFFSET($H$3,0,0,'Données projet'!$E$10+1,1))</f>
        <v>287.83167869616227</v>
      </c>
      <c r="AO29" s="62">
        <f t="shared" si="36"/>
        <v>233.84231920589906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12.833333333333334</v>
      </c>
      <c r="BD29" s="13">
        <f>IF('Données projet'!$A$88&gt;35,BD28+BC29-BL28,IF(A29&lt;'Données projet'!$A$88,$BA$205^A29,IF(A29='Données projet'!$A$88,'Données projet'!$B$88,BD28+BC29-BL28)))</f>
        <v>163.66666666666663</v>
      </c>
      <c r="BE29" s="14">
        <f>BD29*VLOOKUP('Données projet'!$B$11,Paramètres!$A$1:$I$89,3,0)*VLOOKUP('Données projet'!$B$11,Paramètres!$A$1:$I$89,5,0)</f>
        <v>102.12799999999997</v>
      </c>
      <c r="BF29" s="14">
        <f t="shared" si="37"/>
        <v>27.468341244672462</v>
      </c>
      <c r="BG29" s="22">
        <f t="shared" si="7"/>
        <v>225.7136276678045</v>
      </c>
      <c r="BH29" s="62">
        <f t="shared" si="8"/>
        <v>514.15807211224899</v>
      </c>
      <c r="BI29" s="62">
        <f ca="1">AVERAGE(OFFSET($BH$3,0,0,'Données projet'!$E$11+1,1))-AVERAGE(OFFSET($H$3,0,0,'Données projet'!$E$11+1,1))</f>
        <v>262.36903350767881</v>
      </c>
      <c r="BJ29" s="62">
        <f t="shared" si="38"/>
        <v>331.21009482262417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10.952733125680679</v>
      </c>
      <c r="BQ29" s="23">
        <f>EXP(-LN(2)/25)*BQ28+(1-EXP(-LN(2)/25))/(LN(2)/25)*Calculateur!BL29*Calculateur!BN29*VLOOKUP('Données projet'!$B$11,Paramètres!$A$1:$I$89,3,0)*0.475*44/12</f>
        <v>26.227337446887066</v>
      </c>
      <c r="BR29" s="23">
        <f>EXP(-LN(2)/2)*BR28+(1-EXP(-LN(2)/2))/(LN(2)/2)*BL29*BO29*VLOOKUP('Données projet'!$B$11,Paramètres!$A$1:$I$89,3,0)*0.475*44/12</f>
        <v>8.0860407545988124</v>
      </c>
      <c r="BS29" s="24">
        <f t="shared" si="9"/>
        <v>45.266111327166556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3.887142857142857</v>
      </c>
      <c r="BY29" s="13">
        <f>IF('Données projet'!$A$114&gt;35,BY28+BX29-CG28,IF(A29&lt;'Données projet'!$A$114,$BV$205^A29,IF(A29='Données projet'!$A$114,'Données projet'!$B$114,BY28+BX29-CG28)))</f>
        <v>101.06571428571431</v>
      </c>
      <c r="BZ29" s="14">
        <f>BY29*VLOOKUP('Données projet'!$B$12,Paramètres!$A$1:$I$89,3,0)*VLOOKUP('Données projet'!$B$12,Paramètres!$A$1:$I$89,5,0)</f>
        <v>97.750758857142884</v>
      </c>
      <c r="CA29" s="14">
        <f t="shared" si="39"/>
        <v>26.425439460319531</v>
      </c>
      <c r="CB29" s="22">
        <f t="shared" si="10"/>
        <v>216.2735454029137</v>
      </c>
      <c r="CC29" s="62">
        <f t="shared" si="11"/>
        <v>504.71798984735813</v>
      </c>
      <c r="CD29" s="62">
        <f ca="1">AVERAGE(OFFSET($CC$3,0,0,'Données projet'!$E$12+1,1))-AVERAGE(OFFSET($H$3,0,0,'Données projet'!$E$12+1,1))</f>
        <v>618.83149423524605</v>
      </c>
      <c r="CE29" s="62">
        <f t="shared" si="40"/>
        <v>285.33582535802435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15.766000000000002</v>
      </c>
      <c r="CT29" s="13">
        <f>IF('Données projet'!$A$140&gt;35,CT28+CS29-DB28,IF(A29&lt;'Données projet'!$A$140,$CQ$205^A29,IF(A29='Données projet'!$A$140,'Données projet'!$B$140,CT28+CS29-DB28)))</f>
        <v>139.72399999999999</v>
      </c>
      <c r="CU29" s="18">
        <f>CT29*VLOOKUP('Données projet'!$B$13,Paramètres!$A$1:$I$89,3,0)*VLOOKUP('Données projet'!$B$13,Paramètres!$A$1:$I$89,5,0)</f>
        <v>83.554952</v>
      </c>
      <c r="CV29" s="14">
        <f t="shared" si="41"/>
        <v>23.004176736574664</v>
      </c>
      <c r="CW29" s="22">
        <f t="shared" si="13"/>
        <v>185.59048254953419</v>
      </c>
      <c r="CX29" s="62">
        <f t="shared" si="14"/>
        <v>474.03492699397862</v>
      </c>
      <c r="CY29" s="62">
        <f ca="1">AVERAGE(OFFSET($CX$3,0,0,'Données projet'!$E$13+1,1))-AVERAGE(OFFSET($H$3,0,0,'Données projet'!$E$13+1,1))</f>
        <v>349.5718186624772</v>
      </c>
      <c r="CZ29" s="62">
        <f t="shared" si="42"/>
        <v>258.14152930815959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5.1853018221570339</v>
      </c>
      <c r="DG29" s="23">
        <f>EXP(-LN(2)/25)*DG28+(1-EXP(-LN(2)/25))/(LN(2)/25)*Calculateur!DB29*Calculateur!DD29*VLOOKUP('Données projet'!$B$13,Paramètres!$A$1:$I$89,3,0)*0.475*44/12</f>
        <v>6.5049305396693367</v>
      </c>
      <c r="DH29" s="23">
        <f>EXP(-LN(2)/2)*DH28+(1-EXP(-LN(2)/2))/(LN(2)/2)*DB29*DE29*VLOOKUP('Données projet'!$B$13,Paramètres!$A$1:$I$89,3,0)*0.475*44/12</f>
        <v>2.750125958490766</v>
      </c>
      <c r="DI29" s="24">
        <f t="shared" si="15"/>
        <v>14.440358320317138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</v>
      </c>
      <c r="DO29" s="13">
        <f>IF('Données projet'!$A$166&gt;35,DO28+DN29-DW28,IF(A29&lt;'Données projet'!$A$166,$DL$205^A29,IF(A29='Données projet'!$A$166,'Données projet'!$B$166,DO28+DN29-DW28)))</f>
        <v>87</v>
      </c>
      <c r="DP29" s="18">
        <f>DO29*VLOOKUP('Données projet'!$B$14,Paramètres!$A$1:$I$89,3,0)*VLOOKUP('Données projet'!$B$14,Paramètres!$A$1:$I$89,5,0)</f>
        <v>76.003200000000007</v>
      </c>
      <c r="DQ29" s="14">
        <f t="shared" si="43"/>
        <v>21.157049992000456</v>
      </c>
      <c r="DR29" s="22">
        <f t="shared" si="16"/>
        <v>169.22076873606747</v>
      </c>
      <c r="DS29" s="62">
        <f t="shared" si="17"/>
        <v>457.66521318051196</v>
      </c>
      <c r="DT29" s="62">
        <f ca="1">AVERAGE(OFFSET($DS$3,0,0,'Données projet'!$E$14+1,1))-AVERAGE(OFFSET($H$3,0,0,'Données projet'!$E$14+1,1))</f>
        <v>300.63505444445104</v>
      </c>
      <c r="DU29" s="62">
        <f t="shared" si="44"/>
        <v>266.32508105927997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14.2</v>
      </c>
      <c r="EJ29" s="13">
        <f>IF('Données projet'!$A$192&gt;35,EJ28+EI29-ER28,IF(A29&lt;'Données projet'!$A$192,$EG$205^A29,IF(A29='Données projet'!$A$192,'Données projet'!$B$192,EJ28+EI29-ER28)))</f>
        <v>120.19999999999996</v>
      </c>
      <c r="EK29" s="18">
        <f>EJ29*VLOOKUP('Données projet'!$B$15,Paramètres!$A$1:$I$89,3,0)*VLOOKUP('Données projet'!$B$15,Paramètres!$A$1:$I$89,5,0)</f>
        <v>95.631119999999967</v>
      </c>
      <c r="EL29" s="14">
        <f t="shared" si="45"/>
        <v>25.918481589892234</v>
      </c>
      <c r="EM29" s="22">
        <f t="shared" si="19"/>
        <v>211.69888943572892</v>
      </c>
      <c r="EN29" s="62">
        <f t="shared" si="20"/>
        <v>500.14333388017337</v>
      </c>
      <c r="EO29" s="62">
        <f ca="1">AVERAGE(OFFSET($EN$3,0,0,'Données projet'!$E$15+1,1))-AVERAGE(OFFSET($H$3,0,0,'Données projet'!$E$15+1,1))</f>
        <v>353.37024194969638</v>
      </c>
      <c r="EP29" s="62">
        <f t="shared" si="46"/>
        <v>345.4750813433123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10.09524306133709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10.09524306133709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8.8000000000000007</v>
      </c>
      <c r="FE29" s="13">
        <f>IF('Données projet'!$A$218&gt;35,FE28+FD29-FM28,IF(A29&lt;'Données projet'!$A$218,$FB$205^A29,IF(A29='Données projet'!$A$218,'Données projet'!$B$218,FE28+FD29-FM28)))</f>
        <v>125.79999999999998</v>
      </c>
      <c r="FF29" s="18">
        <f>FE29*VLOOKUP('Données projet'!$B$16,Paramètres!$A$1:$I$89,3,0)*VLOOKUP('Données projet'!$B$16,Paramètres!$A$1:$I$89,5,0)</f>
        <v>82.424159999999986</v>
      </c>
      <c r="FG29" s="14">
        <f t="shared" si="47"/>
        <v>22.728870146421784</v>
      </c>
      <c r="FH29" s="22">
        <f t="shared" si="22"/>
        <v>183.14152750501788</v>
      </c>
      <c r="FI29" s="62">
        <f t="shared" si="23"/>
        <v>471.58597194946231</v>
      </c>
      <c r="FJ29" s="62">
        <f ca="1">AVERAGE(OFFSET($FI$3,0,0,'Données projet'!$E$16+1,1))-AVERAGE(OFFSET($H$3,0,0,'Données projet'!$E$16+1,1))</f>
        <v>263.30962868541337</v>
      </c>
      <c r="FK29" s="62">
        <f t="shared" si="48"/>
        <v>269.61868559913404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4.5262222222222226</v>
      </c>
      <c r="N30" s="14">
        <f>IF('Données projet'!$A$36&gt;35,N29+M30-V29,IF(A30&lt;'Données projet'!$A$36,$K$205^A30,IF(A30='Données projet'!$A$36,'Données projet'!$B$36,N29+M30-V29)))</f>
        <v>122.20799999999994</v>
      </c>
      <c r="O30" s="14">
        <f>N30*VLOOKUP('Données projet'!$B$9,Paramètres!$A$1:$I$89,3,0)*VLOOKUP('Données projet'!$B$9,Paramètres!$A$1:$I$89,5,0)</f>
        <v>73.080383999999967</v>
      </c>
      <c r="P30" s="14">
        <f t="shared" si="33"/>
        <v>20.43649766703226</v>
      </c>
      <c r="Q30" s="22">
        <f t="shared" si="2"/>
        <v>162.87523557008112</v>
      </c>
      <c r="R30" s="62">
        <f t="shared" si="0"/>
        <v>452.54190223674777</v>
      </c>
      <c r="S30" s="62">
        <f ca="1">AVERAGE(OFFSET($R$3,0,0,'Données projet'!$E$9+1,1))-AVERAGE(OFFSET($H$3,0,0,'Données projet'!$E$9+1,1))</f>
        <v>262.06511368698341</v>
      </c>
      <c r="T30" s="62">
        <f t="shared" si="34"/>
        <v>217.15709240080542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6.3325490196078427</v>
      </c>
      <c r="AI30" s="14">
        <f>IF('Données projet'!$A$62&gt;35,AI29+AH30-AQ29,IF(A30&lt;'Données projet'!$A$62,$AF$205^A30,IF(A30='Données projet'!$A$62,'Données projet'!$B$62,AI29+AH30-AQ29)))</f>
        <v>170.97882352941178</v>
      </c>
      <c r="AJ30" s="14">
        <f>AI30*VLOOKUP('Données projet'!$B$10,Paramètres!$A$1:$I$89,3,0)*VLOOKUP('Données projet'!$B$10,Paramètres!$A$1:$I$89,5,0)</f>
        <v>80.01808941176472</v>
      </c>
      <c r="AK30" s="14">
        <f t="shared" si="35"/>
        <v>22.141607025677867</v>
      </c>
      <c r="AL30" s="22">
        <f t="shared" si="4"/>
        <v>177.92813796187917</v>
      </c>
      <c r="AM30" s="62">
        <f t="shared" si="5"/>
        <v>467.59480462854583</v>
      </c>
      <c r="AN30" s="62">
        <f ca="1">AVERAGE(OFFSET($AM$3,0,0,'Données projet'!$E$10+1,1))-AVERAGE(OFFSET($H$3,0,0,'Données projet'!$E$10+1,1))</f>
        <v>287.83167869616227</v>
      </c>
      <c r="AO30" s="62">
        <f t="shared" si="36"/>
        <v>233.84231920589906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12.833333333333334</v>
      </c>
      <c r="BD30" s="13">
        <f>IF('Données projet'!$A$88&gt;35,BD29+BC30-BL29,IF(A30&lt;'Données projet'!$A$88,$BA$205^A30,IF(A30='Données projet'!$A$88,'Données projet'!$B$88,BD29+BC30-BL29)))</f>
        <v>176.49999999999997</v>
      </c>
      <c r="BE30" s="14">
        <f>BD30*VLOOKUP('Données projet'!$B$11,Paramètres!$A$1:$I$89,3,0)*VLOOKUP('Données projet'!$B$11,Paramètres!$A$1:$I$89,5,0)</f>
        <v>110.13599999999998</v>
      </c>
      <c r="BF30" s="14">
        <f t="shared" si="37"/>
        <v>29.363024928706633</v>
      </c>
      <c r="BG30" s="22">
        <f t="shared" si="7"/>
        <v>242.96080175083068</v>
      </c>
      <c r="BH30" s="62">
        <f t="shared" si="8"/>
        <v>532.62746841749731</v>
      </c>
      <c r="BI30" s="62">
        <f ca="1">AVERAGE(OFFSET($BH$3,0,0,'Données projet'!$E$11+1,1))-AVERAGE(OFFSET($H$3,0,0,'Données projet'!$E$11+1,1))</f>
        <v>262.36903350767881</v>
      </c>
      <c r="BJ30" s="62">
        <f t="shared" si="38"/>
        <v>331.21009482262417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10.737956709593641</v>
      </c>
      <c r="BQ30" s="23">
        <f>EXP(-LN(2)/25)*BQ29+(1-EXP(-LN(2)/25))/(LN(2)/25)*Calculateur!BL30*Calculateur!BN30*VLOOKUP('Données projet'!$B$11,Paramètres!$A$1:$I$89,3,0)*0.475*44/12</f>
        <v>25.510149525166206</v>
      </c>
      <c r="BR30" s="23">
        <f>EXP(-LN(2)/2)*BR29+(1-EXP(-LN(2)/2))/(LN(2)/2)*BL30*BO30*VLOOKUP('Données projet'!$B$11,Paramètres!$A$1:$I$89,3,0)*0.475*44/12</f>
        <v>5.7176942505276083</v>
      </c>
      <c r="BS30" s="24">
        <f t="shared" si="9"/>
        <v>41.965800485287453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3.887142857142857</v>
      </c>
      <c r="BY30" s="13">
        <f>IF('Données projet'!$A$114&gt;35,BY29+BX30-CG29,IF(A30&lt;'Données projet'!$A$114,$BV$205^A30,IF(A30='Données projet'!$A$114,'Données projet'!$B$114,BY29+BX30-CG29)))</f>
        <v>104.95285714285717</v>
      </c>
      <c r="BZ30" s="14">
        <f>BY30*VLOOKUP('Données projet'!$B$12,Paramètres!$A$1:$I$89,3,0)*VLOOKUP('Données projet'!$B$12,Paramètres!$A$1:$I$89,5,0)</f>
        <v>101.51040342857146</v>
      </c>
      <c r="CA30" s="14">
        <f t="shared" si="39"/>
        <v>27.32151578834339</v>
      </c>
      <c r="CB30" s="22">
        <f t="shared" si="10"/>
        <v>224.38225930279336</v>
      </c>
      <c r="CC30" s="62">
        <f t="shared" si="11"/>
        <v>514.04892596946002</v>
      </c>
      <c r="CD30" s="62">
        <f ca="1">AVERAGE(OFFSET($CC$3,0,0,'Données projet'!$E$12+1,1))-AVERAGE(OFFSET($H$3,0,0,'Données projet'!$E$12+1,1))</f>
        <v>618.83149423524605</v>
      </c>
      <c r="CE30" s="62">
        <f t="shared" si="40"/>
        <v>285.33582535802435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>
        <f>VLOOKUP(A30,'Données projet'!$A$139:$I$159,2,0)</f>
        <v>155.49</v>
      </c>
      <c r="CR30" s="13">
        <f>VLOOKUP(A30,'Données projet'!$A$139:$I$159,9,0)</f>
        <v>15.766000000000002</v>
      </c>
      <c r="CS30" s="13">
        <f t="array" ref="CS30">INDEX(CR:CR,MIN(IF(ISNUMBER(CR30:CR226),ROW(CR30:CR226),"")))</f>
        <v>15.766000000000002</v>
      </c>
      <c r="CT30" s="13">
        <f>IF('Données projet'!$A$140&gt;35,CT29+CS30-DB29,IF(A30&lt;'Données projet'!$A$140,$CQ$205^A30,IF(A30='Données projet'!$A$140,'Données projet'!$B$140,CT29+CS30-DB29)))</f>
        <v>155.48999999999998</v>
      </c>
      <c r="CU30" s="18">
        <f>CT30*VLOOKUP('Données projet'!$B$13,Paramètres!$A$1:$I$89,3,0)*VLOOKUP('Données projet'!$B$13,Paramètres!$A$1:$I$89,5,0)</f>
        <v>92.983019999999996</v>
      </c>
      <c r="CV30" s="14">
        <f t="shared" si="41"/>
        <v>25.283286610692237</v>
      </c>
      <c r="CW30" s="22">
        <f t="shared" si="13"/>
        <v>205.98048401362226</v>
      </c>
      <c r="CX30" s="62">
        <f t="shared" si="14"/>
        <v>495.64715068028897</v>
      </c>
      <c r="CY30" s="62">
        <f ca="1">AVERAGE(OFFSET($CX$3,0,0,'Données projet'!$E$13+1,1))-AVERAGE(OFFSET($H$3,0,0,'Données projet'!$E$13+1,1))</f>
        <v>349.5718186624772</v>
      </c>
      <c r="CZ30" s="62">
        <f t="shared" si="42"/>
        <v>258.14152930815959</v>
      </c>
      <c r="DA30" s="16">
        <f>IF(ISNA(VLOOKUP(A30,'Données projet'!$A$139:$I$159,3,0)),0,VLOOKUP(A30,'Données projet'!$A$139:$I$159,3,0))</f>
        <v>2</v>
      </c>
      <c r="DB30" s="16">
        <f>IF(ISNA(VLOOKUP(A30,'Données projet'!$A$139:$I$159,4,0)),0,VLOOKUP(A30,'Données projet'!$A$139:$I$159,4,0))</f>
        <v>37.840000000000003</v>
      </c>
      <c r="DC30" s="17">
        <f>IF(ISNA(VLOOKUP(A30,'Données projet'!$A$139:$I$159,5,0)),0%,VLOOKUP(A30,'Données projet'!$A$139:$I$159,5,0)*VLOOKUP('Données projet'!$B$13,Paramètres!$A$1:$I$89,7,0))</f>
        <v>0.18000000000000002</v>
      </c>
      <c r="DD30" s="17">
        <f>IF(ISNA(VLOOKUP(A30,'Données projet'!$A$139:$I$159,6,0)),0%,VLOOKUP(A30,'Données projet'!$A$139:$I$159,6,0)*VLOOKUP('Données projet'!$B$13,Paramètres!$A$1:$I$89,7,0))</f>
        <v>0.15300000000000002</v>
      </c>
      <c r="DE30" s="17">
        <f>IF(ISNA(VLOOKUP(A30,'Données projet'!$A$139:$I$159,7,0)),0%,VLOOKUP(A30,'Données projet'!$A$139:$I$159,7,0))</f>
        <v>0.26</v>
      </c>
      <c r="DF30" s="23">
        <f>EXP(-LN(2)/35)*DF29+(1-EXP(-LN(2)/35))/(LN(2)/35)*DB30*DC30*VLOOKUP('Données projet'!$B$13,Paramètres!$A$1:$I$89,3,0)*0.475*44/12</f>
        <v>10.486847715842453</v>
      </c>
      <c r="DG30" s="23">
        <f>EXP(-LN(2)/25)*DG29+(1-EXP(-LN(2)/25))/(LN(2)/25)*Calculateur!DB30*Calculateur!DD30*VLOOKUP('Données projet'!$B$13,Paramètres!$A$1:$I$89,3,0)*0.475*44/12</f>
        <v>10.901712019432328</v>
      </c>
      <c r="DH30" s="23">
        <f>EXP(-LN(2)/2)*DH29+(1-EXP(-LN(2)/2))/(LN(2)/2)*DB30*DE30*VLOOKUP('Données projet'!$B$13,Paramètres!$A$1:$I$89,3,0)*0.475*44/12</f>
        <v>8.6059665474846359</v>
      </c>
      <c r="DI30" s="24">
        <f t="shared" si="15"/>
        <v>29.994526282759416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</v>
      </c>
      <c r="DO30" s="13">
        <f>IF('Données projet'!$A$166&gt;35,DO29+DN30-DW29,IF(A30&lt;'Données projet'!$A$166,$DL$205^A30,IF(A30='Données projet'!$A$166,'Données projet'!$B$166,DO29+DN30-DW29)))</f>
        <v>95</v>
      </c>
      <c r="DP30" s="18">
        <f>DO30*VLOOKUP('Données projet'!$B$14,Paramètres!$A$1:$I$89,3,0)*VLOOKUP('Données projet'!$B$14,Paramètres!$A$1:$I$89,5,0)</f>
        <v>82.992000000000004</v>
      </c>
      <c r="DQ30" s="14">
        <f t="shared" si="43"/>
        <v>22.867173045817324</v>
      </c>
      <c r="DR30" s="22">
        <f t="shared" si="16"/>
        <v>184.37139305479852</v>
      </c>
      <c r="DS30" s="62">
        <f t="shared" si="17"/>
        <v>474.03805972146517</v>
      </c>
      <c r="DT30" s="62">
        <f ca="1">AVERAGE(OFFSET($DS$3,0,0,'Données projet'!$E$14+1,1))-AVERAGE(OFFSET($H$3,0,0,'Données projet'!$E$14+1,1))</f>
        <v>300.63505444445104</v>
      </c>
      <c r="DU30" s="62">
        <f t="shared" si="44"/>
        <v>266.32508105927997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14.2</v>
      </c>
      <c r="EJ30" s="13">
        <f>IF('Données projet'!$A$192&gt;35,EJ29+EI30-ER29,IF(A30&lt;'Données projet'!$A$192,$EG$205^A30,IF(A30='Données projet'!$A$192,'Données projet'!$B$192,EJ29+EI30-ER29)))</f>
        <v>134.39999999999995</v>
      </c>
      <c r="EK30" s="18">
        <f>EJ30*VLOOKUP('Données projet'!$B$15,Paramètres!$A$1:$I$89,3,0)*VLOOKUP('Données projet'!$B$15,Paramètres!$A$1:$I$89,5,0)</f>
        <v>106.92863999999996</v>
      </c>
      <c r="EL30" s="14">
        <f t="shared" si="45"/>
        <v>28.606159868782917</v>
      </c>
      <c r="EM30" s="22">
        <f t="shared" si="19"/>
        <v>236.05644310479681</v>
      </c>
      <c r="EN30" s="62">
        <f t="shared" si="20"/>
        <v>525.72310977146344</v>
      </c>
      <c r="EO30" s="62">
        <f ca="1">AVERAGE(OFFSET($EN$3,0,0,'Données projet'!$E$15+1,1))-AVERAGE(OFFSET($H$3,0,0,'Données projet'!$E$15+1,1))</f>
        <v>353.37024194969638</v>
      </c>
      <c r="EP30" s="62">
        <f t="shared" si="46"/>
        <v>345.4750813433123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9.8972815023945362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9.8972815023945362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8.8000000000000007</v>
      </c>
      <c r="FE30" s="13">
        <f>IF('Données projet'!$A$218&gt;35,FE29+FD30-FM29,IF(A30&lt;'Données projet'!$A$218,$FB$205^A30,IF(A30='Données projet'!$A$218,'Données projet'!$B$218,FE29+FD30-FM29)))</f>
        <v>134.6</v>
      </c>
      <c r="FF30" s="18">
        <f>FE30*VLOOKUP('Données projet'!$B$16,Paramètres!$A$1:$I$89,3,0)*VLOOKUP('Données projet'!$B$16,Paramètres!$A$1:$I$89,5,0)</f>
        <v>88.189920000000001</v>
      </c>
      <c r="FG30" s="14">
        <f t="shared" si="47"/>
        <v>24.128162431798632</v>
      </c>
      <c r="FH30" s="22">
        <f t="shared" si="22"/>
        <v>195.62066023538262</v>
      </c>
      <c r="FI30" s="62">
        <f t="shared" si="23"/>
        <v>485.2873269020493</v>
      </c>
      <c r="FJ30" s="62">
        <f ca="1">AVERAGE(OFFSET($FI$3,0,0,'Données projet'!$E$16+1,1))-AVERAGE(OFFSET($H$3,0,0,'Données projet'!$E$16+1,1))</f>
        <v>263.30962868541337</v>
      </c>
      <c r="FK30" s="62">
        <f t="shared" si="48"/>
        <v>269.61868559913404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4.5262222222222226</v>
      </c>
      <c r="N31" s="14">
        <f>IF('Données projet'!$A$36&gt;35,N30+M31-V30,IF(A31&lt;'Données projet'!$A$36,$K$205^A31,IF(A31='Données projet'!$A$36,'Données projet'!$B$36,N30+M31-V30)))</f>
        <v>126.73422222222216</v>
      </c>
      <c r="O31" s="14">
        <f>N31*VLOOKUP('Données projet'!$B$9,Paramètres!$A$1:$I$89,3,0)*VLOOKUP('Données projet'!$B$9,Paramètres!$A$1:$I$89,5,0)</f>
        <v>75.787064888888864</v>
      </c>
      <c r="P31" s="14">
        <f t="shared" si="33"/>
        <v>21.103878822325346</v>
      </c>
      <c r="Q31" s="22">
        <f t="shared" si="2"/>
        <v>168.75172696369808</v>
      </c>
      <c r="R31" s="62">
        <f t="shared" si="0"/>
        <v>459.64061585258696</v>
      </c>
      <c r="S31" s="62">
        <f ca="1">AVERAGE(OFFSET($R$3,0,0,'Données projet'!$E$9+1,1))-AVERAGE(OFFSET($H$3,0,0,'Données projet'!$E$9+1,1))</f>
        <v>262.06511368698341</v>
      </c>
      <c r="T31" s="62">
        <f t="shared" si="34"/>
        <v>217.15709240080542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6.3325490196078427</v>
      </c>
      <c r="AI31" s="14">
        <f>IF('Données projet'!$A$62&gt;35,AI30+AH31-AQ30,IF(A31&lt;'Données projet'!$A$62,$AF$205^A31,IF(A31='Données projet'!$A$62,'Données projet'!$B$62,AI30+AH31-AQ30)))</f>
        <v>177.31137254901964</v>
      </c>
      <c r="AJ31" s="14">
        <f>AI31*VLOOKUP('Données projet'!$B$10,Paramètres!$A$1:$I$89,3,0)*VLOOKUP('Données projet'!$B$10,Paramètres!$A$1:$I$89,5,0)</f>
        <v>82.98172235294119</v>
      </c>
      <c r="AK31" s="14">
        <f t="shared" si="35"/>
        <v>22.864670806840319</v>
      </c>
      <c r="AL31" s="22">
        <f t="shared" si="4"/>
        <v>184.34913475328611</v>
      </c>
      <c r="AM31" s="62">
        <f t="shared" si="5"/>
        <v>475.23802364217499</v>
      </c>
      <c r="AN31" s="62">
        <f ca="1">AVERAGE(OFFSET($AM$3,0,0,'Données projet'!$E$10+1,1))-AVERAGE(OFFSET($H$3,0,0,'Données projet'!$E$10+1,1))</f>
        <v>287.83167869616227</v>
      </c>
      <c r="AO31" s="62">
        <f t="shared" si="36"/>
        <v>233.84231920589906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12.833333333333334</v>
      </c>
      <c r="BD31" s="13">
        <f>IF('Données projet'!$A$88&gt;35,BD30+BC31-BL30,IF(A31&lt;'Données projet'!$A$88,$BA$205^A31,IF(A31='Données projet'!$A$88,'Données projet'!$B$88,BD30+BC31-BL30)))</f>
        <v>189.33333333333331</v>
      </c>
      <c r="BE31" s="14">
        <f>BD31*VLOOKUP('Données projet'!$B$11,Paramètres!$A$1:$I$89,3,0)*VLOOKUP('Données projet'!$B$11,Paramètres!$A$1:$I$89,5,0)</f>
        <v>118.14399999999998</v>
      </c>
      <c r="BF31" s="14">
        <f t="shared" si="37"/>
        <v>31.241725849174369</v>
      </c>
      <c r="BG31" s="22">
        <f t="shared" si="7"/>
        <v>260.18013918731202</v>
      </c>
      <c r="BH31" s="62">
        <f t="shared" si="8"/>
        <v>551.06902807620088</v>
      </c>
      <c r="BI31" s="62">
        <f ca="1">AVERAGE(OFFSET($BH$3,0,0,'Données projet'!$E$11+1,1))-AVERAGE(OFFSET($H$3,0,0,'Données projet'!$E$11+1,1))</f>
        <v>262.36903350767881</v>
      </c>
      <c r="BJ31" s="62">
        <f t="shared" si="38"/>
        <v>331.21009482262417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10.527391928025393</v>
      </c>
      <c r="BQ31" s="23">
        <f>EXP(-LN(2)/25)*BQ30+(1-EXP(-LN(2)/25))/(LN(2)/25)*Calculateur!BL31*Calculateur!BN31*VLOOKUP('Données projet'!$B$11,Paramètres!$A$1:$I$89,3,0)*0.475*44/12</f>
        <v>24.812573144880076</v>
      </c>
      <c r="BR31" s="23">
        <f>EXP(-LN(2)/2)*BR30+(1-EXP(-LN(2)/2))/(LN(2)/2)*BL31*BO31*VLOOKUP('Données projet'!$B$11,Paramètres!$A$1:$I$89,3,0)*0.475*44/12</f>
        <v>4.0430203772994062</v>
      </c>
      <c r="BS31" s="24">
        <f t="shared" si="9"/>
        <v>39.382985450204878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3.887142857142857</v>
      </c>
      <c r="BY31" s="13">
        <f>IF('Données projet'!$A$114&gt;35,BY30+BX31-CG30,IF(A31&lt;'Données projet'!$A$114,$BV$205^A31,IF(A31='Données projet'!$A$114,'Données projet'!$B$114,BY30+BX31-CG30)))</f>
        <v>108.84000000000003</v>
      </c>
      <c r="BZ31" s="14">
        <f>BY31*VLOOKUP('Données projet'!$B$12,Paramètres!$A$1:$I$89,3,0)*VLOOKUP('Données projet'!$B$12,Paramètres!$A$1:$I$89,5,0)</f>
        <v>105.27004800000003</v>
      </c>
      <c r="CA31" s="14">
        <f t="shared" si="39"/>
        <v>28.213736415784727</v>
      </c>
      <c r="CB31" s="22">
        <f t="shared" si="10"/>
        <v>232.48425785749177</v>
      </c>
      <c r="CC31" s="62">
        <f t="shared" si="11"/>
        <v>523.3731467463806</v>
      </c>
      <c r="CD31" s="62">
        <f ca="1">AVERAGE(OFFSET($CC$3,0,0,'Données projet'!$E$12+1,1))-AVERAGE(OFFSET($H$3,0,0,'Données projet'!$E$12+1,1))</f>
        <v>618.83149423524605</v>
      </c>
      <c r="CE31" s="62">
        <f t="shared" si="40"/>
        <v>285.33582535802435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16.614999999999998</v>
      </c>
      <c r="CT31" s="13">
        <f>IF('Données projet'!$A$140&gt;35,CT30+CS31-DB30,IF(A31&lt;'Données projet'!$A$140,$CQ$205^A31,IF(A31='Données projet'!$A$140,'Données projet'!$B$140,CT30+CS31-DB30)))</f>
        <v>134.26499999999999</v>
      </c>
      <c r="CU31" s="18">
        <f>CT31*VLOOKUP('Données projet'!$B$13,Paramètres!$A$1:$I$89,3,0)*VLOOKUP('Données projet'!$B$13,Paramètres!$A$1:$I$89,5,0)</f>
        <v>80.290469999999999</v>
      </c>
      <c r="CV31" s="14">
        <f t="shared" si="41"/>
        <v>22.208190565938402</v>
      </c>
      <c r="CW31" s="22">
        <f t="shared" si="13"/>
        <v>178.51850048567601</v>
      </c>
      <c r="CX31" s="62">
        <f t="shared" si="14"/>
        <v>469.4073893745649</v>
      </c>
      <c r="CY31" s="62">
        <f ca="1">AVERAGE(OFFSET($CX$3,0,0,'Données projet'!$E$13+1,1))-AVERAGE(OFFSET($H$3,0,0,'Données projet'!$E$13+1,1))</f>
        <v>349.5718186624772</v>
      </c>
      <c r="CZ31" s="62">
        <f t="shared" si="42"/>
        <v>258.14152930815959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10.281207028480303</v>
      </c>
      <c r="DG31" s="23">
        <f>EXP(-LN(2)/25)*DG30+(1-EXP(-LN(2)/25))/(LN(2)/25)*Calculateur!DB31*Calculateur!DD31*VLOOKUP('Données projet'!$B$13,Paramètres!$A$1:$I$89,3,0)*0.475*44/12</f>
        <v>10.603604130964833</v>
      </c>
      <c r="DH31" s="23">
        <f>EXP(-LN(2)/2)*DH30+(1-EXP(-LN(2)/2))/(LN(2)/2)*DB31*DE31*VLOOKUP('Données projet'!$B$13,Paramètres!$A$1:$I$89,3,0)*0.475*44/12</f>
        <v>6.0853373043909667</v>
      </c>
      <c r="DI31" s="24">
        <f t="shared" si="15"/>
        <v>26.970148463836104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</v>
      </c>
      <c r="DO31" s="13">
        <f>IF('Données projet'!$A$166&gt;35,DO30+DN31-DW30,IF(A31&lt;'Données projet'!$A$166,$DL$205^A31,IF(A31='Données projet'!$A$166,'Données projet'!$B$166,DO30+DN31-DW30)))</f>
        <v>103</v>
      </c>
      <c r="DP31" s="18">
        <f>DO31*VLOOKUP('Données projet'!$B$14,Paramètres!$A$1:$I$89,3,0)*VLOOKUP('Données projet'!$B$14,Paramètres!$A$1:$I$89,5,0)</f>
        <v>89.980800000000016</v>
      </c>
      <c r="DQ31" s="14">
        <f t="shared" si="43"/>
        <v>24.560594358746648</v>
      </c>
      <c r="DR31" s="22">
        <f t="shared" si="16"/>
        <v>199.49292850815041</v>
      </c>
      <c r="DS31" s="62">
        <f t="shared" si="17"/>
        <v>490.3818173970393</v>
      </c>
      <c r="DT31" s="62">
        <f ca="1">AVERAGE(OFFSET($DS$3,0,0,'Données projet'!$E$14+1,1))-AVERAGE(OFFSET($H$3,0,0,'Données projet'!$E$14+1,1))</f>
        <v>300.63505444445104</v>
      </c>
      <c r="DU31" s="62">
        <f t="shared" si="44"/>
        <v>266.32508105927997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14.2</v>
      </c>
      <c r="EJ31" s="13">
        <f>IF('Données projet'!$A$192&gt;35,EJ30+EI31-ER30,IF(A31&lt;'Données projet'!$A$192,$EG$205^A31,IF(A31='Données projet'!$A$192,'Données projet'!$B$192,EJ30+EI31-ER30)))</f>
        <v>148.59999999999994</v>
      </c>
      <c r="EK31" s="18">
        <f>EJ31*VLOOKUP('Données projet'!$B$15,Paramètres!$A$1:$I$89,3,0)*VLOOKUP('Données projet'!$B$15,Paramètres!$A$1:$I$89,5,0)</f>
        <v>118.22615999999996</v>
      </c>
      <c r="EL31" s="14">
        <f t="shared" si="45"/>
        <v>31.260922342884676</v>
      </c>
      <c r="EM31" s="22">
        <f t="shared" si="19"/>
        <v>260.35666841385739</v>
      </c>
      <c r="EN31" s="62">
        <f t="shared" si="20"/>
        <v>551.24555730274619</v>
      </c>
      <c r="EO31" s="62">
        <f ca="1">AVERAGE(OFFSET($EN$3,0,0,'Données projet'!$E$15+1,1))-AVERAGE(OFFSET($H$3,0,0,'Données projet'!$E$15+1,1))</f>
        <v>353.37024194969638</v>
      </c>
      <c r="EP31" s="62">
        <f t="shared" si="46"/>
        <v>345.4750813433123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9.7032018488782175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9.7032018488782175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8.8000000000000007</v>
      </c>
      <c r="FE31" s="13">
        <f>IF('Données projet'!$A$218&gt;35,FE30+FD31-FM30,IF(A31&lt;'Données projet'!$A$218,$FB$205^A31,IF(A31='Données projet'!$A$218,'Données projet'!$B$218,FE30+FD31-FM30)))</f>
        <v>143.4</v>
      </c>
      <c r="FF31" s="18">
        <f>FE31*VLOOKUP('Données projet'!$B$16,Paramètres!$A$1:$I$89,3,0)*VLOOKUP('Données projet'!$B$16,Paramètres!$A$1:$I$89,5,0)</f>
        <v>93.955680000000001</v>
      </c>
      <c r="FG31" s="14">
        <f t="shared" si="47"/>
        <v>25.516838392731955</v>
      </c>
      <c r="FH31" s="22">
        <f t="shared" si="22"/>
        <v>208.08130286734149</v>
      </c>
      <c r="FI31" s="62">
        <f t="shared" si="23"/>
        <v>498.97019175623035</v>
      </c>
      <c r="FJ31" s="62">
        <f ca="1">AVERAGE(OFFSET($FI$3,0,0,'Données projet'!$E$16+1,1))-AVERAGE(OFFSET($H$3,0,0,'Données projet'!$E$16+1,1))</f>
        <v>263.30962868541337</v>
      </c>
      <c r="FK31" s="62">
        <f t="shared" si="48"/>
        <v>269.61868559913404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4.5262222222222226</v>
      </c>
      <c r="N32" s="14">
        <f>IF('Données projet'!$A$36&gt;35,N31+M32-V31,IF(A32&lt;'Données projet'!$A$36,$K$205^A32,IF(A32='Données projet'!$A$36,'Données projet'!$B$36,N31+M32-V31)))</f>
        <v>131.26044444444437</v>
      </c>
      <c r="O32" s="14">
        <f>N32*VLOOKUP('Données projet'!$B$9,Paramètres!$A$1:$I$89,3,0)*VLOOKUP('Données projet'!$B$9,Paramètres!$A$1:$I$89,5,0)</f>
        <v>78.493745777777747</v>
      </c>
      <c r="P32" s="14">
        <f t="shared" si="33"/>
        <v>21.76849071575446</v>
      </c>
      <c r="Q32" s="22">
        <f t="shared" si="2"/>
        <v>174.62339522623526</v>
      </c>
      <c r="R32" s="62">
        <f t="shared" si="0"/>
        <v>466.73450633734637</v>
      </c>
      <c r="S32" s="62">
        <f ca="1">AVERAGE(OFFSET($R$3,0,0,'Données projet'!$E$9+1,1))-AVERAGE(OFFSET($H$3,0,0,'Données projet'!$E$9+1,1))</f>
        <v>262.06511368698341</v>
      </c>
      <c r="T32" s="62">
        <f t="shared" si="34"/>
        <v>217.15709240080542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6.3325490196078427</v>
      </c>
      <c r="AI32" s="14">
        <f>IF('Données projet'!$A$62&gt;35,AI31+AH32-AQ31,IF(A32&lt;'Données projet'!$A$62,$AF$205^A32,IF(A32='Données projet'!$A$62,'Données projet'!$B$62,AI31+AH32-AQ31)))</f>
        <v>183.64392156862749</v>
      </c>
      <c r="AJ32" s="14">
        <f>AI32*VLOOKUP('Données projet'!$B$10,Paramètres!$A$1:$I$89,3,0)*VLOOKUP('Données projet'!$B$10,Paramètres!$A$1:$I$89,5,0)</f>
        <v>85.945355294117661</v>
      </c>
      <c r="AK32" s="14">
        <f t="shared" si="35"/>
        <v>23.584734274106435</v>
      </c>
      <c r="AL32" s="22">
        <f t="shared" si="4"/>
        <v>190.76490599799027</v>
      </c>
      <c r="AM32" s="62">
        <f t="shared" si="5"/>
        <v>482.87601710910144</v>
      </c>
      <c r="AN32" s="62">
        <f ca="1">AVERAGE(OFFSET($AM$3,0,0,'Données projet'!$E$10+1,1))-AVERAGE(OFFSET($H$3,0,0,'Données projet'!$E$10+1,1))</f>
        <v>287.83167869616227</v>
      </c>
      <c r="AO32" s="62">
        <f t="shared" si="36"/>
        <v>233.84231920589906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12.833333333333334</v>
      </c>
      <c r="BD32" s="13">
        <f>IF('Données projet'!$A$88&gt;35,BD31+BC32-BL31,IF(A32&lt;'Données projet'!$A$88,$BA$205^A32,IF(A32='Données projet'!$A$88,'Données projet'!$B$88,BD31+BC32-BL31)))</f>
        <v>202.16666666666666</v>
      </c>
      <c r="BE32" s="14">
        <f>BD32*VLOOKUP('Données projet'!$B$11,Paramètres!$A$1:$I$89,3,0)*VLOOKUP('Données projet'!$B$11,Paramètres!$A$1:$I$89,5,0)</f>
        <v>126.152</v>
      </c>
      <c r="BF32" s="14">
        <f t="shared" si="37"/>
        <v>33.105650597070621</v>
      </c>
      <c r="BG32" s="22">
        <f t="shared" si="7"/>
        <v>277.37374145656463</v>
      </c>
      <c r="BH32" s="62">
        <f t="shared" si="8"/>
        <v>569.48485256767572</v>
      </c>
      <c r="BI32" s="62">
        <f ca="1">AVERAGE(OFFSET($BH$3,0,0,'Données projet'!$E$11+1,1))-AVERAGE(OFFSET($H$3,0,0,'Données projet'!$E$11+1,1))</f>
        <v>262.36903350767881</v>
      </c>
      <c r="BJ32" s="62">
        <f t="shared" si="38"/>
        <v>331.21009482262417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10.320956193391863</v>
      </c>
      <c r="BQ32" s="23">
        <f>EXP(-LN(2)/25)*BQ31+(1-EXP(-LN(2)/25))/(LN(2)/25)*Calculateur!BL32*Calculateur!BN32*VLOOKUP('Données projet'!$B$11,Paramètres!$A$1:$I$89,3,0)*0.475*44/12</f>
        <v>24.134072027396819</v>
      </c>
      <c r="BR32" s="23">
        <f>EXP(-LN(2)/2)*BR31+(1-EXP(-LN(2)/2))/(LN(2)/2)*BL32*BO32*VLOOKUP('Données projet'!$B$11,Paramètres!$A$1:$I$89,3,0)*0.475*44/12</f>
        <v>2.8588471252638041</v>
      </c>
      <c r="BS32" s="24">
        <f t="shared" si="9"/>
        <v>37.313875346052491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3.887142857142857</v>
      </c>
      <c r="BY32" s="13">
        <f>IF('Données projet'!$A$114&gt;35,BY31+BX32-CG31,IF(A32&lt;'Données projet'!$A$114,$BV$205^A32,IF(A32='Données projet'!$A$114,'Données projet'!$B$114,BY31+BX32-CG31)))</f>
        <v>112.72714285714289</v>
      </c>
      <c r="BZ32" s="14">
        <f>BY32*VLOOKUP('Données projet'!$B$12,Paramètres!$A$1:$I$89,3,0)*VLOOKUP('Données projet'!$B$12,Paramètres!$A$1:$I$89,5,0)</f>
        <v>109.02969257142863</v>
      </c>
      <c r="CA32" s="14">
        <f t="shared" si="39"/>
        <v>29.102254822181546</v>
      </c>
      <c r="CB32" s="22">
        <f t="shared" si="10"/>
        <v>240.57980837720436</v>
      </c>
      <c r="CC32" s="62">
        <f t="shared" si="11"/>
        <v>532.69091948831556</v>
      </c>
      <c r="CD32" s="62">
        <f ca="1">AVERAGE(OFFSET($CC$3,0,0,'Données projet'!$E$12+1,1))-AVERAGE(OFFSET($H$3,0,0,'Données projet'!$E$12+1,1))</f>
        <v>618.83149423524605</v>
      </c>
      <c r="CE32" s="62">
        <f t="shared" si="40"/>
        <v>285.33582535802435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16.614999999999998</v>
      </c>
      <c r="CT32" s="13">
        <f>IF('Données projet'!$A$140&gt;35,CT31+CS32-DB31,IF(A32&lt;'Données projet'!$A$140,$CQ$205^A32,IF(A32='Données projet'!$A$140,'Données projet'!$B$140,CT31+CS32-DB31)))</f>
        <v>150.88</v>
      </c>
      <c r="CU32" s="18">
        <f>CT32*VLOOKUP('Données projet'!$B$13,Paramètres!$A$1:$I$89,3,0)*VLOOKUP('Données projet'!$B$13,Paramètres!$A$1:$I$89,5,0)</f>
        <v>90.22623999999999</v>
      </c>
      <c r="CV32" s="14">
        <f t="shared" si="41"/>
        <v>24.619780658757083</v>
      </c>
      <c r="CW32" s="22">
        <f t="shared" si="13"/>
        <v>200.02348598066854</v>
      </c>
      <c r="CX32" s="62">
        <f t="shared" si="14"/>
        <v>492.13459709177971</v>
      </c>
      <c r="CY32" s="62">
        <f ca="1">AVERAGE(OFFSET($CX$3,0,0,'Données projet'!$E$13+1,1))-AVERAGE(OFFSET($H$3,0,0,'Données projet'!$E$13+1,1))</f>
        <v>349.5718186624772</v>
      </c>
      <c r="CZ32" s="62">
        <f t="shared" si="42"/>
        <v>258.14152930815959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10.079598829568889</v>
      </c>
      <c r="DG32" s="23">
        <f>EXP(-LN(2)/25)*DG31+(1-EXP(-LN(2)/25))/(LN(2)/25)*Calculateur!DB32*Calculateur!DD32*VLOOKUP('Données projet'!$B$13,Paramètres!$A$1:$I$89,3,0)*0.475*44/12</f>
        <v>10.313648018384292</v>
      </c>
      <c r="DH32" s="23">
        <f>EXP(-LN(2)/2)*DH31+(1-EXP(-LN(2)/2))/(LN(2)/2)*DB32*DE32*VLOOKUP('Données projet'!$B$13,Paramètres!$A$1:$I$89,3,0)*0.475*44/12</f>
        <v>4.3029832737423188</v>
      </c>
      <c r="DI32" s="24">
        <f t="shared" si="15"/>
        <v>24.6962301216955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</v>
      </c>
      <c r="DO32" s="13">
        <f>IF('Données projet'!$A$166&gt;35,DO31+DN32-DW31,IF(A32&lt;'Données projet'!$A$166,$DL$205^A32,IF(A32='Données projet'!$A$166,'Données projet'!$B$166,DO31+DN32-DW31)))</f>
        <v>111</v>
      </c>
      <c r="DP32" s="18">
        <f>DO32*VLOOKUP('Données projet'!$B$14,Paramètres!$A$1:$I$89,3,0)*VLOOKUP('Données projet'!$B$14,Paramètres!$A$1:$I$89,5,0)</f>
        <v>96.969600000000014</v>
      </c>
      <c r="DQ32" s="14">
        <f t="shared" si="43"/>
        <v>26.238758642904337</v>
      </c>
      <c r="DR32" s="22">
        <f t="shared" si="16"/>
        <v>214.58789130305843</v>
      </c>
      <c r="DS32" s="62">
        <f t="shared" si="17"/>
        <v>506.69900241416957</v>
      </c>
      <c r="DT32" s="62">
        <f ca="1">AVERAGE(OFFSET($DS$3,0,0,'Données projet'!$E$14+1,1))-AVERAGE(OFFSET($H$3,0,0,'Données projet'!$E$14+1,1))</f>
        <v>300.63505444445104</v>
      </c>
      <c r="DU32" s="62">
        <f t="shared" si="44"/>
        <v>266.32508105927997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14.2</v>
      </c>
      <c r="EJ32" s="13">
        <f>IF('Données projet'!$A$192&gt;35,EJ31+EI32-ER31,IF(A32&lt;'Données projet'!$A$192,$EG$205^A32,IF(A32='Données projet'!$A$192,'Données projet'!$B$192,EJ31+EI32-ER31)))</f>
        <v>162.79999999999993</v>
      </c>
      <c r="EK32" s="18">
        <f>EJ32*VLOOKUP('Données projet'!$B$15,Paramètres!$A$1:$I$89,3,0)*VLOOKUP('Données projet'!$B$15,Paramètres!$A$1:$I$89,5,0)</f>
        <v>129.52367999999996</v>
      </c>
      <c r="EL32" s="14">
        <f t="shared" si="45"/>
        <v>33.886272262901727</v>
      </c>
      <c r="EM32" s="22">
        <f t="shared" si="19"/>
        <v>284.60566685788712</v>
      </c>
      <c r="EN32" s="62">
        <f t="shared" si="20"/>
        <v>576.71677796899826</v>
      </c>
      <c r="EO32" s="62">
        <f ca="1">AVERAGE(OFFSET($EN$3,0,0,'Données projet'!$E$15+1,1))-AVERAGE(OFFSET($H$3,0,0,'Données projet'!$E$15+1,1))</f>
        <v>353.37024194969638</v>
      </c>
      <c r="EP32" s="62">
        <f t="shared" si="46"/>
        <v>345.4750813433123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9.5129279789904526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9.5129279789904526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8.8000000000000007</v>
      </c>
      <c r="FE32" s="13">
        <f>IF('Données projet'!$A$218&gt;35,FE31+FD32-FM31,IF(A32&lt;'Données projet'!$A$218,$FB$205^A32,IF(A32='Données projet'!$A$218,'Données projet'!$B$218,FE31+FD32-FM31)))</f>
        <v>152.20000000000002</v>
      </c>
      <c r="FF32" s="18">
        <f>FE32*VLOOKUP('Données projet'!$B$16,Paramètres!$A$1:$I$89,3,0)*VLOOKUP('Données projet'!$B$16,Paramètres!$A$1:$I$89,5,0)</f>
        <v>99.721440000000015</v>
      </c>
      <c r="FG32" s="14">
        <f t="shared" si="47"/>
        <v>26.895623699520389</v>
      </c>
      <c r="FH32" s="22">
        <f t="shared" si="22"/>
        <v>220.52471927666468</v>
      </c>
      <c r="FI32" s="62">
        <f t="shared" si="23"/>
        <v>512.63583038777585</v>
      </c>
      <c r="FJ32" s="62">
        <f ca="1">AVERAGE(OFFSET($FI$3,0,0,'Données projet'!$E$16+1,1))-AVERAGE(OFFSET($H$3,0,0,'Données projet'!$E$16+1,1))</f>
        <v>263.30962868541337</v>
      </c>
      <c r="FK32" s="62">
        <f t="shared" si="48"/>
        <v>269.61868559913404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4.5262222222222226</v>
      </c>
      <c r="N33" s="14">
        <f>IF('Données projet'!$A$36&gt;35,N32+M33-V32,IF(A33&lt;'Données projet'!$A$36,$K$205^A33,IF(A33='Données projet'!$A$36,'Données projet'!$B$36,N32+M33-V32)))</f>
        <v>135.7866666666666</v>
      </c>
      <c r="O33" s="14">
        <f>N33*VLOOKUP('Données projet'!$B$9,Paramètres!$A$1:$I$89,3,0)*VLOOKUP('Données projet'!$B$9,Paramètres!$A$1:$I$89,5,0)</f>
        <v>81.200426666666644</v>
      </c>
      <c r="P33" s="14">
        <f t="shared" si="33"/>
        <v>22.430439783556579</v>
      </c>
      <c r="Q33" s="22">
        <f t="shared" si="2"/>
        <v>180.49042573413877</v>
      </c>
      <c r="R33" s="62">
        <f t="shared" si="0"/>
        <v>473.82375906747211</v>
      </c>
      <c r="S33" s="62">
        <f ca="1">AVERAGE(OFFSET($R$3,0,0,'Données projet'!$E$9+1,1))-AVERAGE(OFFSET($H$3,0,0,'Données projet'!$E$9+1,1))</f>
        <v>262.06511368698341</v>
      </c>
      <c r="T33" s="62">
        <f t="shared" si="34"/>
        <v>217.15709240080542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6.3325490196078427</v>
      </c>
      <c r="AI33" s="14">
        <f>IF('Données projet'!$A$62&gt;35,AI32+AH33-AQ32,IF(A33&lt;'Données projet'!$A$62,$AF$205^A33,IF(A33='Données projet'!$A$62,'Données projet'!$B$62,AI32+AH33-AQ32)))</f>
        <v>189.97647058823534</v>
      </c>
      <c r="AJ33" s="14">
        <f>AI33*VLOOKUP('Données projet'!$B$10,Paramètres!$A$1:$I$89,3,0)*VLOOKUP('Données projet'!$B$10,Paramètres!$A$1:$I$89,5,0)</f>
        <v>88.908988235294146</v>
      </c>
      <c r="AK33" s="14">
        <f t="shared" si="35"/>
        <v>24.301912744169435</v>
      </c>
      <c r="AL33" s="22">
        <f t="shared" si="4"/>
        <v>197.1756525392324</v>
      </c>
      <c r="AM33" s="62">
        <f t="shared" si="5"/>
        <v>490.50898587256575</v>
      </c>
      <c r="AN33" s="62">
        <f ca="1">AVERAGE(OFFSET($AM$3,0,0,'Données projet'!$E$10+1,1))-AVERAGE(OFFSET($H$3,0,0,'Données projet'!$E$10+1,1))</f>
        <v>287.83167869616227</v>
      </c>
      <c r="AO33" s="62">
        <f t="shared" si="36"/>
        <v>233.84231920589906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215</v>
      </c>
      <c r="BB33" s="13">
        <f>VLOOKUP(A33,'Données projet'!$A$87:$I$107,9,0)</f>
        <v>12.833333333333334</v>
      </c>
      <c r="BC33" s="13">
        <f t="array" ref="BC33">INDEX(BB:BB,MIN(IF(ISNUMBER(BB33:BB229),ROW(BB33:BB229),"")))</f>
        <v>12.833333333333334</v>
      </c>
      <c r="BD33" s="13">
        <f>IF('Données projet'!$A$88&gt;35,BD32+BC33-BL32,IF(A33&lt;'Données projet'!$A$88,$BA$205^A33,IF(A33='Données projet'!$A$88,'Données projet'!$B$88,BD32+BC33-BL32)))</f>
        <v>215</v>
      </c>
      <c r="BE33" s="14">
        <f>BD33*VLOOKUP('Données projet'!$B$11,Paramètres!$A$1:$I$89,3,0)*VLOOKUP('Données projet'!$B$11,Paramètres!$A$1:$I$89,5,0)</f>
        <v>134.16</v>
      </c>
      <c r="BF33" s="14">
        <f t="shared" si="37"/>
        <v>34.955843917296178</v>
      </c>
      <c r="BG33" s="22">
        <f t="shared" si="7"/>
        <v>294.54342815595749</v>
      </c>
      <c r="BH33" s="62">
        <f t="shared" si="8"/>
        <v>587.87676148929086</v>
      </c>
      <c r="BI33" s="62">
        <f ca="1">AVERAGE(OFFSET($BH$3,0,0,'Données projet'!$E$11+1,1))-AVERAGE(OFFSET($H$3,0,0,'Données projet'!$E$11+1,1))</f>
        <v>262.36903350767881</v>
      </c>
      <c r="BJ33" s="62">
        <f t="shared" si="38"/>
        <v>331.21009482262417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48</v>
      </c>
      <c r="BM33" s="17">
        <f>IF(ISNA(VLOOKUP(A33,'Données projet'!$A$87:$I$107,5,0)),0%,VLOOKUP(A33,'Données projet'!$A$87:$I$107,5,0)*VLOOKUP('Données projet'!$B$11,Paramètres!$A$1:$I$89,7,0))</f>
        <v>0.24</v>
      </c>
      <c r="BN33" s="17">
        <f>IF(ISNA(VLOOKUP(A33,'Données projet'!$A$87:$I$107,6,0)),0%,VLOOKUP(A33,'Données projet'!$A$87:$I$107,6,0)*VLOOKUP('Données projet'!$B$11,Paramètres!$A$1:$I$89,7,0))</f>
        <v>0.20400000000000001</v>
      </c>
      <c r="BO33" s="17">
        <f>IF(ISNA(VLOOKUP(A33,'Données projet'!$A$87:$I$107,7,0)),0%,VLOOKUP(A33,'Données projet'!$A$87:$I$107,7,0))</f>
        <v>0.26</v>
      </c>
      <c r="BP33" s="23">
        <f>EXP(-LN(2)/35)*BP32+(1-EXP(-LN(2)/35))/(LN(2)/35)*BL33*BM33*VLOOKUP('Données projet'!$B$11,Paramètres!$A$1:$I$89,3,0)*0.475*44/12</f>
        <v>19.654550594239158</v>
      </c>
      <c r="BQ33" s="23">
        <f>EXP(-LN(2)/25)*BQ32+(1-EXP(-LN(2)/25))/(LN(2)/25)*Calculateur!BL33*Calculateur!BN33*VLOOKUP('Données projet'!$B$11,Paramètres!$A$1:$I$89,3,0)*0.475*44/12</f>
        <v>31.547794531170933</v>
      </c>
      <c r="BR33" s="23">
        <f>EXP(-LN(2)/2)*BR32+(1-EXP(-LN(2)/2))/(LN(2)/2)*BL33*BO33*VLOOKUP('Données projet'!$B$11,Paramètres!$A$1:$I$89,3,0)*0.475*44/12</f>
        <v>10.838791850283005</v>
      </c>
      <c r="BS33" s="24">
        <f t="shared" si="9"/>
        <v>62.041136975693092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3.887142857142857</v>
      </c>
      <c r="BY33" s="13">
        <f>IF('Données projet'!$A$114&gt;35,BY32+BX33-CG32,IF(A33&lt;'Données projet'!$A$114,$BV$205^A33,IF(A33='Données projet'!$A$114,'Données projet'!$B$114,BY32+BX33-CG32)))</f>
        <v>116.61428571428576</v>
      </c>
      <c r="BZ33" s="14">
        <f>BY33*VLOOKUP('Données projet'!$B$12,Paramètres!$A$1:$I$89,3,0)*VLOOKUP('Données projet'!$B$12,Paramètres!$A$1:$I$89,5,0)</f>
        <v>112.78933714285719</v>
      </c>
      <c r="CA33" s="14">
        <f t="shared" si="39"/>
        <v>29.987213301941502</v>
      </c>
      <c r="CB33" s="22">
        <f t="shared" si="10"/>
        <v>248.66915869135769</v>
      </c>
      <c r="CC33" s="62">
        <f t="shared" si="11"/>
        <v>542.00249202469104</v>
      </c>
      <c r="CD33" s="62">
        <f ca="1">AVERAGE(OFFSET($CC$3,0,0,'Données projet'!$E$12+1,1))-AVERAGE(OFFSET($H$3,0,0,'Données projet'!$E$12+1,1))</f>
        <v>618.83149423524605</v>
      </c>
      <c r="CE33" s="62">
        <f t="shared" si="40"/>
        <v>285.33582535802435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16.614999999999998</v>
      </c>
      <c r="CT33" s="13">
        <f>IF('Données projet'!$A$140&gt;35,CT32+CS33-DB32,IF(A33&lt;'Données projet'!$A$140,$CQ$205^A33,IF(A33='Données projet'!$A$140,'Données projet'!$B$140,CT32+CS33-DB32)))</f>
        <v>167.495</v>
      </c>
      <c r="CU33" s="18">
        <f>CT33*VLOOKUP('Données projet'!$B$13,Paramètres!$A$1:$I$89,3,0)*VLOOKUP('Données projet'!$B$13,Paramètres!$A$1:$I$89,5,0)</f>
        <v>100.16201000000001</v>
      </c>
      <c r="CV33" s="14">
        <f t="shared" si="41"/>
        <v>27.000590559708886</v>
      </c>
      <c r="CW33" s="22">
        <f t="shared" si="13"/>
        <v>221.47486264149299</v>
      </c>
      <c r="CX33" s="62">
        <f t="shared" si="14"/>
        <v>514.80819597482628</v>
      </c>
      <c r="CY33" s="62">
        <f ca="1">AVERAGE(OFFSET($CX$3,0,0,'Données projet'!$E$13+1,1))-AVERAGE(OFFSET($H$3,0,0,'Données projet'!$E$13+1,1))</f>
        <v>349.5718186624772</v>
      </c>
      <c r="CZ33" s="62">
        <f t="shared" si="42"/>
        <v>258.14152930815959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9.8819440444692699</v>
      </c>
      <c r="DG33" s="23">
        <f>EXP(-LN(2)/25)*DG32+(1-EXP(-LN(2)/25))/(LN(2)/25)*Calculateur!DB33*Calculateur!DD33*VLOOKUP('Données projet'!$B$13,Paramètres!$A$1:$I$89,3,0)*0.475*44/12</f>
        <v>10.031620770950397</v>
      </c>
      <c r="DH33" s="23">
        <f>EXP(-LN(2)/2)*DH32+(1-EXP(-LN(2)/2))/(LN(2)/2)*DB33*DE33*VLOOKUP('Données projet'!$B$13,Paramètres!$A$1:$I$89,3,0)*0.475*44/12</f>
        <v>3.0426686521954838</v>
      </c>
      <c r="DI33" s="24">
        <f t="shared" si="15"/>
        <v>22.956233467615153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119</v>
      </c>
      <c r="DM33" s="13">
        <f>VLOOKUP(A33,'Données projet'!$A$165:$I$185,9,0)</f>
        <v>8</v>
      </c>
      <c r="DN33" s="13">
        <f t="array" ref="DN33">INDEX(DM:DM,MIN(IF(ISNUMBER(DM33:DM229),ROW(DM33:DM229),"")))</f>
        <v>8</v>
      </c>
      <c r="DO33" s="13">
        <f>IF('Données projet'!$A$166&gt;35,DO32+DN33-DW32,IF(A33&lt;'Données projet'!$A$166,$DL$205^A33,IF(A33='Données projet'!$A$166,'Données projet'!$B$166,DO32+DN33-DW32)))</f>
        <v>119</v>
      </c>
      <c r="DP33" s="18">
        <f>DO33*VLOOKUP('Données projet'!$B$14,Paramètres!$A$1:$I$89,3,0)*VLOOKUP('Données projet'!$B$14,Paramètres!$A$1:$I$89,5,0)</f>
        <v>103.9584</v>
      </c>
      <c r="DQ33" s="14">
        <f t="shared" si="43"/>
        <v>27.902890560352166</v>
      </c>
      <c r="DR33" s="22">
        <f t="shared" si="16"/>
        <v>229.65841439261331</v>
      </c>
      <c r="DS33" s="62">
        <f t="shared" si="17"/>
        <v>522.99174772594665</v>
      </c>
      <c r="DT33" s="62">
        <f ca="1">AVERAGE(OFFSET($DS$3,0,0,'Données projet'!$E$14+1,1))-AVERAGE(OFFSET($H$3,0,0,'Données projet'!$E$14+1,1))</f>
        <v>300.63505444445104</v>
      </c>
      <c r="DU33" s="62">
        <f t="shared" si="44"/>
        <v>266.32508105927997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20</v>
      </c>
      <c r="DX33" s="17">
        <f>IF(ISNA(VLOOKUP(A33,'Données projet'!$A$165:$I$185,5,0)),0%,VLOOKUP(A33,'Données projet'!$A$165:$I$185,5,0)*VLOOKUP('Données projet'!$B$14,Paramètres!$A$1:$I$89,7,0))</f>
        <v>8.6000000000000007E-2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1.6610709485231749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1.6610709485231749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177</v>
      </c>
      <c r="EH33" s="13">
        <f>VLOOKUP(A33,'Données projet'!$A$191:$I$211,9,0)</f>
        <v>14.2</v>
      </c>
      <c r="EI33" s="13">
        <f t="array" ref="EI33">INDEX(EH:EH,MIN(IF(ISNUMBER(EH33:EH229),ROW(EH33:EH229),"")))</f>
        <v>14.2</v>
      </c>
      <c r="EJ33" s="13">
        <f>IF('Données projet'!$A$192&gt;35,EJ32+EI33-ER32,IF(A33&lt;'Données projet'!$A$192,$EG$205^A33,IF(A33='Données projet'!$A$192,'Données projet'!$B$192,EJ32+EI33-ER32)))</f>
        <v>176.99999999999991</v>
      </c>
      <c r="EK33" s="18">
        <f>EJ33*VLOOKUP('Données projet'!$B$15,Paramètres!$A$1:$I$89,3,0)*VLOOKUP('Données projet'!$B$15,Paramètres!$A$1:$I$89,5,0)</f>
        <v>140.82119999999992</v>
      </c>
      <c r="EL33" s="14">
        <f t="shared" si="45"/>
        <v>36.485066799987997</v>
      </c>
      <c r="EM33" s="22">
        <f t="shared" si="19"/>
        <v>308.80841467664561</v>
      </c>
      <c r="EN33" s="62">
        <f t="shared" si="20"/>
        <v>602.14174800997898</v>
      </c>
      <c r="EO33" s="62">
        <f ca="1">AVERAGE(OFFSET($EN$3,0,0,'Données projet'!$E$15+1,1))-AVERAGE(OFFSET($H$3,0,0,'Données projet'!$E$15+1,1))</f>
        <v>353.37024194969638</v>
      </c>
      <c r="EP33" s="62">
        <f t="shared" si="46"/>
        <v>345.4750813433123</v>
      </c>
      <c r="EQ33" s="16">
        <f>IF(ISNA(VLOOKUP(A33,'Données projet'!$A$191:$I$211,3,0)),0,VLOOKUP(A33,'Données projet'!$A$191:$I$211,3,0))</f>
        <v>5</v>
      </c>
      <c r="ER33" s="16">
        <f>IF(ISNA(VLOOKUP(A33,'Données projet'!$A$191:$I$211,4,0)),0,VLOOKUP(A33,'Données projet'!$A$191:$I$211,4,0))</f>
        <v>35</v>
      </c>
      <c r="ES33" s="17">
        <f>IF(ISNA(VLOOKUP(A33,'Données projet'!$A$191:$I$211,5,0)),0%,VLOOKUP(A33,'Données projet'!$A$191:$I$211,5,0)*VLOOKUP('Données projet'!$B$15,Paramètres!$A$1:$I$89,7,0))</f>
        <v>0.159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14.220870845603038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14.220870845603038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161</v>
      </c>
      <c r="FC33" s="13">
        <f>VLOOKUP(A33,'Données projet'!$A$217:$I$237,9,0)</f>
        <v>8.8000000000000007</v>
      </c>
      <c r="FD33" s="13">
        <f t="array" ref="FD33">INDEX(FC:FC,MIN(IF(ISNUMBER(FC33:FC229),ROW(FC33:FC229),"")))</f>
        <v>8.8000000000000007</v>
      </c>
      <c r="FE33" s="13">
        <f>IF('Données projet'!$A$218&gt;35,FE32+FD33-FM32,IF(A33&lt;'Données projet'!$A$218,$FB$205^A33,IF(A33='Données projet'!$A$218,'Données projet'!$B$218,FE32+FD33-FM32)))</f>
        <v>161.00000000000003</v>
      </c>
      <c r="FF33" s="18">
        <f>FE33*VLOOKUP('Données projet'!$B$16,Paramètres!$A$1:$I$89,3,0)*VLOOKUP('Données projet'!$B$16,Paramètres!$A$1:$I$89,5,0)</f>
        <v>105.48720000000002</v>
      </c>
      <c r="FG33" s="14">
        <f t="shared" si="47"/>
        <v>28.265155367923839</v>
      </c>
      <c r="FH33" s="22">
        <f t="shared" si="22"/>
        <v>232.95201893246738</v>
      </c>
      <c r="FI33" s="62">
        <f t="shared" si="23"/>
        <v>526.28535226580073</v>
      </c>
      <c r="FJ33" s="62">
        <f ca="1">AVERAGE(OFFSET($FI$3,0,0,'Données projet'!$E$16+1,1))-AVERAGE(OFFSET($H$3,0,0,'Données projet'!$E$16+1,1))</f>
        <v>263.30962868541337</v>
      </c>
      <c r="FK33" s="62">
        <f t="shared" si="48"/>
        <v>269.61868559913404</v>
      </c>
      <c r="FL33" s="16">
        <f>IF(ISNA(VLOOKUP(A33,'Données projet'!$A$217:$I$237,3,0)),0,VLOOKUP(A33,'Données projet'!$A$217:$I$237,3,0))</f>
        <v>5</v>
      </c>
      <c r="FM33" s="16">
        <f>IF(ISNA(VLOOKUP(A33,'Données projet'!$A$217:$I$237,4,0)),0,VLOOKUP(A33,'Données projet'!$A$217:$I$237,4,0))</f>
        <v>23</v>
      </c>
      <c r="FN33" s="17">
        <f>IF(ISNA(VLOOKUP(A33,'Données projet'!$A$217:$I$237,5,0)),0%,VLOOKUP(A33,'Données projet'!$A$217:$I$237,5,0)*VLOOKUP('Données projet'!$B$16,Paramètres!$A$1:$I$89,7,0))</f>
        <v>8.6000000000000007E-2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1.4326736931012383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1.4326736931012383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4.5262222222222226</v>
      </c>
      <c r="N34" s="14">
        <f>IF('Données projet'!$A$36&gt;35,N33+M34-V33,IF(A34&lt;'Données projet'!$A$36,$K$205^A34,IF(A34='Données projet'!$A$36,'Données projet'!$B$36,N33+M34-V33)))</f>
        <v>140.31288888888884</v>
      </c>
      <c r="O34" s="14">
        <f>N34*VLOOKUP('Données projet'!$B$9,Paramètres!$A$1:$I$89,3,0)*VLOOKUP('Données projet'!$B$9,Paramètres!$A$1:$I$89,5,0)</f>
        <v>83.907107555555541</v>
      </c>
      <c r="P34" s="14">
        <f t="shared" si="33"/>
        <v>23.089824963572603</v>
      </c>
      <c r="Q34" s="22">
        <f t="shared" si="2"/>
        <v>186.35299080414816</v>
      </c>
      <c r="R34" s="62">
        <f t="shared" si="0"/>
        <v>479.68632413748151</v>
      </c>
      <c r="S34" s="62">
        <f ca="1">AVERAGE(OFFSET($R$3,0,0,'Données projet'!$E$9+1,1))-AVERAGE(OFFSET($H$3,0,0,'Données projet'!$E$9+1,1))</f>
        <v>262.06511368698341</v>
      </c>
      <c r="T34" s="62">
        <f t="shared" si="34"/>
        <v>217.15709240080542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6.3325490196078427</v>
      </c>
      <c r="AI34" s="14">
        <f>IF('Données projet'!$A$62&gt;35,AI33+AH34-AQ33,IF(A34&lt;'Données projet'!$A$62,$AF$205^A34,IF(A34='Données projet'!$A$62,'Données projet'!$B$62,AI33+AH34-AQ33)))</f>
        <v>196.3090196078432</v>
      </c>
      <c r="AJ34" s="14">
        <f>AI34*VLOOKUP('Données projet'!$B$10,Paramètres!$A$1:$I$89,3,0)*VLOOKUP('Données projet'!$B$10,Paramètres!$A$1:$I$89,5,0)</f>
        <v>91.872621176470616</v>
      </c>
      <c r="AK34" s="14">
        <f t="shared" si="35"/>
        <v>25.016313409701443</v>
      </c>
      <c r="AL34" s="22">
        <f t="shared" si="4"/>
        <v>203.58156107091631</v>
      </c>
      <c r="AM34" s="62">
        <f t="shared" si="5"/>
        <v>496.91489440424959</v>
      </c>
      <c r="AN34" s="62">
        <f ca="1">AVERAGE(OFFSET($AM$3,0,0,'Données projet'!$E$10+1,1))-AVERAGE(OFFSET($H$3,0,0,'Données projet'!$E$10+1,1))</f>
        <v>287.83167869616227</v>
      </c>
      <c r="AO34" s="62">
        <f t="shared" si="36"/>
        <v>233.84231920589906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11.333333333333334</v>
      </c>
      <c r="BD34" s="13">
        <f>IF('Données projet'!$A$88&gt;35,BD33+BC34-BL33,IF(A34&lt;'Données projet'!$A$88,$BA$205^A34,IF(A34='Données projet'!$A$88,'Données projet'!$B$88,BD33+BC34-BL33)))</f>
        <v>178.33333333333334</v>
      </c>
      <c r="BE34" s="14">
        <f>BD34*VLOOKUP('Données projet'!$B$11,Paramètres!$A$1:$I$89,3,0)*VLOOKUP('Données projet'!$B$11,Paramètres!$A$1:$I$89,5,0)</f>
        <v>111.28</v>
      </c>
      <c r="BF34" s="14">
        <f t="shared" si="37"/>
        <v>29.63235919562165</v>
      </c>
      <c r="BG34" s="22">
        <f t="shared" si="7"/>
        <v>245.42235893237441</v>
      </c>
      <c r="BH34" s="62">
        <f t="shared" si="8"/>
        <v>538.75569226570769</v>
      </c>
      <c r="BI34" s="62">
        <f ca="1">AVERAGE(OFFSET($BH$3,0,0,'Données projet'!$E$11+1,1))-AVERAGE(OFFSET($H$3,0,0,'Données projet'!$E$11+1,1))</f>
        <v>262.36903350767881</v>
      </c>
      <c r="BJ34" s="62">
        <f t="shared" si="38"/>
        <v>331.21009482262417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19.269136845178263</v>
      </c>
      <c r="BQ34" s="23">
        <f>EXP(-LN(2)/25)*BQ33+(1-EXP(-LN(2)/25))/(LN(2)/25)*Calculateur!BL34*Calculateur!BN34*VLOOKUP('Données projet'!$B$11,Paramètres!$A$1:$I$89,3,0)*0.475*44/12</f>
        <v>30.685118430689652</v>
      </c>
      <c r="BR34" s="23">
        <f>EXP(-LN(2)/2)*BR33+(1-EXP(-LN(2)/2))/(LN(2)/2)*BL34*BO34*VLOOKUP('Données projet'!$B$11,Paramètres!$A$1:$I$89,3,0)*0.475*44/12</f>
        <v>7.6641832172046005</v>
      </c>
      <c r="BS34" s="24">
        <f t="shared" si="9"/>
        <v>57.618438493072517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3.887142857142857</v>
      </c>
      <c r="BY34" s="13">
        <f>IF('Données projet'!$A$114&gt;35,BY33+BX34-CG33,IF(A34&lt;'Données projet'!$A$114,$BV$205^A34,IF(A34='Données projet'!$A$114,'Données projet'!$B$114,BY33+BX34-CG33)))</f>
        <v>120.50142857142862</v>
      </c>
      <c r="BZ34" s="14">
        <f>BY34*VLOOKUP('Données projet'!$B$12,Paramètres!$A$1:$I$89,3,0)*VLOOKUP('Données projet'!$B$12,Paramètres!$A$1:$I$89,5,0)</f>
        <v>116.54898171428576</v>
      </c>
      <c r="CA34" s="14">
        <f t="shared" si="39"/>
        <v>30.868744124880426</v>
      </c>
      <c r="CB34" s="22">
        <f t="shared" si="10"/>
        <v>256.75253916988112</v>
      </c>
      <c r="CC34" s="62">
        <f t="shared" si="11"/>
        <v>550.08587250321443</v>
      </c>
      <c r="CD34" s="62">
        <f ca="1">AVERAGE(OFFSET($CC$3,0,0,'Données projet'!$E$12+1,1))-AVERAGE(OFFSET($H$3,0,0,'Données projet'!$E$12+1,1))</f>
        <v>618.83149423524605</v>
      </c>
      <c r="CE34" s="62">
        <f t="shared" si="40"/>
        <v>285.33582535802435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16.614999999999998</v>
      </c>
      <c r="CT34" s="13">
        <f>IF('Données projet'!$A$140&gt;35,CT33+CS34-DB33,IF(A34&lt;'Données projet'!$A$140,$CQ$205^A34,IF(A34='Données projet'!$A$140,'Données projet'!$B$140,CT33+CS34-DB33)))</f>
        <v>184.11</v>
      </c>
      <c r="CU34" s="18">
        <f>CT34*VLOOKUP('Données projet'!$B$13,Paramètres!$A$1:$I$89,3,0)*VLOOKUP('Données projet'!$B$13,Paramètres!$A$1:$I$89,5,0)</f>
        <v>110.09778000000001</v>
      </c>
      <c r="CV34" s="14">
        <f t="shared" si="41"/>
        <v>29.354021111763256</v>
      </c>
      <c r="CW34" s="22">
        <f t="shared" si="13"/>
        <v>242.87855360298769</v>
      </c>
      <c r="CX34" s="62">
        <f t="shared" si="14"/>
        <v>536.21188693632098</v>
      </c>
      <c r="CY34" s="62">
        <f ca="1">AVERAGE(OFFSET($CX$3,0,0,'Données projet'!$E$13+1,1))-AVERAGE(OFFSET($H$3,0,0,'Données projet'!$E$13+1,1))</f>
        <v>349.5718186624772</v>
      </c>
      <c r="CZ34" s="62">
        <f t="shared" si="42"/>
        <v>258.14152930815959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9.6881651491479399</v>
      </c>
      <c r="DG34" s="23">
        <f>EXP(-LN(2)/25)*DG33+(1-EXP(-LN(2)/25))/(LN(2)/25)*Calculateur!DB34*Calculateur!DD34*VLOOKUP('Données projet'!$B$13,Paramètres!$A$1:$I$89,3,0)*0.475*44/12</f>
        <v>9.7573055734287504</v>
      </c>
      <c r="DH34" s="23">
        <f>EXP(-LN(2)/2)*DH33+(1-EXP(-LN(2)/2))/(LN(2)/2)*DB34*DE34*VLOOKUP('Données projet'!$B$13,Paramètres!$A$1:$I$89,3,0)*0.475*44/12</f>
        <v>2.1514916368711594</v>
      </c>
      <c r="DI34" s="24">
        <f t="shared" si="15"/>
        <v>21.596962359447851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7.2</v>
      </c>
      <c r="DO34" s="13">
        <f>IF('Données projet'!$A$166&gt;35,DO33+DN34-DW33,IF(A34&lt;'Données projet'!$A$166,$DL$205^A34,IF(A34='Données projet'!$A$166,'Données projet'!$B$166,DO33+DN34-DW33)))</f>
        <v>106.2</v>
      </c>
      <c r="DP34" s="18">
        <f>DO34*VLOOKUP('Données projet'!$B$14,Paramètres!$A$1:$I$89,3,0)*VLOOKUP('Données projet'!$B$14,Paramètres!$A$1:$I$89,5,0)</f>
        <v>92.776320000000013</v>
      </c>
      <c r="DQ34" s="14">
        <f t="shared" si="43"/>
        <v>25.233617967655977</v>
      </c>
      <c r="DR34" s="22">
        <f t="shared" si="16"/>
        <v>205.53397529366751</v>
      </c>
      <c r="DS34" s="62">
        <f t="shared" si="17"/>
        <v>498.86730862700085</v>
      </c>
      <c r="DT34" s="62">
        <f ca="1">AVERAGE(OFFSET($DS$3,0,0,'Données projet'!$E$14+1,1))-AVERAGE(OFFSET($H$3,0,0,'Données projet'!$E$14+1,1))</f>
        <v>300.63505444445104</v>
      </c>
      <c r="DU34" s="62">
        <f t="shared" si="44"/>
        <v>266.32508105927997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1.6284983603758736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1.6284983603758736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12.8</v>
      </c>
      <c r="EJ34" s="13">
        <f>IF('Données projet'!$A$192&gt;35,EJ33+EI34-ER33,IF(A34&lt;'Données projet'!$A$192,$EG$205^A34,IF(A34='Données projet'!$A$192,'Données projet'!$B$192,EJ33+EI34-ER33)))</f>
        <v>154.79999999999993</v>
      </c>
      <c r="EK34" s="18">
        <f>EJ34*VLOOKUP('Données projet'!$B$15,Paramètres!$A$1:$I$89,3,0)*VLOOKUP('Données projet'!$B$15,Paramètres!$A$1:$I$89,5,0)</f>
        <v>123.15887999999995</v>
      </c>
      <c r="EL34" s="14">
        <f t="shared" si="45"/>
        <v>32.410638331814873</v>
      </c>
      <c r="EM34" s="22">
        <f t="shared" si="19"/>
        <v>270.95024442791083</v>
      </c>
      <c r="EN34" s="62">
        <f t="shared" si="20"/>
        <v>564.28357776124415</v>
      </c>
      <c r="EO34" s="62">
        <f ca="1">AVERAGE(OFFSET($EN$3,0,0,'Données projet'!$E$15+1,1))-AVERAGE(OFFSET($H$3,0,0,'Données projet'!$E$15+1,1))</f>
        <v>353.37024194969638</v>
      </c>
      <c r="EP34" s="62">
        <f t="shared" si="46"/>
        <v>345.4750813433123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13.942008242195504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13.942008242195504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8.6</v>
      </c>
      <c r="FE34" s="13">
        <f>IF('Données projet'!$A$218&gt;35,FE33+FD34-FM33,IF(A34&lt;'Données projet'!$A$218,$FB$205^A34,IF(A34='Données projet'!$A$218,'Données projet'!$B$218,FE33+FD34-FM33)))</f>
        <v>146.60000000000002</v>
      </c>
      <c r="FF34" s="18">
        <f>FE34*VLOOKUP('Données projet'!$B$16,Paramètres!$A$1:$I$89,3,0)*VLOOKUP('Données projet'!$B$16,Paramètres!$A$1:$I$89,5,0)</f>
        <v>96.052320000000023</v>
      </c>
      <c r="FG34" s="14">
        <f t="shared" si="47"/>
        <v>26.019324001860248</v>
      </c>
      <c r="FH34" s="22">
        <f t="shared" si="22"/>
        <v>212.60811330323997</v>
      </c>
      <c r="FI34" s="62">
        <f t="shared" si="23"/>
        <v>505.94144663657329</v>
      </c>
      <c r="FJ34" s="62">
        <f ca="1">AVERAGE(OFFSET($FI$3,0,0,'Données projet'!$E$16+1,1))-AVERAGE(OFFSET($H$3,0,0,'Données projet'!$E$16+1,1))</f>
        <v>263.30962868541337</v>
      </c>
      <c r="FK34" s="62">
        <f t="shared" si="48"/>
        <v>269.61868559913404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1.4045798358241908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1.4045798358241908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4.5262222222222226</v>
      </c>
      <c r="N35" s="14">
        <f>IF('Données projet'!$A$36&gt;35,N34+M35-V34,IF(A35&lt;'Données projet'!$A$36,$K$205^A35,IF(A35='Données projet'!$A$36,'Données projet'!$B$36,N34+M35-V34)))</f>
        <v>144.83911111111107</v>
      </c>
      <c r="O35" s="14">
        <f>N35*VLOOKUP('Données projet'!$B$9,Paramètres!$A$1:$I$89,3,0)*VLOOKUP('Données projet'!$B$9,Paramètres!$A$1:$I$89,5,0)</f>
        <v>86.613788444444424</v>
      </c>
      <c r="P35" s="14">
        <f t="shared" si="33"/>
        <v>23.746738448173325</v>
      </c>
      <c r="Q35" s="22">
        <f t="shared" ref="Q35:Q66" si="53">(O35+P35)*0.475*44/12</f>
        <v>192.21125100464255</v>
      </c>
      <c r="R35" s="62">
        <f t="shared" si="0"/>
        <v>485.54458433797583</v>
      </c>
      <c r="S35" s="62">
        <f ca="1">AVERAGE(OFFSET($R$3,0,0,'Données projet'!$E$9+1,1))-AVERAGE(OFFSET($H$3,0,0,'Données projet'!$E$9+1,1))</f>
        <v>262.06511368698341</v>
      </c>
      <c r="T35" s="62">
        <f t="shared" si="34"/>
        <v>217.15709240080542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6.3325490196078427</v>
      </c>
      <c r="AI35" s="14">
        <f>IF('Données projet'!$A$62&gt;35,AI34+AH35-AQ34,IF(A35&lt;'Données projet'!$A$62,$AF$205^A35,IF(A35='Données projet'!$A$62,'Données projet'!$B$62,AI34+AH35-AQ34)))</f>
        <v>202.64156862745105</v>
      </c>
      <c r="AJ35" s="14">
        <f>AI35*VLOOKUP('Données projet'!$B$10,Paramètres!$A$1:$I$89,3,0)*VLOOKUP('Données projet'!$B$10,Paramètres!$A$1:$I$89,5,0)</f>
        <v>94.836254117647087</v>
      </c>
      <c r="AK35" s="14">
        <f t="shared" si="35"/>
        <v>25.728036155099314</v>
      </c>
      <c r="AL35" s="22">
        <f t="shared" si="4"/>
        <v>209.98280555836664</v>
      </c>
      <c r="AM35" s="62">
        <f t="shared" si="5"/>
        <v>503.31613889169995</v>
      </c>
      <c r="AN35" s="62">
        <f ca="1">AVERAGE(OFFSET($AM$3,0,0,'Données projet'!$E$10+1,1))-AVERAGE(OFFSET($H$3,0,0,'Données projet'!$E$10+1,1))</f>
        <v>287.83167869616227</v>
      </c>
      <c r="AO35" s="62">
        <f t="shared" si="36"/>
        <v>233.84231920589906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11.333333333333334</v>
      </c>
      <c r="BD35" s="13">
        <f>IF('Données projet'!$A$88&gt;35,BD34+BC35-BL34,IF(A35&lt;'Données projet'!$A$88,$BA$205^A35,IF(A35='Données projet'!$A$88,'Données projet'!$B$88,BD34+BC35-BL34)))</f>
        <v>189.66666666666669</v>
      </c>
      <c r="BE35" s="14">
        <f>BD35*VLOOKUP('Données projet'!$B$11,Paramètres!$A$1:$I$89,3,0)*VLOOKUP('Données projet'!$B$11,Paramètres!$A$1:$I$89,5,0)</f>
        <v>118.35200000000002</v>
      </c>
      <c r="BF35" s="14">
        <f t="shared" si="37"/>
        <v>31.290321557364397</v>
      </c>
      <c r="BG35" s="22">
        <f t="shared" si="7"/>
        <v>260.62704337907638</v>
      </c>
      <c r="BH35" s="62">
        <f t="shared" si="8"/>
        <v>553.9603767124097</v>
      </c>
      <c r="BI35" s="62">
        <f ca="1">AVERAGE(OFFSET($BH$3,0,0,'Données projet'!$E$11+1,1))-AVERAGE(OFFSET($H$3,0,0,'Données projet'!$E$11+1,1))</f>
        <v>262.36903350767881</v>
      </c>
      <c r="BJ35" s="62">
        <f t="shared" si="38"/>
        <v>331.21009482262417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18.891280824657279</v>
      </c>
      <c r="BQ35" s="23">
        <f>EXP(-LN(2)/25)*BQ34+(1-EXP(-LN(2)/25))/(LN(2)/25)*Calculateur!BL35*Calculateur!BN35*VLOOKUP('Données projet'!$B$11,Paramètres!$A$1:$I$89,3,0)*0.475*44/12</f>
        <v>29.846032253542198</v>
      </c>
      <c r="BR35" s="23">
        <f>EXP(-LN(2)/2)*BR34+(1-EXP(-LN(2)/2))/(LN(2)/2)*BL35*BO35*VLOOKUP('Données projet'!$B$11,Paramètres!$A$1:$I$89,3,0)*0.475*44/12</f>
        <v>5.4193959251415036</v>
      </c>
      <c r="BS35" s="24">
        <f t="shared" si="9"/>
        <v>54.156709003340978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3.887142857142857</v>
      </c>
      <c r="BY35" s="13">
        <f>IF('Données projet'!$A$114&gt;35,BY34+BX35-CG34,IF(A35&lt;'Données projet'!$A$114,$BV$205^A35,IF(A35='Données projet'!$A$114,'Données projet'!$B$114,BY34+BX35-CG34)))</f>
        <v>124.38857142857148</v>
      </c>
      <c r="BZ35" s="14">
        <f>BY35*VLOOKUP('Données projet'!$B$12,Paramètres!$A$1:$I$89,3,0)*VLOOKUP('Données projet'!$B$12,Paramètres!$A$1:$I$89,5,0)</f>
        <v>120.30862628571434</v>
      </c>
      <c r="CA35" s="14">
        <f t="shared" si="39"/>
        <v>31.746970542807571</v>
      </c>
      <c r="CB35" s="22">
        <f t="shared" si="10"/>
        <v>264.8301644763423</v>
      </c>
      <c r="CC35" s="62">
        <f t="shared" si="11"/>
        <v>558.16349780967562</v>
      </c>
      <c r="CD35" s="62">
        <f ca="1">AVERAGE(OFFSET($CC$3,0,0,'Données projet'!$E$12+1,1))-AVERAGE(OFFSET($H$3,0,0,'Données projet'!$E$12+1,1))</f>
        <v>618.83149423524605</v>
      </c>
      <c r="CE35" s="62">
        <f t="shared" si="40"/>
        <v>285.33582535802435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16.614999999999998</v>
      </c>
      <c r="CT35" s="13">
        <f>IF('Données projet'!$A$140&gt;35,CT34+CS35-DB34,IF(A35&lt;'Données projet'!$A$140,$CQ$205^A35,IF(A35='Données projet'!$A$140,'Données projet'!$B$140,CT34+CS35-DB34)))</f>
        <v>200.72500000000002</v>
      </c>
      <c r="CU35" s="18">
        <f>CT35*VLOOKUP('Données projet'!$B$13,Paramètres!$A$1:$I$89,3,0)*VLOOKUP('Données projet'!$B$13,Paramètres!$A$1:$I$89,5,0)</f>
        <v>120.03355000000002</v>
      </c>
      <c r="CV35" s="14">
        <f t="shared" si="41"/>
        <v>31.68282415335652</v>
      </c>
      <c r="CW35" s="22">
        <f t="shared" si="13"/>
        <v>264.23935165042923</v>
      </c>
      <c r="CX35" s="62">
        <f t="shared" si="14"/>
        <v>557.57268498376254</v>
      </c>
      <c r="CY35" s="62">
        <f ca="1">AVERAGE(OFFSET($CX$3,0,0,'Données projet'!$E$13+1,1))-AVERAGE(OFFSET($H$3,0,0,'Données projet'!$E$13+1,1))</f>
        <v>349.5718186624772</v>
      </c>
      <c r="CZ35" s="62">
        <f t="shared" si="42"/>
        <v>258.14152930815959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9.4981861397704055</v>
      </c>
      <c r="DG35" s="23">
        <f>EXP(-LN(2)/25)*DG34+(1-EXP(-LN(2)/25))/(LN(2)/25)*Calculateur!DB35*Calculateur!DD35*VLOOKUP('Données projet'!$B$13,Paramètres!$A$1:$I$89,3,0)*0.475*44/12</f>
        <v>9.4904915394089411</v>
      </c>
      <c r="DH35" s="23">
        <f>EXP(-LN(2)/2)*DH34+(1-EXP(-LN(2)/2))/(LN(2)/2)*DB35*DE35*VLOOKUP('Données projet'!$B$13,Paramètres!$A$1:$I$89,3,0)*0.475*44/12</f>
        <v>1.5213343260977419</v>
      </c>
      <c r="DI35" s="24">
        <f t="shared" si="15"/>
        <v>20.510012005277087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7.2</v>
      </c>
      <c r="DO35" s="13">
        <f>IF('Données projet'!$A$166&gt;35,DO34+DN35-DW34,IF(A35&lt;'Données projet'!$A$166,$DL$205^A35,IF(A35='Données projet'!$A$166,'Données projet'!$B$166,DO34+DN35-DW34)))</f>
        <v>113.4</v>
      </c>
      <c r="DP35" s="18">
        <f>DO35*VLOOKUP('Données projet'!$B$14,Paramètres!$A$1:$I$89,3,0)*VLOOKUP('Données projet'!$B$14,Paramètres!$A$1:$I$89,5,0)</f>
        <v>99.066240000000022</v>
      </c>
      <c r="DQ35" s="14">
        <f t="shared" si="43"/>
        <v>26.739420789378705</v>
      </c>
      <c r="DR35" s="22">
        <f t="shared" si="16"/>
        <v>219.11152587483457</v>
      </c>
      <c r="DS35" s="62">
        <f t="shared" si="17"/>
        <v>512.44485920816783</v>
      </c>
      <c r="DT35" s="62">
        <f ca="1">AVERAGE(OFFSET($DS$3,0,0,'Données projet'!$E$14+1,1))-AVERAGE(OFFSET($H$3,0,0,'Données projet'!$E$14+1,1))</f>
        <v>300.63505444445104</v>
      </c>
      <c r="DU35" s="62">
        <f t="shared" si="44"/>
        <v>266.32508105927997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1.5965645008148237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1.5965645008148237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12.8</v>
      </c>
      <c r="EJ35" s="13">
        <f>IF('Données projet'!$A$192&gt;35,EJ34+EI35-ER34,IF(A35&lt;'Données projet'!$A$192,$EG$205^A35,IF(A35='Données projet'!$A$192,'Données projet'!$B$192,EJ34+EI35-ER34)))</f>
        <v>167.59999999999994</v>
      </c>
      <c r="EK35" s="18">
        <f>EJ35*VLOOKUP('Données projet'!$B$15,Paramètres!$A$1:$I$89,3,0)*VLOOKUP('Données projet'!$B$15,Paramètres!$A$1:$I$89,5,0)</f>
        <v>133.34255999999996</v>
      </c>
      <c r="EL35" s="14">
        <f t="shared" si="45"/>
        <v>34.767581918978188</v>
      </c>
      <c r="EM35" s="22">
        <f t="shared" si="19"/>
        <v>292.7918305088869</v>
      </c>
      <c r="EN35" s="62">
        <f t="shared" si="20"/>
        <v>586.12516384222022</v>
      </c>
      <c r="EO35" s="62">
        <f ca="1">AVERAGE(OFFSET($EN$3,0,0,'Données projet'!$E$15+1,1))-AVERAGE(OFFSET($H$3,0,0,'Données projet'!$E$15+1,1))</f>
        <v>353.37024194969638</v>
      </c>
      <c r="EP35" s="62">
        <f t="shared" si="46"/>
        <v>345.4750813433123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13.668613964351399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13.668613964351399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8.6</v>
      </c>
      <c r="FE35" s="13">
        <f>IF('Données projet'!$A$218&gt;35,FE34+FD35-FM34,IF(A35&lt;'Données projet'!$A$218,$FB$205^A35,IF(A35='Données projet'!$A$218,'Données projet'!$B$218,FE34+FD35-FM34)))</f>
        <v>155.20000000000002</v>
      </c>
      <c r="FF35" s="18">
        <f>FE35*VLOOKUP('Données projet'!$B$16,Paramètres!$A$1:$I$89,3,0)*VLOOKUP('Données projet'!$B$16,Paramètres!$A$1:$I$89,5,0)</f>
        <v>101.68704000000002</v>
      </c>
      <c r="FG35" s="14">
        <f t="shared" si="47"/>
        <v>27.363519398004541</v>
      </c>
      <c r="FH35" s="22">
        <f t="shared" si="22"/>
        <v>224.76305761819128</v>
      </c>
      <c r="FI35" s="62">
        <f t="shared" si="23"/>
        <v>518.09639095152465</v>
      </c>
      <c r="FJ35" s="62">
        <f ca="1">AVERAGE(OFFSET($FI$3,0,0,'Données projet'!$E$16+1,1))-AVERAGE(OFFSET($H$3,0,0,'Données projet'!$E$16+1,1))</f>
        <v>263.30962868541337</v>
      </c>
      <c r="FK35" s="62">
        <f t="shared" si="48"/>
        <v>269.61868559913404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1.3770368819527852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1.3770368819527852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4.5262222222222226</v>
      </c>
      <c r="N36" s="14">
        <f>IF('Données projet'!$A$36&gt;35,N35+M36-V35,IF(A36&lt;'Données projet'!$A$36,$K$205^A36,IF(A36='Données projet'!$A$36,'Données projet'!$B$36,N35+M36-V35)))</f>
        <v>149.3653333333333</v>
      </c>
      <c r="O36" s="14">
        <f>N36*VLOOKUP('Données projet'!$B$9,Paramètres!$A$1:$I$89,3,0)*VLOOKUP('Données projet'!$B$9,Paramètres!$A$1:$I$89,5,0)</f>
        <v>89.320469333333321</v>
      </c>
      <c r="P36" s="14">
        <f t="shared" si="33"/>
        <v>24.401266340425522</v>
      </c>
      <c r="Q36" s="22">
        <f t="shared" si="53"/>
        <v>198.06535629846334</v>
      </c>
      <c r="R36" s="62">
        <f t="shared" si="0"/>
        <v>491.39868963179663</v>
      </c>
      <c r="S36" s="62">
        <f ca="1">AVERAGE(OFFSET($R$3,0,0,'Données projet'!$E$9+1,1))-AVERAGE(OFFSET($H$3,0,0,'Données projet'!$E$9+1,1))</f>
        <v>262.06511368698341</v>
      </c>
      <c r="T36" s="62">
        <f t="shared" si="34"/>
        <v>217.15709240080542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6.3325490196078427</v>
      </c>
      <c r="AI36" s="14">
        <f>IF('Données projet'!$A$62&gt;35,AI35+AH36-AQ35,IF(A36&lt;'Données projet'!$A$62,$AF$205^A36,IF(A36='Données projet'!$A$62,'Données projet'!$B$62,AI35+AH36-AQ35)))</f>
        <v>208.9741176470589</v>
      </c>
      <c r="AJ36" s="14">
        <f>AI36*VLOOKUP('Données projet'!$B$10,Paramètres!$A$1:$I$89,3,0)*VLOOKUP('Données projet'!$B$10,Paramètres!$A$1:$I$89,5,0)</f>
        <v>97.799887058823572</v>
      </c>
      <c r="AK36" s="14">
        <f t="shared" si="35"/>
        <v>26.437174267397893</v>
      </c>
      <c r="AL36" s="22">
        <f t="shared" si="4"/>
        <v>216.37954847650238</v>
      </c>
      <c r="AM36" s="62">
        <f t="shared" si="5"/>
        <v>509.71288180983572</v>
      </c>
      <c r="AN36" s="62">
        <f ca="1">AVERAGE(OFFSET($AM$3,0,0,'Données projet'!$E$10+1,1))-AVERAGE(OFFSET($H$3,0,0,'Données projet'!$E$10+1,1))</f>
        <v>287.83167869616227</v>
      </c>
      <c r="AO36" s="62">
        <f t="shared" si="36"/>
        <v>233.84231920589906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11.333333333333334</v>
      </c>
      <c r="BD36" s="13">
        <f>IF('Données projet'!$A$88&gt;35,BD35+BC36-BL35,IF(A36&lt;'Données projet'!$A$88,$BA$205^A36,IF(A36='Données projet'!$A$88,'Données projet'!$B$88,BD35+BC36-BL35)))</f>
        <v>201.00000000000003</v>
      </c>
      <c r="BE36" s="14">
        <f>BD36*VLOOKUP('Données projet'!$B$11,Paramètres!$A$1:$I$89,3,0)*VLOOKUP('Données projet'!$B$11,Paramètres!$A$1:$I$89,5,0)</f>
        <v>125.42400000000001</v>
      </c>
      <c r="BF36" s="14">
        <f t="shared" si="37"/>
        <v>32.936784982132863</v>
      </c>
      <c r="BG36" s="22">
        <f t="shared" si="7"/>
        <v>275.81170051054812</v>
      </c>
      <c r="BH36" s="62">
        <f t="shared" si="8"/>
        <v>569.14503384388149</v>
      </c>
      <c r="BI36" s="62">
        <f ca="1">AVERAGE(OFFSET($BH$3,0,0,'Données projet'!$E$11+1,1))-AVERAGE(OFFSET($H$3,0,0,'Données projet'!$E$11+1,1))</f>
        <v>262.36903350767881</v>
      </c>
      <c r="BJ36" s="62">
        <f t="shared" si="38"/>
        <v>331.21009482262417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18.520834330229295</v>
      </c>
      <c r="BQ36" s="23">
        <f>EXP(-LN(2)/25)*BQ35+(1-EXP(-LN(2)/25))/(LN(2)/25)*Calculateur!BL36*Calculateur!BN36*VLOOKUP('Données projet'!$B$11,Paramètres!$A$1:$I$89,3,0)*0.475*44/12</f>
        <v>29.029890932034466</v>
      </c>
      <c r="BR36" s="23">
        <f>EXP(-LN(2)/2)*BR35+(1-EXP(-LN(2)/2))/(LN(2)/2)*BL36*BO36*VLOOKUP('Données projet'!$B$11,Paramètres!$A$1:$I$89,3,0)*0.475*44/12</f>
        <v>3.8320916086023007</v>
      </c>
      <c r="BS36" s="24">
        <f t="shared" si="9"/>
        <v>51.382816870866058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3.887142857142857</v>
      </c>
      <c r="BY36" s="13">
        <f>IF('Données projet'!$A$114&gt;35,BY35+BX36-CG35,IF(A36&lt;'Données projet'!$A$114,$BV$205^A36,IF(A36='Données projet'!$A$114,'Données projet'!$B$114,BY35+BX36-CG35)))</f>
        <v>128.27571428571434</v>
      </c>
      <c r="BZ36" s="14">
        <f>BY36*VLOOKUP('Données projet'!$B$12,Paramètres!$A$1:$I$89,3,0)*VLOOKUP('Données projet'!$B$12,Paramètres!$A$1:$I$89,5,0)</f>
        <v>124.06827085714291</v>
      </c>
      <c r="CA36" s="14">
        <f t="shared" si="39"/>
        <v>32.622007666753092</v>
      </c>
      <c r="CB36" s="22">
        <f t="shared" si="10"/>
        <v>272.9022350957855</v>
      </c>
      <c r="CC36" s="62">
        <f t="shared" si="11"/>
        <v>566.23556842911876</v>
      </c>
      <c r="CD36" s="62">
        <f ca="1">AVERAGE(OFFSET($CC$3,0,0,'Données projet'!$E$12+1,1))-AVERAGE(OFFSET($H$3,0,0,'Données projet'!$E$12+1,1))</f>
        <v>618.83149423524605</v>
      </c>
      <c r="CE36" s="62">
        <f t="shared" si="40"/>
        <v>285.33582535802435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>
        <f>VLOOKUP(A36,'Données projet'!$A$139:$I$159,2,0)</f>
        <v>217.34</v>
      </c>
      <c r="CR36" s="13">
        <f>VLOOKUP(A36,'Données projet'!$A$139:$I$159,9,0)</f>
        <v>16.614999999999998</v>
      </c>
      <c r="CS36" s="13">
        <f t="array" ref="CS36">INDEX(CR:CR,MIN(IF(ISNUMBER(CR36:CR232),ROW(CR36:CR232),"")))</f>
        <v>16.614999999999998</v>
      </c>
      <c r="CT36" s="13">
        <f>IF('Données projet'!$A$140&gt;35,CT35+CS36-DB35,IF(A36&lt;'Données projet'!$A$140,$CQ$205^A36,IF(A36='Données projet'!$A$140,'Données projet'!$B$140,CT35+CS36-DB35)))</f>
        <v>217.34000000000003</v>
      </c>
      <c r="CU36" s="18">
        <f>CT36*VLOOKUP('Données projet'!$B$13,Paramètres!$A$1:$I$89,3,0)*VLOOKUP('Données projet'!$B$13,Paramètres!$A$1:$I$89,5,0)</f>
        <v>129.96932000000001</v>
      </c>
      <c r="CV36" s="14">
        <f t="shared" si="41"/>
        <v>33.989269987755954</v>
      </c>
      <c r="CW36" s="22">
        <f t="shared" si="13"/>
        <v>285.56121089534162</v>
      </c>
      <c r="CX36" s="62">
        <f t="shared" si="14"/>
        <v>578.89454422867493</v>
      </c>
      <c r="CY36" s="62">
        <f ca="1">AVERAGE(OFFSET($CX$3,0,0,'Données projet'!$E$13+1,1))-AVERAGE(OFFSET($H$3,0,0,'Données projet'!$E$13+1,1))</f>
        <v>349.5718186624772</v>
      </c>
      <c r="CZ36" s="62">
        <f t="shared" si="42"/>
        <v>258.14152930815959</v>
      </c>
      <c r="DA36" s="16">
        <f>IF(ISNA(VLOOKUP(A36,'Données projet'!$A$139:$I$159,3,0)),0,VLOOKUP(A36,'Données projet'!$A$139:$I$159,3,0))</f>
        <v>3</v>
      </c>
      <c r="DB36" s="16">
        <f>IF(ISNA(VLOOKUP(A36,'Données projet'!$A$139:$I$159,4,0)),0,VLOOKUP(A36,'Données projet'!$A$139:$I$159,4,0))</f>
        <v>50.41</v>
      </c>
      <c r="DC36" s="17">
        <f>IF(ISNA(VLOOKUP(A36,'Données projet'!$A$139:$I$159,5,0)),0%,VLOOKUP(A36,'Données projet'!$A$139:$I$159,5,0)*VLOOKUP('Données projet'!$B$13,Paramètres!$A$1:$I$89,7,0))</f>
        <v>0.22500000000000001</v>
      </c>
      <c r="DD36" s="17">
        <f>IF(ISNA(VLOOKUP(A36,'Données projet'!$A$139:$I$159,6,0)),0%,VLOOKUP(A36,'Données projet'!$A$139:$I$159,6,0)*VLOOKUP('Données projet'!$B$13,Paramètres!$A$1:$I$89,7,0))</f>
        <v>0.12600000000000003</v>
      </c>
      <c r="DE36" s="17">
        <f>IF(ISNA(VLOOKUP(A36,'Données projet'!$A$139:$I$159,7,0)),0%,VLOOKUP(A36,'Données projet'!$A$139:$I$159,7,0))</f>
        <v>0.22</v>
      </c>
      <c r="DF36" s="23">
        <f>EXP(-LN(2)/35)*DF35+(1-EXP(-LN(2)/35))/(LN(2)/35)*DB36*DC36*VLOOKUP('Données projet'!$B$13,Paramètres!$A$1:$I$89,3,0)*0.475*44/12</f>
        <v>18.309575468327065</v>
      </c>
      <c r="DG36" s="23">
        <f>EXP(-LN(2)/25)*DG35+(1-EXP(-LN(2)/25))/(LN(2)/25)*Calculateur!DB36*Calculateur!DD36*VLOOKUP('Données projet'!$B$13,Paramètres!$A$1:$I$89,3,0)*0.475*44/12</f>
        <v>14.249814406538363</v>
      </c>
      <c r="DH36" s="23">
        <f>EXP(-LN(2)/2)*DH35+(1-EXP(-LN(2)/2))/(LN(2)/2)*DB36*DE36*VLOOKUP('Données projet'!$B$13,Paramètres!$A$1:$I$89,3,0)*0.475*44/12</f>
        <v>8.5846420288003298</v>
      </c>
      <c r="DI36" s="24">
        <f t="shared" si="15"/>
        <v>41.144031903665763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7.2</v>
      </c>
      <c r="DO36" s="13">
        <f>IF('Données projet'!$A$166&gt;35,DO35+DN36-DW35,IF(A36&lt;'Données projet'!$A$166,$DL$205^A36,IF(A36='Données projet'!$A$166,'Données projet'!$B$166,DO35+DN36-DW35)))</f>
        <v>120.60000000000001</v>
      </c>
      <c r="DP36" s="18">
        <f>DO36*VLOOKUP('Données projet'!$B$14,Paramètres!$A$1:$I$89,3,0)*VLOOKUP('Données projet'!$B$14,Paramètres!$A$1:$I$89,5,0)</f>
        <v>105.35616000000003</v>
      </c>
      <c r="DQ36" s="14">
        <f t="shared" si="43"/>
        <v>28.234128165723941</v>
      </c>
      <c r="DR36" s="22">
        <f t="shared" si="16"/>
        <v>232.66975188863589</v>
      </c>
      <c r="DS36" s="62">
        <f t="shared" si="17"/>
        <v>526.00308522196917</v>
      </c>
      <c r="DT36" s="62">
        <f ca="1">AVERAGE(OFFSET($DS$3,0,0,'Données projet'!$E$14+1,1))-AVERAGE(OFFSET($H$3,0,0,'Données projet'!$E$14+1,1))</f>
        <v>300.63505444445104</v>
      </c>
      <c r="DU36" s="62">
        <f t="shared" si="44"/>
        <v>266.32508105927997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1.565256844762035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1.565256844762035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12.8</v>
      </c>
      <c r="EJ36" s="13">
        <f>IF('Données projet'!$A$192&gt;35,EJ35+EI36-ER35,IF(A36&lt;'Données projet'!$A$192,$EG$205^A36,IF(A36='Données projet'!$A$192,'Données projet'!$B$192,EJ35+EI36-ER35)))</f>
        <v>180.39999999999995</v>
      </c>
      <c r="EK36" s="18">
        <f>EJ36*VLOOKUP('Données projet'!$B$15,Paramètres!$A$1:$I$89,3,0)*VLOOKUP('Données projet'!$B$15,Paramètres!$A$1:$I$89,5,0)</f>
        <v>143.52623999999997</v>
      </c>
      <c r="EL36" s="14">
        <f t="shared" si="45"/>
        <v>37.103644337236275</v>
      </c>
      <c r="EM36" s="22">
        <f t="shared" si="19"/>
        <v>314.59704855401981</v>
      </c>
      <c r="EN36" s="62">
        <f t="shared" si="20"/>
        <v>607.93038188735318</v>
      </c>
      <c r="EO36" s="62">
        <f ca="1">AVERAGE(OFFSET($EN$3,0,0,'Données projet'!$E$15+1,1))-AVERAGE(OFFSET($H$3,0,0,'Données projet'!$E$15+1,1))</f>
        <v>353.37024194969638</v>
      </c>
      <c r="EP36" s="62">
        <f t="shared" si="46"/>
        <v>345.4750813433123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13.400580781541773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13.400580781541773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8.6</v>
      </c>
      <c r="FE36" s="13">
        <f>IF('Données projet'!$A$218&gt;35,FE35+FD36-FM35,IF(A36&lt;'Données projet'!$A$218,$FB$205^A36,IF(A36='Données projet'!$A$218,'Données projet'!$B$218,FE35+FD36-FM35)))</f>
        <v>163.80000000000001</v>
      </c>
      <c r="FF36" s="18">
        <f>FE36*VLOOKUP('Données projet'!$B$16,Paramètres!$A$1:$I$89,3,0)*VLOOKUP('Données projet'!$B$16,Paramètres!$A$1:$I$89,5,0)</f>
        <v>107.32176000000001</v>
      </c>
      <c r="FG36" s="14">
        <f t="shared" si="47"/>
        <v>28.699067963776873</v>
      </c>
      <c r="FH36" s="22">
        <f t="shared" si="22"/>
        <v>236.90294203691141</v>
      </c>
      <c r="FI36" s="62">
        <f t="shared" si="23"/>
        <v>530.2362753702447</v>
      </c>
      <c r="FJ36" s="62">
        <f ca="1">AVERAGE(OFFSET($FI$3,0,0,'Données projet'!$E$16+1,1))-AVERAGE(OFFSET($H$3,0,0,'Données projet'!$E$16+1,1))</f>
        <v>263.30962868541337</v>
      </c>
      <c r="FK36" s="62">
        <f t="shared" si="48"/>
        <v>269.61868559913404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1.350034028607255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1.350034028607255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4.5262222222222226</v>
      </c>
      <c r="N37" s="14">
        <f>IF('Données projet'!$A$36&gt;35,N36+M37-V36,IF(A37&lt;'Données projet'!$A$36,$K$205^A37,IF(A37='Données projet'!$A$36,'Données projet'!$B$36,N36+M37-V36)))</f>
        <v>153.89155555555553</v>
      </c>
      <c r="O37" s="14">
        <f>N37*VLOOKUP('Données projet'!$B$9,Paramètres!$A$1:$I$89,3,0)*VLOOKUP('Données projet'!$B$9,Paramètres!$A$1:$I$89,5,0)</f>
        <v>92.027150222222218</v>
      </c>
      <c r="P37" s="14">
        <f t="shared" si="33"/>
        <v>25.053489228488424</v>
      </c>
      <c r="Q37" s="22">
        <f t="shared" si="53"/>
        <v>203.91544704332102</v>
      </c>
      <c r="R37" s="62">
        <f t="shared" si="0"/>
        <v>497.24878037665434</v>
      </c>
      <c r="S37" s="62">
        <f ca="1">AVERAGE(OFFSET($R$3,0,0,'Données projet'!$E$9+1,1))-AVERAGE(OFFSET($H$3,0,0,'Données projet'!$E$9+1,1))</f>
        <v>262.06511368698341</v>
      </c>
      <c r="T37" s="62">
        <f t="shared" si="34"/>
        <v>217.15709240080542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6.3325490196078427</v>
      </c>
      <c r="AI37" s="14">
        <f>IF('Données projet'!$A$62&gt;35,AI36+AH37-AQ36,IF(A37&lt;'Données projet'!$A$62,$AF$205^A37,IF(A37='Données projet'!$A$62,'Données projet'!$B$62,AI36+AH37-AQ36)))</f>
        <v>215.30666666666676</v>
      </c>
      <c r="AJ37" s="14">
        <f>AI37*VLOOKUP('Données projet'!$B$10,Paramètres!$A$1:$I$89,3,0)*VLOOKUP('Données projet'!$B$10,Paramètres!$A$1:$I$89,5,0)</f>
        <v>100.76352000000004</v>
      </c>
      <c r="AK37" s="14">
        <f t="shared" si="35"/>
        <v>27.143815058590718</v>
      </c>
      <c r="AL37" s="22">
        <f t="shared" si="4"/>
        <v>222.77194189371221</v>
      </c>
      <c r="AM37" s="62">
        <f t="shared" si="5"/>
        <v>516.10527522704547</v>
      </c>
      <c r="AN37" s="62">
        <f ca="1">AVERAGE(OFFSET($AM$3,0,0,'Données projet'!$E$10+1,1))-AVERAGE(OFFSET($H$3,0,0,'Données projet'!$E$10+1,1))</f>
        <v>287.83167869616227</v>
      </c>
      <c r="AO37" s="62">
        <f t="shared" si="36"/>
        <v>233.84231920589906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11.333333333333334</v>
      </c>
      <c r="BD37" s="13">
        <f>IF('Données projet'!$A$88&gt;35,BD36+BC37-BL36,IF(A37&lt;'Données projet'!$A$88,$BA$205^A37,IF(A37='Données projet'!$A$88,'Données projet'!$B$88,BD36+BC37-BL36)))</f>
        <v>212.33333333333337</v>
      </c>
      <c r="BE37" s="14">
        <f>BD37*VLOOKUP('Données projet'!$B$11,Paramètres!$A$1:$I$89,3,0)*VLOOKUP('Données projet'!$B$11,Paramètres!$A$1:$I$89,5,0)</f>
        <v>132.49600000000004</v>
      </c>
      <c r="BF37" s="14">
        <f t="shared" si="37"/>
        <v>34.572471720479456</v>
      </c>
      <c r="BG37" s="22">
        <f t="shared" si="7"/>
        <v>290.97758824650174</v>
      </c>
      <c r="BH37" s="62">
        <f t="shared" si="8"/>
        <v>584.31092157983505</v>
      </c>
      <c r="BI37" s="62">
        <f ca="1">AVERAGE(OFFSET($BH$3,0,0,'Données projet'!$E$11+1,1))-AVERAGE(OFFSET($H$3,0,0,'Données projet'!$E$11+1,1))</f>
        <v>262.36903350767881</v>
      </c>
      <c r="BJ37" s="62">
        <f t="shared" si="38"/>
        <v>331.21009482262417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18.157652065606996</v>
      </c>
      <c r="BQ37" s="23">
        <f>EXP(-LN(2)/25)*BQ36+(1-EXP(-LN(2)/25))/(LN(2)/25)*Calculateur!BL37*Calculateur!BN37*VLOOKUP('Données projet'!$B$11,Paramètres!$A$1:$I$89,3,0)*0.475*44/12</f>
        <v>28.236067037882368</v>
      </c>
      <c r="BR37" s="23">
        <f>EXP(-LN(2)/2)*BR36+(1-EXP(-LN(2)/2))/(LN(2)/2)*BL37*BO37*VLOOKUP('Données projet'!$B$11,Paramètres!$A$1:$I$89,3,0)*0.475*44/12</f>
        <v>2.7096979625707522</v>
      </c>
      <c r="BS37" s="24">
        <f t="shared" si="9"/>
        <v>49.103417066060111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3.887142857142857</v>
      </c>
      <c r="BY37" s="13">
        <f>IF('Données projet'!$A$114&gt;35,BY36+BX37-CG36,IF(A37&lt;'Données projet'!$A$114,$BV$205^A37,IF(A37='Données projet'!$A$114,'Données projet'!$B$114,BY36+BX37-CG36)))</f>
        <v>132.16285714285721</v>
      </c>
      <c r="BZ37" s="14">
        <f>BY37*VLOOKUP('Données projet'!$B$12,Paramètres!$A$1:$I$89,3,0)*VLOOKUP('Données projet'!$B$12,Paramètres!$A$1:$I$89,5,0)</f>
        <v>127.8279154285715</v>
      </c>
      <c r="CA37" s="14">
        <f t="shared" si="39"/>
        <v>33.493963234877462</v>
      </c>
      <c r="CB37" s="22">
        <f t="shared" si="10"/>
        <v>280.96893867217358</v>
      </c>
      <c r="CC37" s="62">
        <f t="shared" si="11"/>
        <v>574.30227200550689</v>
      </c>
      <c r="CD37" s="62">
        <f ca="1">AVERAGE(OFFSET($CC$3,0,0,'Données projet'!$E$12+1,1))-AVERAGE(OFFSET($H$3,0,0,'Données projet'!$E$12+1,1))</f>
        <v>618.83149423524605</v>
      </c>
      <c r="CE37" s="62">
        <f t="shared" si="40"/>
        <v>285.33582535802435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16.701250000000002</v>
      </c>
      <c r="CT37" s="13">
        <f>IF('Données projet'!$A$140&gt;35,CT36+CS37-DB36,IF(A37&lt;'Données projet'!$A$140,$CQ$205^A37,IF(A37='Données projet'!$A$140,'Données projet'!$B$140,CT36+CS37-DB36)))</f>
        <v>183.63125000000005</v>
      </c>
      <c r="CU37" s="18">
        <f>CT37*VLOOKUP('Données projet'!$B$13,Paramètres!$A$1:$I$89,3,0)*VLOOKUP('Données projet'!$B$13,Paramètres!$A$1:$I$89,5,0)</f>
        <v>109.81148750000004</v>
      </c>
      <c r="CV37" s="14">
        <f t="shared" si="41"/>
        <v>29.286565124423376</v>
      </c>
      <c r="CW37" s="22">
        <f t="shared" si="13"/>
        <v>242.26244165420408</v>
      </c>
      <c r="CX37" s="62">
        <f t="shared" si="14"/>
        <v>535.59577498753742</v>
      </c>
      <c r="CY37" s="62">
        <f ca="1">AVERAGE(OFFSET($CX$3,0,0,'Données projet'!$E$13+1,1))-AVERAGE(OFFSET($H$3,0,0,'Données projet'!$E$13+1,1))</f>
        <v>349.5718186624772</v>
      </c>
      <c r="CZ37" s="62">
        <f t="shared" si="42"/>
        <v>258.14152930815959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17.950535861131485</v>
      </c>
      <c r="DG37" s="23">
        <f>EXP(-LN(2)/25)*DG36+(1-EXP(-LN(2)/25))/(LN(2)/25)*Calculateur!DB37*Calculateur!DD37*VLOOKUP('Données projet'!$B$13,Paramètres!$A$1:$I$89,3,0)*0.475*44/12</f>
        <v>13.8601524822264</v>
      </c>
      <c r="DH37" s="23">
        <f>EXP(-LN(2)/2)*DH36+(1-EXP(-LN(2)/2))/(LN(2)/2)*DB37*DE37*VLOOKUP('Données projet'!$B$13,Paramètres!$A$1:$I$89,3,0)*0.475*44/12</f>
        <v>6.0702585926237544</v>
      </c>
      <c r="DI37" s="24">
        <f t="shared" si="15"/>
        <v>37.88094693598164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7.2</v>
      </c>
      <c r="DO37" s="13">
        <f>IF('Données projet'!$A$166&gt;35,DO36+DN37-DW36,IF(A37&lt;'Données projet'!$A$166,$DL$205^A37,IF(A37='Données projet'!$A$166,'Données projet'!$B$166,DO36+DN37-DW36)))</f>
        <v>127.80000000000001</v>
      </c>
      <c r="DP37" s="18">
        <f>DO37*VLOOKUP('Données projet'!$B$14,Paramètres!$A$1:$I$89,3,0)*VLOOKUP('Données projet'!$B$14,Paramètres!$A$1:$I$89,5,0)</f>
        <v>111.64608000000003</v>
      </c>
      <c r="DQ37" s="14">
        <f t="shared" si="43"/>
        <v>29.718477955114288</v>
      </c>
      <c r="DR37" s="22">
        <f t="shared" si="16"/>
        <v>246.20993843849078</v>
      </c>
      <c r="DS37" s="62">
        <f t="shared" si="17"/>
        <v>539.54327177182404</v>
      </c>
      <c r="DT37" s="62">
        <f ca="1">AVERAGE(OFFSET($DS$3,0,0,'Données projet'!$E$14+1,1))-AVERAGE(OFFSET($H$3,0,0,'Données projet'!$E$14+1,1))</f>
        <v>300.63505444445104</v>
      </c>
      <c r="DU37" s="62">
        <f t="shared" si="44"/>
        <v>266.32508105927997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1.5345631127486568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1.5345631127486568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12.8</v>
      </c>
      <c r="EJ37" s="13">
        <f>IF('Données projet'!$A$192&gt;35,EJ36+EI37-ER36,IF(A37&lt;'Données projet'!$A$192,$EG$205^A37,IF(A37='Données projet'!$A$192,'Données projet'!$B$192,EJ36+EI37-ER36)))</f>
        <v>193.19999999999996</v>
      </c>
      <c r="EK37" s="18">
        <f>EJ37*VLOOKUP('Données projet'!$B$15,Paramètres!$A$1:$I$89,3,0)*VLOOKUP('Données projet'!$B$15,Paramètres!$A$1:$I$89,5,0)</f>
        <v>153.70991999999998</v>
      </c>
      <c r="EL37" s="14">
        <f t="shared" si="45"/>
        <v>39.420475690379831</v>
      </c>
      <c r="EM37" s="22">
        <f t="shared" si="19"/>
        <v>336.3687724940782</v>
      </c>
      <c r="EN37" s="62">
        <f t="shared" si="20"/>
        <v>629.70210582741151</v>
      </c>
      <c r="EO37" s="62">
        <f ca="1">AVERAGE(OFFSET($EN$3,0,0,'Données projet'!$E$15+1,1))-AVERAGE(OFFSET($H$3,0,0,'Données projet'!$E$15+1,1))</f>
        <v>353.37024194969638</v>
      </c>
      <c r="EP37" s="62">
        <f t="shared" si="46"/>
        <v>345.4750813433123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13.137803565962946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13.137803565962946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8.6</v>
      </c>
      <c r="FE37" s="13">
        <f>IF('Données projet'!$A$218&gt;35,FE36+FD37-FM36,IF(A37&lt;'Données projet'!$A$218,$FB$205^A37,IF(A37='Données projet'!$A$218,'Données projet'!$B$218,FE36+FD37-FM36)))</f>
        <v>172.4</v>
      </c>
      <c r="FF37" s="18">
        <f>FE37*VLOOKUP('Données projet'!$B$16,Paramètres!$A$1:$I$89,3,0)*VLOOKUP('Données projet'!$B$16,Paramètres!$A$1:$I$89,5,0)</f>
        <v>112.95648</v>
      </c>
      <c r="FG37" s="14">
        <f t="shared" si="47"/>
        <v>30.026475458997034</v>
      </c>
      <c r="FH37" s="22">
        <f t="shared" si="22"/>
        <v>249.0286474244198</v>
      </c>
      <c r="FI37" s="62">
        <f t="shared" si="23"/>
        <v>542.36198075775314</v>
      </c>
      <c r="FJ37" s="62">
        <f ca="1">AVERAGE(OFFSET($FI$3,0,0,'Données projet'!$E$16+1,1))-AVERAGE(OFFSET($H$3,0,0,'Données projet'!$E$16+1,1))</f>
        <v>263.30962868541337</v>
      </c>
      <c r="FK37" s="62">
        <f t="shared" si="48"/>
        <v>269.61868559913404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1.3235606847457162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1.3235606847457162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4.5262222222222226</v>
      </c>
      <c r="N38" s="14">
        <f>IF('Données projet'!$A$36&gt;35,N37+M38-V37,IF(A38&lt;'Données projet'!$A$36,$K$205^A38,IF(A38='Données projet'!$A$36,'Données projet'!$B$36,N37+M38-V37)))</f>
        <v>158.41777777777776</v>
      </c>
      <c r="O38" s="14">
        <f>N38*VLOOKUP('Données projet'!$B$9,Paramètres!$A$1:$I$89,3,0)*VLOOKUP('Données projet'!$B$9,Paramètres!$A$1:$I$89,5,0)</f>
        <v>94.733831111111115</v>
      </c>
      <c r="P38" s="14">
        <f t="shared" si="33"/>
        <v>25.703482690534969</v>
      </c>
      <c r="Q38" s="22">
        <f t="shared" si="53"/>
        <v>209.76165487120025</v>
      </c>
      <c r="R38" s="62">
        <f t="shared" si="0"/>
        <v>503.09498820453359</v>
      </c>
      <c r="S38" s="62">
        <f ca="1">AVERAGE(OFFSET($R$3,0,0,'Données projet'!$E$9+1,1))-AVERAGE(OFFSET($H$3,0,0,'Données projet'!$E$9+1,1))</f>
        <v>262.06511368698341</v>
      </c>
      <c r="T38" s="62">
        <f t="shared" si="34"/>
        <v>217.15709240080542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6.3325490196078427</v>
      </c>
      <c r="AI38" s="14">
        <f>IF('Données projet'!$A$62&gt;35,AI37+AH38-AQ37,IF(A38&lt;'Données projet'!$A$62,$AF$205^A38,IF(A38='Données projet'!$A$62,'Données projet'!$B$62,AI37+AH38-AQ37)))</f>
        <v>221.63921568627461</v>
      </c>
      <c r="AJ38" s="14">
        <f>AI38*VLOOKUP('Données projet'!$B$10,Paramètres!$A$1:$I$89,3,0)*VLOOKUP('Données projet'!$B$10,Paramètres!$A$1:$I$89,5,0)</f>
        <v>103.72715294117653</v>
      </c>
      <c r="AK38" s="14">
        <f t="shared" si="35"/>
        <v>27.848040412679186</v>
      </c>
      <c r="AL38" s="22">
        <f t="shared" si="4"/>
        <v>229.16012842463203</v>
      </c>
      <c r="AM38" s="62">
        <f t="shared" si="5"/>
        <v>522.49346175796541</v>
      </c>
      <c r="AN38" s="62">
        <f ca="1">AVERAGE(OFFSET($AM$3,0,0,'Données projet'!$E$10+1,1))-AVERAGE(OFFSET($H$3,0,0,'Données projet'!$E$10+1,1))</f>
        <v>287.83167869616227</v>
      </c>
      <c r="AO38" s="62">
        <f t="shared" si="36"/>
        <v>233.84231920589906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11.333333333333334</v>
      </c>
      <c r="BD38" s="13">
        <f>IF('Données projet'!$A$88&gt;35,BD37+BC38-BL37,IF(A38&lt;'Données projet'!$A$88,$BA$205^A38,IF(A38='Données projet'!$A$88,'Données projet'!$B$88,BD37+BC38-BL37)))</f>
        <v>223.66666666666671</v>
      </c>
      <c r="BE38" s="14">
        <f>BD38*VLOOKUP('Données projet'!$B$11,Paramètres!$A$1:$I$89,3,0)*VLOOKUP('Données projet'!$B$11,Paramètres!$A$1:$I$89,5,0)</f>
        <v>139.56800000000001</v>
      </c>
      <c r="BF38" s="14">
        <f t="shared" si="37"/>
        <v>36.198022567902328</v>
      </c>
      <c r="BG38" s="22">
        <f t="shared" si="7"/>
        <v>306.12582263909655</v>
      </c>
      <c r="BH38" s="62">
        <f t="shared" si="8"/>
        <v>599.45915597242993</v>
      </c>
      <c r="BI38" s="62">
        <f ca="1">AVERAGE(OFFSET($BH$3,0,0,'Données projet'!$E$11+1,1))-AVERAGE(OFFSET($H$3,0,0,'Données projet'!$E$11+1,1))</f>
        <v>262.36903350767881</v>
      </c>
      <c r="BJ38" s="62">
        <f t="shared" si="38"/>
        <v>331.21009482262417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17.801591583674629</v>
      </c>
      <c r="BQ38" s="23">
        <f>EXP(-LN(2)/25)*BQ37+(1-EXP(-LN(2)/25))/(LN(2)/25)*Calculateur!BL38*Calculateur!BN38*VLOOKUP('Données projet'!$B$11,Paramètres!$A$1:$I$89,3,0)*0.475*44/12</f>
        <v>27.463950299861242</v>
      </c>
      <c r="BR38" s="23">
        <f>EXP(-LN(2)/2)*BR37+(1-EXP(-LN(2)/2))/(LN(2)/2)*BL38*BO38*VLOOKUP('Données projet'!$B$11,Paramètres!$A$1:$I$89,3,0)*0.475*44/12</f>
        <v>1.9160458043011506</v>
      </c>
      <c r="BS38" s="24">
        <f t="shared" si="9"/>
        <v>47.181587687837023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3.887142857142857</v>
      </c>
      <c r="BY38" s="13">
        <f>IF('Données projet'!$A$114&gt;35,BY37+BX38-CG37,IF(A38&lt;'Données projet'!$A$114,$BV$205^A38,IF(A38='Données projet'!$A$114,'Données projet'!$B$114,BY37+BX38-CG37)))</f>
        <v>136.05000000000007</v>
      </c>
      <c r="BZ38" s="14">
        <f>BY38*VLOOKUP('Données projet'!$B$12,Paramètres!$A$1:$I$89,3,0)*VLOOKUP('Données projet'!$B$12,Paramètres!$A$1:$I$89,5,0)</f>
        <v>131.58756000000008</v>
      </c>
      <c r="CA38" s="14">
        <f t="shared" si="39"/>
        <v>34.362938287499752</v>
      </c>
      <c r="CB38" s="22">
        <f t="shared" si="10"/>
        <v>289.0304511840622</v>
      </c>
      <c r="CC38" s="62">
        <f t="shared" si="11"/>
        <v>582.36378451739552</v>
      </c>
      <c r="CD38" s="62">
        <f ca="1">AVERAGE(OFFSET($CC$3,0,0,'Données projet'!$E$12+1,1))-AVERAGE(OFFSET($H$3,0,0,'Données projet'!$E$12+1,1))</f>
        <v>618.83149423524605</v>
      </c>
      <c r="CE38" s="62">
        <f t="shared" si="40"/>
        <v>285.33582535802435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16.701250000000002</v>
      </c>
      <c r="CT38" s="13">
        <f>IF('Données projet'!$A$140&gt;35,CT37+CS38-DB37,IF(A38&lt;'Données projet'!$A$140,$CQ$205^A38,IF(A38='Données projet'!$A$140,'Données projet'!$B$140,CT37+CS38-DB37)))</f>
        <v>200.33250000000004</v>
      </c>
      <c r="CU38" s="18">
        <f>CT38*VLOOKUP('Données projet'!$B$13,Paramètres!$A$1:$I$89,3,0)*VLOOKUP('Données projet'!$B$13,Paramètres!$A$1:$I$89,5,0)</f>
        <v>119.79883500000003</v>
      </c>
      <c r="CV38" s="14">
        <f t="shared" si="41"/>
        <v>31.628076280921128</v>
      </c>
      <c r="CW38" s="22">
        <f t="shared" si="13"/>
        <v>263.73520381427102</v>
      </c>
      <c r="CX38" s="62">
        <f t="shared" si="14"/>
        <v>557.06853714760427</v>
      </c>
      <c r="CY38" s="62">
        <f ca="1">AVERAGE(OFFSET($CX$3,0,0,'Données projet'!$E$13+1,1))-AVERAGE(OFFSET($H$3,0,0,'Données projet'!$E$13+1,1))</f>
        <v>349.5718186624772</v>
      </c>
      <c r="CZ38" s="62">
        <f t="shared" si="42"/>
        <v>258.14152930815959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17.598536801640474</v>
      </c>
      <c r="DG38" s="23">
        <f>EXP(-LN(2)/25)*DG37+(1-EXP(-LN(2)/25))/(LN(2)/25)*Calculateur!DB38*Calculateur!DD38*VLOOKUP('Données projet'!$B$13,Paramètres!$A$1:$I$89,3,0)*0.475*44/12</f>
        <v>13.481145883726178</v>
      </c>
      <c r="DH38" s="23">
        <f>EXP(-LN(2)/2)*DH37+(1-EXP(-LN(2)/2))/(LN(2)/2)*DB38*DE38*VLOOKUP('Données projet'!$B$13,Paramètres!$A$1:$I$89,3,0)*0.475*44/12</f>
        <v>4.2923210144001658</v>
      </c>
      <c r="DI38" s="24">
        <f t="shared" si="15"/>
        <v>35.372003699766822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135</v>
      </c>
      <c r="DM38" s="13">
        <f>VLOOKUP(A38,'Données projet'!$A$165:$I$185,9,0)</f>
        <v>7.2</v>
      </c>
      <c r="DN38" s="13">
        <f t="array" ref="DN38">INDEX(DM:DM,MIN(IF(ISNUMBER(DM38:DM234),ROW(DM38:DM234),"")))</f>
        <v>7.2</v>
      </c>
      <c r="DO38" s="13">
        <f>IF('Données projet'!$A$166&gt;35,DO37+DN38-DW37,IF(A38&lt;'Données projet'!$A$166,$DL$205^A38,IF(A38='Données projet'!$A$166,'Données projet'!$B$166,DO37+DN38-DW37)))</f>
        <v>135</v>
      </c>
      <c r="DP38" s="18">
        <f>DO38*VLOOKUP('Données projet'!$B$14,Paramètres!$A$1:$I$89,3,0)*VLOOKUP('Données projet'!$B$14,Paramètres!$A$1:$I$89,5,0)</f>
        <v>117.93600000000002</v>
      </c>
      <c r="DQ38" s="14">
        <f t="shared" si="43"/>
        <v>31.1931201812605</v>
      </c>
      <c r="DR38" s="22">
        <f t="shared" si="16"/>
        <v>259.73321764902875</v>
      </c>
      <c r="DS38" s="62">
        <f t="shared" si="17"/>
        <v>553.06655098236206</v>
      </c>
      <c r="DT38" s="62">
        <f ca="1">AVERAGE(OFFSET($DS$3,0,0,'Données projet'!$E$14+1,1))-AVERAGE(OFFSET($H$3,0,0,'Données projet'!$E$14+1,1))</f>
        <v>300.63505444445104</v>
      </c>
      <c r="DU38" s="62">
        <f t="shared" si="44"/>
        <v>266.32508105927997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20</v>
      </c>
      <c r="DX38" s="17">
        <f>IF(ISNA(VLOOKUP(A38,'Données projet'!$A$165:$I$185,5,0)),0%,VLOOKUP(A38,'Données projet'!$A$165:$I$185,5,0)*VLOOKUP('Données projet'!$B$14,Paramètres!$A$1:$I$89,7,0))</f>
        <v>8.6000000000000007E-2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3.1655422146219081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3.1655422146219081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206</v>
      </c>
      <c r="EH38" s="13">
        <f>VLOOKUP(A38,'Données projet'!$A$191:$I$211,9,0)</f>
        <v>12.8</v>
      </c>
      <c r="EI38" s="13">
        <f t="array" ref="EI38">INDEX(EH:EH,MIN(IF(ISNUMBER(EH38:EH234),ROW(EH38:EH234),"")))</f>
        <v>12.8</v>
      </c>
      <c r="EJ38" s="13">
        <f>IF('Données projet'!$A$192&gt;35,EJ37+EI38-ER37,IF(A38&lt;'Données projet'!$A$192,$EG$205^A38,IF(A38='Données projet'!$A$192,'Données projet'!$B$192,EJ37+EI38-ER37)))</f>
        <v>205.99999999999997</v>
      </c>
      <c r="EK38" s="18">
        <f>EJ38*VLOOKUP('Données projet'!$B$15,Paramètres!$A$1:$I$89,3,0)*VLOOKUP('Données projet'!$B$15,Paramètres!$A$1:$I$89,5,0)</f>
        <v>163.89359999999999</v>
      </c>
      <c r="EL38" s="14">
        <f t="shared" si="45"/>
        <v>41.71949506642347</v>
      </c>
      <c r="EM38" s="22">
        <f t="shared" si="19"/>
        <v>358.10947390735419</v>
      </c>
      <c r="EN38" s="62">
        <f t="shared" si="20"/>
        <v>651.44280724068744</v>
      </c>
      <c r="EO38" s="62">
        <f ca="1">AVERAGE(OFFSET($EN$3,0,0,'Données projet'!$E$15+1,1))-AVERAGE(OFFSET($H$3,0,0,'Données projet'!$E$15+1,1))</f>
        <v>353.37024194969638</v>
      </c>
      <c r="EP38" s="62">
        <f t="shared" si="46"/>
        <v>345.4750813433123</v>
      </c>
      <c r="EQ38" s="16">
        <f>IF(ISNA(VLOOKUP(A38,'Données projet'!$A$191:$I$211,3,0)),0,VLOOKUP(A38,'Données projet'!$A$191:$I$211,3,0))</f>
        <v>6</v>
      </c>
      <c r="ER38" s="16">
        <f>IF(ISNA(VLOOKUP(A38,'Données projet'!$A$191:$I$211,4,0)),0,VLOOKUP(A38,'Données projet'!$A$191:$I$211,4,0))</f>
        <v>35</v>
      </c>
      <c r="ES38" s="17">
        <f>IF(ISNA(VLOOKUP(A38,'Données projet'!$A$191:$I$211,5,0)),0%,VLOOKUP(A38,'Données projet'!$A$191:$I$211,5,0)*VLOOKUP('Données projet'!$B$15,Paramètres!$A$1:$I$89,7,0))</f>
        <v>0.21200000000000002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19.406160027259943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19.406160027259943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181</v>
      </c>
      <c r="FC38" s="13">
        <f>VLOOKUP(A38,'Données projet'!$A$217:$I$237,9,0)</f>
        <v>8.6</v>
      </c>
      <c r="FD38" s="13">
        <f t="array" ref="FD38">INDEX(FC:FC,MIN(IF(ISNUMBER(FC38:FC234),ROW(FC38:FC234),"")))</f>
        <v>8.6</v>
      </c>
      <c r="FE38" s="13">
        <f>IF('Données projet'!$A$218&gt;35,FE37+FD38-FM37,IF(A38&lt;'Données projet'!$A$218,$FB$205^A38,IF(A38='Données projet'!$A$218,'Données projet'!$B$218,FE37+FD38-FM37)))</f>
        <v>181</v>
      </c>
      <c r="FF38" s="18">
        <f>FE38*VLOOKUP('Données projet'!$B$16,Paramètres!$A$1:$I$89,3,0)*VLOOKUP('Données projet'!$B$16,Paramètres!$A$1:$I$89,5,0)</f>
        <v>118.5912</v>
      </c>
      <c r="FG38" s="14">
        <f t="shared" si="47"/>
        <v>31.346194334434067</v>
      </c>
      <c r="FH38" s="22">
        <f t="shared" si="22"/>
        <v>261.14096179913935</v>
      </c>
      <c r="FI38" s="62">
        <f t="shared" si="23"/>
        <v>554.47429513247266</v>
      </c>
      <c r="FJ38" s="62">
        <f ca="1">AVERAGE(OFFSET($FI$3,0,0,'Données projet'!$E$16+1,1))-AVERAGE(OFFSET($H$3,0,0,'Données projet'!$E$16+1,1))</f>
        <v>263.30962868541337</v>
      </c>
      <c r="FK38" s="62">
        <f t="shared" si="48"/>
        <v>269.61868559913404</v>
      </c>
      <c r="FL38" s="16">
        <f>IF(ISNA(VLOOKUP(A38,'Données projet'!$A$217:$I$237,3,0)),0,VLOOKUP(A38,'Données projet'!$A$217:$I$237,3,0))</f>
        <v>6</v>
      </c>
      <c r="FM38" s="16">
        <f>IF(ISNA(VLOOKUP(A38,'Données projet'!$A$217:$I$237,4,0)),0,VLOOKUP(A38,'Données projet'!$A$217:$I$237,4,0))</f>
        <v>25</v>
      </c>
      <c r="FN38" s="17">
        <f>IF(ISNA(VLOOKUP(A38,'Données projet'!$A$217:$I$237,5,0)),0%,VLOOKUP(A38,'Données projet'!$A$217:$I$237,5,0)*VLOOKUP('Données projet'!$B$16,Paramètres!$A$1:$I$89,7,0))</f>
        <v>8.6000000000000007E-2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2.8548604812506335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2.8548604812506335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4.5262222222222226</v>
      </c>
      <c r="N39" s="14">
        <f>IF('Données projet'!$A$36&gt;35,N38+M39-V38,IF(A39&lt;'Données projet'!$A$36,$K$205^A39,IF(A39='Données projet'!$A$36,'Données projet'!$B$36,N38+M39-V38)))</f>
        <v>162.94399999999999</v>
      </c>
      <c r="O39" s="14">
        <f>N39*VLOOKUP('Données projet'!$B$9,Paramètres!$A$1:$I$89,3,0)*VLOOKUP('Données projet'!$B$9,Paramètres!$A$1:$I$89,5,0)</f>
        <v>97.440511999999998</v>
      </c>
      <c r="P39" s="14">
        <f t="shared" si="33"/>
        <v>26.351317740345912</v>
      </c>
      <c r="Q39" s="22">
        <f t="shared" si="53"/>
        <v>215.60410346443578</v>
      </c>
      <c r="R39" s="62">
        <f t="shared" si="0"/>
        <v>508.93743679776912</v>
      </c>
      <c r="S39" s="62">
        <f ca="1">AVERAGE(OFFSET($R$3,0,0,'Données projet'!$E$9+1,1))-AVERAGE(OFFSET($H$3,0,0,'Données projet'!$E$9+1,1))</f>
        <v>262.06511368698341</v>
      </c>
      <c r="T39" s="62">
        <f t="shared" si="34"/>
        <v>217.15709240080542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6.3325490196078427</v>
      </c>
      <c r="AI39" s="14">
        <f>IF('Données projet'!$A$62&gt;35,AI38+AH39-AQ38,IF(A39&lt;'Données projet'!$A$62,$AF$205^A39,IF(A39='Données projet'!$A$62,'Données projet'!$B$62,AI38+AH39-AQ38)))</f>
        <v>227.97176470588246</v>
      </c>
      <c r="AJ39" s="14">
        <f>AI39*VLOOKUP('Données projet'!$B$10,Paramètres!$A$1:$I$89,3,0)*VLOOKUP('Données projet'!$B$10,Paramètres!$A$1:$I$89,5,0)</f>
        <v>106.69078588235298</v>
      </c>
      <c r="AK39" s="14">
        <f t="shared" si="35"/>
        <v>28.549927268444787</v>
      </c>
      <c r="AL39" s="22">
        <f t="shared" si="4"/>
        <v>235.54424207097281</v>
      </c>
      <c r="AM39" s="62">
        <f t="shared" si="5"/>
        <v>528.87757540430607</v>
      </c>
      <c r="AN39" s="62">
        <f ca="1">AVERAGE(OFFSET($AM$3,0,0,'Données projet'!$E$10+1,1))-AVERAGE(OFFSET($H$3,0,0,'Données projet'!$E$10+1,1))</f>
        <v>287.83167869616227</v>
      </c>
      <c r="AO39" s="62">
        <f t="shared" si="36"/>
        <v>233.84231920589906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235</v>
      </c>
      <c r="BB39" s="13">
        <f>VLOOKUP(A39,'Données projet'!$A$87:$I$107,9,0)</f>
        <v>11.333333333333334</v>
      </c>
      <c r="BC39" s="13">
        <f t="array" ref="BC39">INDEX(BB:BB,MIN(IF(ISNUMBER(BB39:BB235),ROW(BB39:BB235),"")))</f>
        <v>11.333333333333334</v>
      </c>
      <c r="BD39" s="13">
        <f>IF('Données projet'!$A$88&gt;35,BD38+BC39-BL38,IF(A39&lt;'Données projet'!$A$88,$BA$205^A39,IF(A39='Données projet'!$A$88,'Données projet'!$B$88,BD38+BC39-BL38)))</f>
        <v>235.00000000000006</v>
      </c>
      <c r="BE39" s="14">
        <f>BD39*VLOOKUP('Données projet'!$B$11,Paramètres!$A$1:$I$89,3,0)*VLOOKUP('Données projet'!$B$11,Paramètres!$A$1:$I$89,5,0)</f>
        <v>146.64000000000004</v>
      </c>
      <c r="BF39" s="14">
        <f t="shared" si="37"/>
        <v>37.814009712703054</v>
      </c>
      <c r="BG39" s="22">
        <f t="shared" si="7"/>
        <v>321.2574002496246</v>
      </c>
      <c r="BH39" s="62">
        <f t="shared" si="8"/>
        <v>614.59073358295791</v>
      </c>
      <c r="BI39" s="62">
        <f ca="1">AVERAGE(OFFSET($BH$3,0,0,'Données projet'!$E$11+1,1))-AVERAGE(OFFSET($H$3,0,0,'Données projet'!$E$11+1,1))</f>
        <v>262.36903350767881</v>
      </c>
      <c r="BJ39" s="62">
        <f t="shared" si="38"/>
        <v>331.21009482262417</v>
      </c>
      <c r="BK39" s="16">
        <f>IF(ISNA(VLOOKUP(A39,'Données projet'!$A$87:$I$107,3,0)),0,VLOOKUP(A39,'Données projet'!$A$87:$I$107,3,0))</f>
        <v>5</v>
      </c>
      <c r="BL39" s="16">
        <f>IF(ISNA(VLOOKUP(A39,'Données projet'!$A$87:$I$107,4,0)),0,VLOOKUP(A39,'Données projet'!$A$87:$I$107,4,0))</f>
        <v>45</v>
      </c>
      <c r="BM39" s="17">
        <f>IF(ISNA(VLOOKUP(A39,'Données projet'!$A$87:$I$107,5,0)),0%,VLOOKUP(A39,'Données projet'!$A$87:$I$107,5,0)*VLOOKUP('Données projet'!$B$11,Paramètres!$A$1:$I$89,7,0))</f>
        <v>0.24</v>
      </c>
      <c r="BN39" s="17">
        <f>IF(ISNA(VLOOKUP(A39,'Données projet'!$A$87:$I$107,6,0)),0%,VLOOKUP(A39,'Données projet'!$A$87:$I$107,6,0)*VLOOKUP('Données projet'!$B$11,Paramètres!$A$1:$I$89,7,0))</f>
        <v>0.20400000000000001</v>
      </c>
      <c r="BO39" s="17">
        <f>IF(ISNA(VLOOKUP(A39,'Données projet'!$A$87:$I$107,7,0)),0%,VLOOKUP(A39,'Données projet'!$A$87:$I$107,7,0))</f>
        <v>0.26</v>
      </c>
      <c r="BP39" s="23">
        <f>EXP(-LN(2)/35)*BP38+(1-EXP(-LN(2)/35))/(LN(2)/35)*BL39*BM39*VLOOKUP('Données projet'!$B$11,Paramètres!$A$1:$I$89,3,0)*0.475*44/12</f>
        <v>26.392496408715651</v>
      </c>
      <c r="BQ39" s="23">
        <f>EXP(-LN(2)/25)*BQ38+(1-EXP(-LN(2)/25))/(LN(2)/25)*Calculateur!BL39*Calculateur!BN39*VLOOKUP('Données projet'!$B$11,Paramètres!$A$1:$I$89,3,0)*0.475*44/12</f>
        <v>34.282012733881686</v>
      </c>
      <c r="BR39" s="23">
        <f>EXP(-LN(2)/2)*BR38+(1-EXP(-LN(2)/2))/(LN(2)/2)*BL39*BO39*VLOOKUP('Données projet'!$B$11,Paramètres!$A$1:$I$89,3,0)*0.475*44/12</f>
        <v>9.6210505390665979</v>
      </c>
      <c r="BS39" s="24">
        <f t="shared" si="9"/>
        <v>70.295559681663931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3.887142857142857</v>
      </c>
      <c r="BY39" s="13">
        <f>IF('Données projet'!$A$114&gt;35,BY38+BX39-CG38,IF(A39&lt;'Données projet'!$A$114,$BV$205^A39,IF(A39='Données projet'!$A$114,'Données projet'!$B$114,BY38+BX39-CG38)))</f>
        <v>139.93714285714293</v>
      </c>
      <c r="BZ39" s="14">
        <f>BY39*VLOOKUP('Données projet'!$B$12,Paramètres!$A$1:$I$89,3,0)*VLOOKUP('Données projet'!$B$12,Paramètres!$A$1:$I$89,5,0)</f>
        <v>135.34720457142865</v>
      </c>
      <c r="CA39" s="14">
        <f t="shared" si="39"/>
        <v>35.229027762811612</v>
      </c>
      <c r="CB39" s="22">
        <f t="shared" si="10"/>
        <v>297.08693798213511</v>
      </c>
      <c r="CC39" s="62">
        <f t="shared" si="11"/>
        <v>590.42027131546843</v>
      </c>
      <c r="CD39" s="62">
        <f ca="1">AVERAGE(OFFSET($CC$3,0,0,'Données projet'!$E$12+1,1))-AVERAGE(OFFSET($H$3,0,0,'Données projet'!$E$12+1,1))</f>
        <v>618.83149423524605</v>
      </c>
      <c r="CE39" s="62">
        <f t="shared" si="40"/>
        <v>285.33582535802435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16.701250000000002</v>
      </c>
      <c r="CT39" s="13">
        <f>IF('Données projet'!$A$140&gt;35,CT38+CS39-DB38,IF(A39&lt;'Données projet'!$A$140,$CQ$205^A39,IF(A39='Données projet'!$A$140,'Données projet'!$B$140,CT38+CS39-DB38)))</f>
        <v>217.03375000000005</v>
      </c>
      <c r="CU39" s="18">
        <f>CT39*VLOOKUP('Données projet'!$B$13,Paramètres!$A$1:$I$89,3,0)*VLOOKUP('Données projet'!$B$13,Paramètres!$A$1:$I$89,5,0)</f>
        <v>129.78618250000005</v>
      </c>
      <c r="CV39" s="14">
        <f t="shared" si="41"/>
        <v>33.946947653586037</v>
      </c>
      <c r="CW39" s="22">
        <f t="shared" si="13"/>
        <v>285.1685350174958</v>
      </c>
      <c r="CX39" s="62">
        <f t="shared" si="14"/>
        <v>578.50186835082911</v>
      </c>
      <c r="CY39" s="62">
        <f ca="1">AVERAGE(OFFSET($CX$3,0,0,'Données projet'!$E$13+1,1))-AVERAGE(OFFSET($H$3,0,0,'Données projet'!$E$13+1,1))</f>
        <v>349.5718186624772</v>
      </c>
      <c r="CZ39" s="62">
        <f t="shared" si="42"/>
        <v>258.14152930815959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17.253440229007854</v>
      </c>
      <c r="DG39" s="23">
        <f>EXP(-LN(2)/25)*DG38+(1-EXP(-LN(2)/25))/(LN(2)/25)*Calculateur!DB39*Calculateur!DD39*VLOOKUP('Données projet'!$B$13,Paramètres!$A$1:$I$89,3,0)*0.475*44/12</f>
        <v>13.112503240593036</v>
      </c>
      <c r="DH39" s="23">
        <f>EXP(-LN(2)/2)*DH38+(1-EXP(-LN(2)/2))/(LN(2)/2)*DB39*DE39*VLOOKUP('Données projet'!$B$13,Paramètres!$A$1:$I$89,3,0)*0.475*44/12</f>
        <v>3.0351292963118781</v>
      </c>
      <c r="DI39" s="24">
        <f t="shared" si="15"/>
        <v>33.401072765912765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</v>
      </c>
      <c r="DO39" s="13">
        <f>IF('Données projet'!$A$166&gt;35,DO38+DN39-DW38,IF(A39&lt;'Données projet'!$A$166,$DL$205^A39,IF(A39='Données projet'!$A$166,'Données projet'!$B$166,DO38+DN39-DW38)))</f>
        <v>122</v>
      </c>
      <c r="DP39" s="18">
        <f>DO39*VLOOKUP('Données projet'!$B$14,Paramètres!$A$1:$I$89,3,0)*VLOOKUP('Données projet'!$B$14,Paramètres!$A$1:$I$89,5,0)</f>
        <v>106.57920000000001</v>
      </c>
      <c r="DQ39" s="14">
        <f t="shared" si="43"/>
        <v>28.523541515222938</v>
      </c>
      <c r="DR39" s="22">
        <f t="shared" si="16"/>
        <v>235.30394147234665</v>
      </c>
      <c r="DS39" s="62">
        <f t="shared" si="17"/>
        <v>528.63727480567991</v>
      </c>
      <c r="DT39" s="62">
        <f ca="1">AVERAGE(OFFSET($DS$3,0,0,'Données projet'!$E$14+1,1))-AVERAGE(OFFSET($H$3,0,0,'Données projet'!$E$14+1,1))</f>
        <v>300.63505444445104</v>
      </c>
      <c r="DU39" s="62">
        <f t="shared" si="44"/>
        <v>266.32508105927997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3.1034678625832739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3.1034678625832739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11.4</v>
      </c>
      <c r="EJ39" s="13">
        <f>IF('Données projet'!$A$192&gt;35,EJ38+EI39-ER38,IF(A39&lt;'Données projet'!$A$192,$EG$205^A39,IF(A39='Données projet'!$A$192,'Données projet'!$B$192,EJ38+EI39-ER38)))</f>
        <v>182.39999999999998</v>
      </c>
      <c r="EK39" s="18">
        <f>EJ39*VLOOKUP('Données projet'!$B$15,Paramètres!$A$1:$I$89,3,0)*VLOOKUP('Données projet'!$B$15,Paramètres!$A$1:$I$89,5,0)</f>
        <v>145.11743999999999</v>
      </c>
      <c r="EL39" s="14">
        <f t="shared" si="45"/>
        <v>37.466878406916173</v>
      </c>
      <c r="EM39" s="22">
        <f t="shared" si="19"/>
        <v>318.00102122537896</v>
      </c>
      <c r="EN39" s="62">
        <f t="shared" si="20"/>
        <v>611.33435455871222</v>
      </c>
      <c r="EO39" s="62">
        <f ca="1">AVERAGE(OFFSET($EN$3,0,0,'Données projet'!$E$15+1,1))-AVERAGE(OFFSET($H$3,0,0,'Données projet'!$E$15+1,1))</f>
        <v>353.37024194969638</v>
      </c>
      <c r="EP39" s="62">
        <f t="shared" si="46"/>
        <v>345.4750813433123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19.025617065714226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19.025617065714226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7.8</v>
      </c>
      <c r="FE39" s="13">
        <f>IF('Données projet'!$A$218&gt;35,FE38+FD39-FM38,IF(A39&lt;'Données projet'!$A$218,$FB$205^A39,IF(A39='Données projet'!$A$218,'Données projet'!$B$218,FE38+FD39-FM38)))</f>
        <v>163.80000000000001</v>
      </c>
      <c r="FF39" s="18">
        <f>FE39*VLOOKUP('Données projet'!$B$16,Paramètres!$A$1:$I$89,3,0)*VLOOKUP('Données projet'!$B$16,Paramètres!$A$1:$I$89,5,0)</f>
        <v>107.32176000000001</v>
      </c>
      <c r="FG39" s="14">
        <f t="shared" si="47"/>
        <v>28.699067963776873</v>
      </c>
      <c r="FH39" s="22">
        <f t="shared" si="22"/>
        <v>236.90294203691141</v>
      </c>
      <c r="FI39" s="62">
        <f t="shared" si="23"/>
        <v>530.2362753702447</v>
      </c>
      <c r="FJ39" s="62">
        <f ca="1">AVERAGE(OFFSET($FI$3,0,0,'Données projet'!$E$16+1,1))-AVERAGE(OFFSET($H$3,0,0,'Données projet'!$E$16+1,1))</f>
        <v>263.30962868541337</v>
      </c>
      <c r="FK39" s="62">
        <f t="shared" si="48"/>
        <v>269.61868559913404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2.7988784085062637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2.7988784085062637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4.5262222222222226</v>
      </c>
      <c r="N40" s="14">
        <f>IF('Données projet'!$A$36&gt;35,N39+M40-V39,IF(A40&lt;'Données projet'!$A$36,$K$205^A40,IF(A40='Données projet'!$A$36,'Données projet'!$B$36,N39+M40-V39)))</f>
        <v>167.47022222222222</v>
      </c>
      <c r="O40" s="14">
        <f>N40*VLOOKUP('Données projet'!$B$9,Paramètres!$A$1:$I$89,3,0)*VLOOKUP('Données projet'!$B$9,Paramètres!$A$1:$I$89,5,0)</f>
        <v>100.14719288888888</v>
      </c>
      <c r="P40" s="14">
        <f t="shared" si="33"/>
        <v>26.997061222001616</v>
      </c>
      <c r="Q40" s="22">
        <f t="shared" si="53"/>
        <v>221.4429092431343</v>
      </c>
      <c r="R40" s="62">
        <f t="shared" si="0"/>
        <v>514.77624257646767</v>
      </c>
      <c r="S40" s="62">
        <f ca="1">AVERAGE(OFFSET($R$3,0,0,'Données projet'!$E$9+1,1))-AVERAGE(OFFSET($H$3,0,0,'Données projet'!$E$9+1,1))</f>
        <v>262.06511368698341</v>
      </c>
      <c r="T40" s="62">
        <f t="shared" si="34"/>
        <v>217.15709240080542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6.3325490196078427</v>
      </c>
      <c r="AI40" s="14">
        <f>IF('Données projet'!$A$62&gt;35,AI39+AH40-AQ39,IF(A40&lt;'Données projet'!$A$62,$AF$205^A40,IF(A40='Données projet'!$A$62,'Données projet'!$B$62,AI39+AH40-AQ39)))</f>
        <v>234.30431372549032</v>
      </c>
      <c r="AJ40" s="14">
        <f>AI40*VLOOKUP('Données projet'!$B$10,Paramètres!$A$1:$I$89,3,0)*VLOOKUP('Données projet'!$B$10,Paramètres!$A$1:$I$89,5,0)</f>
        <v>109.65441882352947</v>
      </c>
      <c r="AK40" s="14">
        <f t="shared" si="35"/>
        <v>29.249548047071574</v>
      </c>
      <c r="AL40" s="22">
        <f t="shared" si="4"/>
        <v>241.92440896629682</v>
      </c>
      <c r="AM40" s="62">
        <f t="shared" si="5"/>
        <v>535.25774229963008</v>
      </c>
      <c r="AN40" s="62">
        <f ca="1">AVERAGE(OFFSET($AM$3,0,0,'Données projet'!$E$10+1,1))-AVERAGE(OFFSET($H$3,0,0,'Données projet'!$E$10+1,1))</f>
        <v>287.83167869616227</v>
      </c>
      <c r="AO40" s="62">
        <f t="shared" si="36"/>
        <v>233.84231920589906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10.666666666666666</v>
      </c>
      <c r="BD40" s="13">
        <f>IF('Données projet'!$A$88&gt;35,BD39+BC40-BL39,IF(A40&lt;'Données projet'!$A$88,$BA$205^A40,IF(A40='Données projet'!$A$88,'Données projet'!$B$88,BD39+BC40-BL39)))</f>
        <v>200.66666666666671</v>
      </c>
      <c r="BE40" s="14">
        <f>BD40*VLOOKUP('Données projet'!$B$11,Paramètres!$A$1:$I$89,3,0)*VLOOKUP('Données projet'!$B$11,Paramètres!$A$1:$I$89,5,0)</f>
        <v>125.21600000000004</v>
      </c>
      <c r="BF40" s="14">
        <f t="shared" si="37"/>
        <v>32.888516733565645</v>
      </c>
      <c r="BG40" s="22">
        <f t="shared" si="7"/>
        <v>275.36536664429354</v>
      </c>
      <c r="BH40" s="62">
        <f t="shared" si="8"/>
        <v>568.6986999776268</v>
      </c>
      <c r="BI40" s="62">
        <f ca="1">AVERAGE(OFFSET($BH$3,0,0,'Données projet'!$E$11+1,1))-AVERAGE(OFFSET($H$3,0,0,'Données projet'!$E$11+1,1))</f>
        <v>262.36903350767881</v>
      </c>
      <c r="BJ40" s="62">
        <f t="shared" si="38"/>
        <v>331.21009482262417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25.874955651974016</v>
      </c>
      <c r="BQ40" s="23">
        <f>EXP(-LN(2)/25)*BQ39+(1-EXP(-LN(2)/25))/(LN(2)/25)*Calculateur!BL40*Calculateur!BN40*VLOOKUP('Données projet'!$B$11,Paramètres!$A$1:$I$89,3,0)*0.475*44/12</f>
        <v>33.344569292860996</v>
      </c>
      <c r="BR40" s="23">
        <f>EXP(-LN(2)/2)*BR39+(1-EXP(-LN(2)/2))/(LN(2)/2)*BL40*BO40*VLOOKUP('Données projet'!$B$11,Paramètres!$A$1:$I$89,3,0)*0.475*44/12</f>
        <v>6.8031100783124803</v>
      </c>
      <c r="BS40" s="24">
        <f t="shared" si="9"/>
        <v>66.022635023147501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3.887142857142857</v>
      </c>
      <c r="BY40" s="13">
        <f>IF('Données projet'!$A$114&gt;35,BY39+BX40-CG39,IF(A40&lt;'Données projet'!$A$114,$BV$205^A40,IF(A40='Données projet'!$A$114,'Données projet'!$B$114,BY39+BX40-CG39)))</f>
        <v>143.82428571428579</v>
      </c>
      <c r="BZ40" s="14">
        <f>BY40*VLOOKUP('Données projet'!$B$12,Paramètres!$A$1:$I$89,3,0)*VLOOKUP('Données projet'!$B$12,Paramètres!$A$1:$I$89,5,0)</f>
        <v>139.10684914285721</v>
      </c>
      <c r="CA40" s="14">
        <f t="shared" si="39"/>
        <v>36.092321024539963</v>
      </c>
      <c r="CB40" s="22">
        <f t="shared" si="10"/>
        <v>305.13855470821676</v>
      </c>
      <c r="CC40" s="62">
        <f t="shared" si="11"/>
        <v>598.47188804155007</v>
      </c>
      <c r="CD40" s="62">
        <f ca="1">AVERAGE(OFFSET($CC$3,0,0,'Données projet'!$E$12+1,1))-AVERAGE(OFFSET($H$3,0,0,'Données projet'!$E$12+1,1))</f>
        <v>618.83149423524605</v>
      </c>
      <c r="CE40" s="62">
        <f t="shared" si="40"/>
        <v>285.33582535802435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16.701250000000002</v>
      </c>
      <c r="CT40" s="13">
        <f>IF('Données projet'!$A$140&gt;35,CT39+CS40-DB39,IF(A40&lt;'Données projet'!$A$140,$CQ$205^A40,IF(A40='Données projet'!$A$140,'Données projet'!$B$140,CT39+CS40-DB39)))</f>
        <v>233.73500000000007</v>
      </c>
      <c r="CU40" s="18">
        <f>CT40*VLOOKUP('Données projet'!$B$13,Paramètres!$A$1:$I$89,3,0)*VLOOKUP('Données projet'!$B$13,Paramètres!$A$1:$I$89,5,0)</f>
        <v>139.77353000000005</v>
      </c>
      <c r="CV40" s="14">
        <f t="shared" si="41"/>
        <v>36.245119510821418</v>
      </c>
      <c r="CW40" s="22">
        <f t="shared" si="13"/>
        <v>306.56581456468069</v>
      </c>
      <c r="CX40" s="62">
        <f t="shared" si="14"/>
        <v>599.89914789801401</v>
      </c>
      <c r="CY40" s="62">
        <f ca="1">AVERAGE(OFFSET($CX$3,0,0,'Données projet'!$E$13+1,1))-AVERAGE(OFFSET($H$3,0,0,'Données projet'!$E$13+1,1))</f>
        <v>349.5718186624772</v>
      </c>
      <c r="CZ40" s="62">
        <f t="shared" si="42"/>
        <v>258.14152930815959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16.915110789676433</v>
      </c>
      <c r="DG40" s="23">
        <f>EXP(-LN(2)/25)*DG39+(1-EXP(-LN(2)/25))/(LN(2)/25)*Calculateur!DB40*Calculateur!DD40*VLOOKUP('Données projet'!$B$13,Paramètres!$A$1:$I$89,3,0)*0.475*44/12</f>
        <v>12.753941149922442</v>
      </c>
      <c r="DH40" s="23">
        <f>EXP(-LN(2)/2)*DH39+(1-EXP(-LN(2)/2))/(LN(2)/2)*DB40*DE40*VLOOKUP('Données projet'!$B$13,Paramètres!$A$1:$I$89,3,0)*0.475*44/12</f>
        <v>2.1461605072000833</v>
      </c>
      <c r="DI40" s="24">
        <f t="shared" si="15"/>
        <v>31.815212446798956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</v>
      </c>
      <c r="DO40" s="13">
        <f>IF('Données projet'!$A$166&gt;35,DO39+DN40-DW39,IF(A40&lt;'Données projet'!$A$166,$DL$205^A40,IF(A40='Données projet'!$A$166,'Données projet'!$B$166,DO39+DN40-DW39)))</f>
        <v>129</v>
      </c>
      <c r="DP40" s="18">
        <f>DO40*VLOOKUP('Données projet'!$B$14,Paramètres!$A$1:$I$89,3,0)*VLOOKUP('Données projet'!$B$14,Paramètres!$A$1:$I$89,5,0)</f>
        <v>112.69440000000002</v>
      </c>
      <c r="DQ40" s="14">
        <f t="shared" si="43"/>
        <v>29.964909381330632</v>
      </c>
      <c r="DR40" s="22">
        <f t="shared" si="16"/>
        <v>248.46496383915087</v>
      </c>
      <c r="DS40" s="62">
        <f t="shared" si="17"/>
        <v>541.79829717248413</v>
      </c>
      <c r="DT40" s="62">
        <f ca="1">AVERAGE(OFFSET($DS$3,0,0,'Données projet'!$E$14+1,1))-AVERAGE(OFFSET($H$3,0,0,'Données projet'!$E$14+1,1))</f>
        <v>300.63505444445104</v>
      </c>
      <c r="DU40" s="62">
        <f t="shared" si="44"/>
        <v>266.32508105927997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3.0426107507265008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3.0426107507265008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11.4</v>
      </c>
      <c r="EJ40" s="13">
        <f>IF('Données projet'!$A$192&gt;35,EJ39+EI40-ER39,IF(A40&lt;'Données projet'!$A$192,$EG$205^A40,IF(A40='Données projet'!$A$192,'Données projet'!$B$192,EJ39+EI40-ER39)))</f>
        <v>193.79999999999998</v>
      </c>
      <c r="EK40" s="18">
        <f>EJ40*VLOOKUP('Données projet'!$B$15,Paramètres!$A$1:$I$89,3,0)*VLOOKUP('Données projet'!$B$15,Paramètres!$A$1:$I$89,5,0)</f>
        <v>154.18727999999999</v>
      </c>
      <c r="EL40" s="14">
        <f t="shared" si="45"/>
        <v>39.528629863903078</v>
      </c>
      <c r="EM40" s="22">
        <f t="shared" si="19"/>
        <v>337.38854301296448</v>
      </c>
      <c r="EN40" s="62">
        <f t="shared" si="20"/>
        <v>630.72187634629779</v>
      </c>
      <c r="EO40" s="62">
        <f ca="1">AVERAGE(OFFSET($EN$3,0,0,'Données projet'!$E$15+1,1))-AVERAGE(OFFSET($H$3,0,0,'Données projet'!$E$15+1,1))</f>
        <v>353.37024194969638</v>
      </c>
      <c r="EP40" s="62">
        <f t="shared" si="46"/>
        <v>345.4750813433123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18.652536319536132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18.652536319536132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7.8</v>
      </c>
      <c r="FE40" s="13">
        <f>IF('Données projet'!$A$218&gt;35,FE39+FD40-FM39,IF(A40&lt;'Données projet'!$A$218,$FB$205^A40,IF(A40='Données projet'!$A$218,'Données projet'!$B$218,FE39+FD40-FM39)))</f>
        <v>171.60000000000002</v>
      </c>
      <c r="FF40" s="18">
        <f>FE40*VLOOKUP('Données projet'!$B$16,Paramètres!$A$1:$I$89,3,0)*VLOOKUP('Données projet'!$B$16,Paramètres!$A$1:$I$89,5,0)</f>
        <v>112.43232</v>
      </c>
      <c r="FG40" s="14">
        <f t="shared" si="47"/>
        <v>29.903326635598326</v>
      </c>
      <c r="FH40" s="22">
        <f t="shared" si="22"/>
        <v>247.90125122366706</v>
      </c>
      <c r="FI40" s="62">
        <f t="shared" si="23"/>
        <v>541.2345845570004</v>
      </c>
      <c r="FJ40" s="62">
        <f ca="1">AVERAGE(OFFSET($FI$3,0,0,'Données projet'!$E$16+1,1))-AVERAGE(OFFSET($H$3,0,0,'Données projet'!$E$16+1,1))</f>
        <v>263.30962868541337</v>
      </c>
      <c r="FK40" s="62">
        <f t="shared" si="48"/>
        <v>269.61868559913404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2.7439941100627183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2.7439941100627183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4.5262222222222226</v>
      </c>
      <c r="N41" s="14">
        <f>IF('Données projet'!$A$36&gt;35,N40+M41-V40,IF(A41&lt;'Données projet'!$A$36,$K$205^A41,IF(A41='Données projet'!$A$36,'Données projet'!$B$36,N40+M41-V40)))</f>
        <v>171.99644444444445</v>
      </c>
      <c r="O41" s="14">
        <f>N41*VLOOKUP('Données projet'!$B$9,Paramètres!$A$1:$I$89,3,0)*VLOOKUP('Données projet'!$B$9,Paramètres!$A$1:$I$89,5,0)</f>
        <v>102.85387377777779</v>
      </c>
      <c r="P41" s="14">
        <f t="shared" si="33"/>
        <v>27.640776160704487</v>
      </c>
      <c r="Q41" s="22">
        <f t="shared" si="53"/>
        <v>227.27818197618993</v>
      </c>
      <c r="R41" s="62">
        <f t="shared" si="0"/>
        <v>520.61151530952327</v>
      </c>
      <c r="S41" s="62">
        <f ca="1">AVERAGE(OFFSET($R$3,0,0,'Données projet'!$E$9+1,1))-AVERAGE(OFFSET($H$3,0,0,'Données projet'!$E$9+1,1))</f>
        <v>262.06511368698341</v>
      </c>
      <c r="T41" s="62">
        <f t="shared" si="34"/>
        <v>217.15709240080542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6.3325490196078427</v>
      </c>
      <c r="AI41" s="14">
        <f>IF('Données projet'!$A$62&gt;35,AI40+AH41-AQ40,IF(A41&lt;'Données projet'!$A$62,$AF$205^A41,IF(A41='Données projet'!$A$62,'Données projet'!$B$62,AI40+AH41-AQ40)))</f>
        <v>240.63686274509817</v>
      </c>
      <c r="AJ41" s="14">
        <f>AI41*VLOOKUP('Données projet'!$B$10,Paramètres!$A$1:$I$89,3,0)*VLOOKUP('Données projet'!$B$10,Paramètres!$A$1:$I$89,5,0)</f>
        <v>112.61805176470595</v>
      </c>
      <c r="AK41" s="14">
        <f t="shared" si="35"/>
        <v>29.946971032239418</v>
      </c>
      <c r="AL41" s="22">
        <f t="shared" si="4"/>
        <v>248.30074803801315</v>
      </c>
      <c r="AM41" s="62">
        <f t="shared" si="5"/>
        <v>541.6340813713465</v>
      </c>
      <c r="AN41" s="62">
        <f ca="1">AVERAGE(OFFSET($AM$3,0,0,'Données projet'!$E$10+1,1))-AVERAGE(OFFSET($H$3,0,0,'Données projet'!$E$10+1,1))</f>
        <v>287.83167869616227</v>
      </c>
      <c r="AO41" s="62">
        <f t="shared" si="36"/>
        <v>233.84231920589906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10.666666666666666</v>
      </c>
      <c r="BD41" s="13">
        <f>IF('Données projet'!$A$88&gt;35,BD40+BC41-BL40,IF(A41&lt;'Données projet'!$A$88,$BA$205^A41,IF(A41='Données projet'!$A$88,'Données projet'!$B$88,BD40+BC41-BL40)))</f>
        <v>211.33333333333337</v>
      </c>
      <c r="BE41" s="14">
        <f>BD41*VLOOKUP('Données projet'!$B$11,Paramètres!$A$1:$I$89,3,0)*VLOOKUP('Données projet'!$B$11,Paramètres!$A$1:$I$89,5,0)</f>
        <v>131.87200000000001</v>
      </c>
      <c r="BF41" s="14">
        <f t="shared" si="37"/>
        <v>34.42856297363349</v>
      </c>
      <c r="BG41" s="22">
        <f t="shared" si="7"/>
        <v>289.64014717907838</v>
      </c>
      <c r="BH41" s="62">
        <f t="shared" si="8"/>
        <v>582.9734805124117</v>
      </c>
      <c r="BI41" s="62">
        <f ca="1">AVERAGE(OFFSET($BH$3,0,0,'Données projet'!$E$11+1,1))-AVERAGE(OFFSET($H$3,0,0,'Données projet'!$E$11+1,1))</f>
        <v>262.36903350767881</v>
      </c>
      <c r="BJ41" s="62">
        <f t="shared" si="38"/>
        <v>331.21009482262417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25.367563553803393</v>
      </c>
      <c r="BQ41" s="23">
        <f>EXP(-LN(2)/25)*BQ40+(1-EXP(-LN(2)/25))/(LN(2)/25)*Calculateur!BL41*Calculateur!BN41*VLOOKUP('Données projet'!$B$11,Paramètres!$A$1:$I$89,3,0)*0.475*44/12</f>
        <v>32.432760292033024</v>
      </c>
      <c r="BR41" s="23">
        <f>EXP(-LN(2)/2)*BR40+(1-EXP(-LN(2)/2))/(LN(2)/2)*BL41*BO41*VLOOKUP('Données projet'!$B$11,Paramètres!$A$1:$I$89,3,0)*0.475*44/12</f>
        <v>4.8105252695332998</v>
      </c>
      <c r="BS41" s="24">
        <f t="shared" si="9"/>
        <v>62.610849115369717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3.887142857142857</v>
      </c>
      <c r="BY41" s="13">
        <f>IF('Données projet'!$A$114&gt;35,BY40+BX41-CG40,IF(A41&lt;'Données projet'!$A$114,$BV$205^A41,IF(A41='Données projet'!$A$114,'Données projet'!$B$114,BY40+BX41-CG40)))</f>
        <v>147.71142857142866</v>
      </c>
      <c r="BZ41" s="14">
        <f>BY41*VLOOKUP('Données projet'!$B$12,Paramètres!$A$1:$I$89,3,0)*VLOOKUP('Données projet'!$B$12,Paramètres!$A$1:$I$89,5,0)</f>
        <v>142.86649371428578</v>
      </c>
      <c r="CA41" s="14">
        <f t="shared" si="39"/>
        <v>36.952902330960896</v>
      </c>
      <c r="CB41" s="22">
        <f t="shared" si="10"/>
        <v>313.18544811213798</v>
      </c>
      <c r="CC41" s="62">
        <f t="shared" si="11"/>
        <v>606.51878144547129</v>
      </c>
      <c r="CD41" s="62">
        <f ca="1">AVERAGE(OFFSET($CC$3,0,0,'Données projet'!$E$12+1,1))-AVERAGE(OFFSET($H$3,0,0,'Données projet'!$E$12+1,1))</f>
        <v>618.83149423524605</v>
      </c>
      <c r="CE41" s="62">
        <f t="shared" si="40"/>
        <v>285.33582535802435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16.701250000000002</v>
      </c>
      <c r="CT41" s="13">
        <f>IF('Données projet'!$A$140&gt;35,CT40+CS41-DB40,IF(A41&lt;'Données projet'!$A$140,$CQ$205^A41,IF(A41='Données projet'!$A$140,'Données projet'!$B$140,CT40+CS41-DB40)))</f>
        <v>250.43625000000009</v>
      </c>
      <c r="CU41" s="18">
        <f>CT41*VLOOKUP('Données projet'!$B$13,Paramètres!$A$1:$I$89,3,0)*VLOOKUP('Données projet'!$B$13,Paramètres!$A$1:$I$89,5,0)</f>
        <v>149.76087750000008</v>
      </c>
      <c r="CV41" s="14">
        <f t="shared" si="41"/>
        <v>38.524239129902824</v>
      </c>
      <c r="CW41" s="22">
        <f t="shared" si="13"/>
        <v>327.9299114637476</v>
      </c>
      <c r="CX41" s="62">
        <f t="shared" si="14"/>
        <v>621.26324479708092</v>
      </c>
      <c r="CY41" s="62">
        <f ca="1">AVERAGE(OFFSET($CX$3,0,0,'Données projet'!$E$13+1,1))-AVERAGE(OFFSET($H$3,0,0,'Données projet'!$E$13+1,1))</f>
        <v>349.5718186624772</v>
      </c>
      <c r="CZ41" s="62">
        <f t="shared" si="42"/>
        <v>258.14152930815959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16.58341578428972</v>
      </c>
      <c r="DG41" s="23">
        <f>EXP(-LN(2)/25)*DG40+(1-EXP(-LN(2)/25))/(LN(2)/25)*Calculateur!DB41*Calculateur!DD41*VLOOKUP('Données projet'!$B$13,Paramètres!$A$1:$I$89,3,0)*0.475*44/12</f>
        <v>12.405183958477197</v>
      </c>
      <c r="DH41" s="23">
        <f>EXP(-LN(2)/2)*DH40+(1-EXP(-LN(2)/2))/(LN(2)/2)*DB41*DE41*VLOOKUP('Données projet'!$B$13,Paramètres!$A$1:$I$89,3,0)*0.475*44/12</f>
        <v>1.5175646481559393</v>
      </c>
      <c r="DI41" s="24">
        <f t="shared" si="15"/>
        <v>30.506164390922855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</v>
      </c>
      <c r="DO41" s="13">
        <f>IF('Données projet'!$A$166&gt;35,DO40+DN41-DW40,IF(A41&lt;'Données projet'!$A$166,$DL$205^A41,IF(A41='Données projet'!$A$166,'Données projet'!$B$166,DO40+DN41-DW40)))</f>
        <v>136</v>
      </c>
      <c r="DP41" s="18">
        <f>DO41*VLOOKUP('Données projet'!$B$14,Paramètres!$A$1:$I$89,3,0)*VLOOKUP('Données projet'!$B$14,Paramètres!$A$1:$I$89,5,0)</f>
        <v>118.80960000000002</v>
      </c>
      <c r="DQ41" s="14">
        <f t="shared" si="43"/>
        <v>31.397197153337217</v>
      </c>
      <c r="DR41" s="22">
        <f t="shared" si="16"/>
        <v>261.61017170872896</v>
      </c>
      <c r="DS41" s="62">
        <f t="shared" si="17"/>
        <v>554.94350504206227</v>
      </c>
      <c r="DT41" s="62">
        <f ca="1">AVERAGE(OFFSET($DS$3,0,0,'Données projet'!$E$14+1,1))-AVERAGE(OFFSET($H$3,0,0,'Données projet'!$E$14+1,1))</f>
        <v>300.63505444445104</v>
      </c>
      <c r="DU41" s="62">
        <f t="shared" si="44"/>
        <v>266.32508105927997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2.9829470097140662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2.9829470097140662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11.4</v>
      </c>
      <c r="EJ41" s="13">
        <f>IF('Données projet'!$A$192&gt;35,EJ40+EI41-ER40,IF(A41&lt;'Données projet'!$A$192,$EG$205^A41,IF(A41='Données projet'!$A$192,'Données projet'!$B$192,EJ40+EI41-ER40)))</f>
        <v>205.2</v>
      </c>
      <c r="EK41" s="18">
        <f>EJ41*VLOOKUP('Données projet'!$B$15,Paramètres!$A$1:$I$89,3,0)*VLOOKUP('Données projet'!$B$15,Paramètres!$A$1:$I$89,5,0)</f>
        <v>163.25712000000001</v>
      </c>
      <c r="EL41" s="14">
        <f t="shared" si="45"/>
        <v>41.576304038313076</v>
      </c>
      <c r="EM41" s="22">
        <f t="shared" si="19"/>
        <v>356.75154686672863</v>
      </c>
      <c r="EN41" s="62">
        <f t="shared" si="20"/>
        <v>650.08488020006189</v>
      </c>
      <c r="EO41" s="62">
        <f ca="1">AVERAGE(OFFSET($EN$3,0,0,'Données projet'!$E$15+1,1))-AVERAGE(OFFSET($H$3,0,0,'Données projet'!$E$15+1,1))</f>
        <v>353.37024194969638</v>
      </c>
      <c r="EP41" s="62">
        <f t="shared" si="46"/>
        <v>345.4750813433123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18.286771459233805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18.286771459233805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7.8</v>
      </c>
      <c r="FE41" s="13">
        <f>IF('Données projet'!$A$218&gt;35,FE40+FD41-FM40,IF(A41&lt;'Données projet'!$A$218,$FB$205^A41,IF(A41='Données projet'!$A$218,'Données projet'!$B$218,FE40+FD41-FM40)))</f>
        <v>179.40000000000003</v>
      </c>
      <c r="FF41" s="18">
        <f>FE41*VLOOKUP('Données projet'!$B$16,Paramètres!$A$1:$I$89,3,0)*VLOOKUP('Données projet'!$B$16,Paramètres!$A$1:$I$89,5,0)</f>
        <v>117.54288000000003</v>
      </c>
      <c r="FG41" s="14">
        <f t="shared" si="47"/>
        <v>31.101228198889224</v>
      </c>
      <c r="FH41" s="22">
        <f t="shared" si="22"/>
        <v>258.88848844639881</v>
      </c>
      <c r="FI41" s="62">
        <f t="shared" si="23"/>
        <v>552.22182177973218</v>
      </c>
      <c r="FJ41" s="62">
        <f ca="1">AVERAGE(OFFSET($FI$3,0,0,'Données projet'!$E$16+1,1))-AVERAGE(OFFSET($H$3,0,0,'Données projet'!$E$16+1,1))</f>
        <v>263.30962868541337</v>
      </c>
      <c r="FK41" s="62">
        <f t="shared" si="48"/>
        <v>269.61868559913404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2.6901860592355344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2.6901860592355344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4.5262222222222226</v>
      </c>
      <c r="N42" s="14">
        <f>IF('Données projet'!$A$36&gt;35,N41+M42-V41,IF(A42&lt;'Données projet'!$A$36,$K$205^A42,IF(A42='Données projet'!$A$36,'Données projet'!$B$36,N41+M42-V41)))</f>
        <v>176.52266666666668</v>
      </c>
      <c r="O42" s="14">
        <f>N42*VLOOKUP('Données projet'!$B$9,Paramètres!$A$1:$I$89,3,0)*VLOOKUP('Données projet'!$B$9,Paramètres!$A$1:$I$89,5,0)</f>
        <v>105.56055466666668</v>
      </c>
      <c r="P42" s="14">
        <f t="shared" si="33"/>
        <v>28.282522075633871</v>
      </c>
      <c r="Q42" s="22">
        <f t="shared" si="53"/>
        <v>233.11002532617348</v>
      </c>
      <c r="R42" s="62">
        <f t="shared" si="0"/>
        <v>526.44335865950677</v>
      </c>
      <c r="S42" s="62">
        <f ca="1">AVERAGE(OFFSET($R$3,0,0,'Données projet'!$E$9+1,1))-AVERAGE(OFFSET($H$3,0,0,'Données projet'!$E$9+1,1))</f>
        <v>262.06511368698341</v>
      </c>
      <c r="T42" s="62">
        <f t="shared" si="34"/>
        <v>217.15709240080542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6.3325490196078427</v>
      </c>
      <c r="AI42" s="14">
        <f>IF('Données projet'!$A$62&gt;35,AI41+AH42-AQ41,IF(A42&lt;'Données projet'!$A$62,$AF$205^A42,IF(A42='Données projet'!$A$62,'Données projet'!$B$62,AI41+AH42-AQ41)))</f>
        <v>246.96941176470602</v>
      </c>
      <c r="AJ42" s="14">
        <f>AI42*VLOOKUP('Données projet'!$B$10,Paramètres!$A$1:$I$89,3,0)*VLOOKUP('Données projet'!$B$10,Paramètres!$A$1:$I$89,5,0)</f>
        <v>115.58168470588241</v>
      </c>
      <c r="AK42" s="14">
        <f t="shared" si="35"/>
        <v>30.642260709081778</v>
      </c>
      <c r="AL42" s="22">
        <f t="shared" si="4"/>
        <v>254.6733715977293</v>
      </c>
      <c r="AM42" s="62">
        <f t="shared" si="5"/>
        <v>548.00670493106259</v>
      </c>
      <c r="AN42" s="62">
        <f ca="1">AVERAGE(OFFSET($AM$3,0,0,'Données projet'!$E$10+1,1))-AVERAGE(OFFSET($H$3,0,0,'Données projet'!$E$10+1,1))</f>
        <v>287.83167869616227</v>
      </c>
      <c r="AO42" s="62">
        <f t="shared" si="36"/>
        <v>233.84231920589906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10.666666666666666</v>
      </c>
      <c r="BD42" s="13">
        <f>IF('Données projet'!$A$88&gt;35,BD41+BC42-BL41,IF(A42&lt;'Données projet'!$A$88,$BA$205^A42,IF(A42='Données projet'!$A$88,'Données projet'!$B$88,BD41+BC42-BL41)))</f>
        <v>222.00000000000003</v>
      </c>
      <c r="BE42" s="14">
        <f>BD42*VLOOKUP('Données projet'!$B$11,Paramètres!$A$1:$I$89,3,0)*VLOOKUP('Données projet'!$B$11,Paramètres!$A$1:$I$89,5,0)</f>
        <v>138.52800000000002</v>
      </c>
      <c r="BF42" s="14">
        <f t="shared" si="37"/>
        <v>35.959583801423804</v>
      </c>
      <c r="BG42" s="22">
        <f t="shared" si="7"/>
        <v>303.8992084541465</v>
      </c>
      <c r="BH42" s="62">
        <f t="shared" si="8"/>
        <v>597.23254178747982</v>
      </c>
      <c r="BI42" s="62">
        <f ca="1">AVERAGE(OFFSET($BH$3,0,0,'Données projet'!$E$11+1,1))-AVERAGE(OFFSET($H$3,0,0,'Données projet'!$E$11+1,1))</f>
        <v>262.36903350767881</v>
      </c>
      <c r="BJ42" s="62">
        <f t="shared" si="38"/>
        <v>331.21009482262417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24.870121105199274</v>
      </c>
      <c r="BQ42" s="23">
        <f>EXP(-LN(2)/25)*BQ41+(1-EXP(-LN(2)/25))/(LN(2)/25)*Calculateur!BL42*Calculateur!BN42*VLOOKUP('Données projet'!$B$11,Paramètres!$A$1:$I$89,3,0)*0.475*44/12</f>
        <v>31.545884756282643</v>
      </c>
      <c r="BR42" s="23">
        <f>EXP(-LN(2)/2)*BR41+(1-EXP(-LN(2)/2))/(LN(2)/2)*BL42*BO42*VLOOKUP('Données projet'!$B$11,Paramètres!$A$1:$I$89,3,0)*0.475*44/12</f>
        <v>3.401555039156241</v>
      </c>
      <c r="BS42" s="24">
        <f t="shared" si="9"/>
        <v>59.817560900638163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3.887142857142857</v>
      </c>
      <c r="BY42" s="13">
        <f>IF('Données projet'!$A$114&gt;35,BY41+BX42-CG41,IF(A42&lt;'Données projet'!$A$114,$BV$205^A42,IF(A42='Données projet'!$A$114,'Données projet'!$B$114,BY41+BX42-CG41)))</f>
        <v>151.59857142857152</v>
      </c>
      <c r="BZ42" s="14">
        <f>BY42*VLOOKUP('Données projet'!$B$12,Paramètres!$A$1:$I$89,3,0)*VLOOKUP('Données projet'!$B$12,Paramètres!$A$1:$I$89,5,0)</f>
        <v>146.62613828571438</v>
      </c>
      <c r="CA42" s="14">
        <f t="shared" si="39"/>
        <v>37.810851253154773</v>
      </c>
      <c r="CB42" s="22">
        <f t="shared" si="10"/>
        <v>321.22775678019707</v>
      </c>
      <c r="CC42" s="62">
        <f t="shared" si="11"/>
        <v>614.56109011353033</v>
      </c>
      <c r="CD42" s="62">
        <f ca="1">AVERAGE(OFFSET($CC$3,0,0,'Données projet'!$E$12+1,1))-AVERAGE(OFFSET($H$3,0,0,'Données projet'!$E$12+1,1))</f>
        <v>618.83149423524605</v>
      </c>
      <c r="CE42" s="62">
        <f t="shared" si="40"/>
        <v>285.33582535802435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16.701250000000002</v>
      </c>
      <c r="CT42" s="13">
        <f>IF('Données projet'!$A$140&gt;35,CT41+CS42-DB41,IF(A42&lt;'Données projet'!$A$140,$CQ$205^A42,IF(A42='Données projet'!$A$140,'Données projet'!$B$140,CT41+CS42-DB41)))</f>
        <v>267.1375000000001</v>
      </c>
      <c r="CU42" s="18">
        <f>CT42*VLOOKUP('Données projet'!$B$13,Paramètres!$A$1:$I$89,3,0)*VLOOKUP('Données projet'!$B$13,Paramètres!$A$1:$I$89,5,0)</f>
        <v>159.74822500000008</v>
      </c>
      <c r="CV42" s="14">
        <f t="shared" si="41"/>
        <v>40.785721648734771</v>
      </c>
      <c r="CW42" s="22">
        <f t="shared" si="13"/>
        <v>349.26329041321316</v>
      </c>
      <c r="CX42" s="62">
        <f t="shared" si="14"/>
        <v>642.59662374654647</v>
      </c>
      <c r="CY42" s="62">
        <f ca="1">AVERAGE(OFFSET($CX$3,0,0,'Données projet'!$E$13+1,1))-AVERAGE(OFFSET($H$3,0,0,'Données projet'!$E$13+1,1))</f>
        <v>349.5718186624772</v>
      </c>
      <c r="CZ42" s="62">
        <f t="shared" si="42"/>
        <v>258.14152930815959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16.258225115644667</v>
      </c>
      <c r="DG42" s="23">
        <f>EXP(-LN(2)/25)*DG41+(1-EXP(-LN(2)/25))/(LN(2)/25)*Calculateur!DB42*Calculateur!DD42*VLOOKUP('Données projet'!$B$13,Paramètres!$A$1:$I$89,3,0)*0.475*44/12</f>
        <v>12.065963550772366</v>
      </c>
      <c r="DH42" s="23">
        <f>EXP(-LN(2)/2)*DH41+(1-EXP(-LN(2)/2))/(LN(2)/2)*DB42*DE42*VLOOKUP('Données projet'!$B$13,Paramètres!$A$1:$I$89,3,0)*0.475*44/12</f>
        <v>1.0730802536000419</v>
      </c>
      <c r="DI42" s="24">
        <f t="shared" si="15"/>
        <v>29.397268920017076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</v>
      </c>
      <c r="DO42" s="13">
        <f>IF('Données projet'!$A$166&gt;35,DO41+DN42-DW41,IF(A42&lt;'Données projet'!$A$166,$DL$205^A42,IF(A42='Données projet'!$A$166,'Données projet'!$B$166,DO41+DN42-DW41)))</f>
        <v>143</v>
      </c>
      <c r="DP42" s="18">
        <f>DO42*VLOOKUP('Données projet'!$B$14,Paramètres!$A$1:$I$89,3,0)*VLOOKUP('Données projet'!$B$14,Paramètres!$A$1:$I$89,5,0)</f>
        <v>124.92480000000002</v>
      </c>
      <c r="DQ42" s="14">
        <f t="shared" si="43"/>
        <v>32.820925500842712</v>
      </c>
      <c r="DR42" s="22">
        <f t="shared" si="16"/>
        <v>274.74047191396772</v>
      </c>
      <c r="DS42" s="62">
        <f t="shared" si="17"/>
        <v>568.07380524730104</v>
      </c>
      <c r="DT42" s="62">
        <f ca="1">AVERAGE(OFFSET($DS$3,0,0,'Données projet'!$E$14+1,1))-AVERAGE(OFFSET($H$3,0,0,'Données projet'!$E$14+1,1))</f>
        <v>300.63505444445104</v>
      </c>
      <c r="DU42" s="62">
        <f t="shared" si="44"/>
        <v>266.32508105927997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2.9244532382715969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2.9244532382715969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11.4</v>
      </c>
      <c r="EJ42" s="13">
        <f>IF('Données projet'!$A$192&gt;35,EJ41+EI42-ER41,IF(A42&lt;'Données projet'!$A$192,$EG$205^A42,IF(A42='Données projet'!$A$192,'Données projet'!$B$192,EJ41+EI42-ER41)))</f>
        <v>216.6</v>
      </c>
      <c r="EK42" s="18">
        <f>EJ42*VLOOKUP('Données projet'!$B$15,Paramètres!$A$1:$I$89,3,0)*VLOOKUP('Données projet'!$B$15,Paramètres!$A$1:$I$89,5,0)</f>
        <v>172.32695999999999</v>
      </c>
      <c r="EL42" s="14">
        <f t="shared" si="45"/>
        <v>43.61077213808133</v>
      </c>
      <c r="EM42" s="22">
        <f t="shared" si="19"/>
        <v>376.09155014049156</v>
      </c>
      <c r="EN42" s="62">
        <f t="shared" si="20"/>
        <v>669.42488347382482</v>
      </c>
      <c r="EO42" s="62">
        <f ca="1">AVERAGE(OFFSET($EN$3,0,0,'Données projet'!$E$15+1,1))-AVERAGE(OFFSET($H$3,0,0,'Données projet'!$E$15+1,1))</f>
        <v>353.37024194969638</v>
      </c>
      <c r="EP42" s="62">
        <f t="shared" si="46"/>
        <v>345.4750813433123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17.928179024747472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17.928179024747472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7.8</v>
      </c>
      <c r="FE42" s="13">
        <f>IF('Données projet'!$A$218&gt;35,FE41+FD42-FM41,IF(A42&lt;'Données projet'!$A$218,$FB$205^A42,IF(A42='Données projet'!$A$218,'Données projet'!$B$218,FE41+FD42-FM41)))</f>
        <v>187.20000000000005</v>
      </c>
      <c r="FF42" s="18">
        <f>FE42*VLOOKUP('Données projet'!$B$16,Paramètres!$A$1:$I$89,3,0)*VLOOKUP('Données projet'!$B$16,Paramètres!$A$1:$I$89,5,0)</f>
        <v>122.65344000000002</v>
      </c>
      <c r="FG42" s="14">
        <f t="shared" si="47"/>
        <v>32.293080640759037</v>
      </c>
      <c r="FH42" s="22">
        <f t="shared" si="22"/>
        <v>269.8651901159887</v>
      </c>
      <c r="FI42" s="62">
        <f t="shared" si="23"/>
        <v>563.19852344932201</v>
      </c>
      <c r="FJ42" s="62">
        <f ca="1">AVERAGE(OFFSET($FI$3,0,0,'Données projet'!$E$16+1,1))-AVERAGE(OFFSET($H$3,0,0,'Données projet'!$E$16+1,1))</f>
        <v>263.30962868541337</v>
      </c>
      <c r="FK42" s="62">
        <f t="shared" si="48"/>
        <v>269.61868559913404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2.6374331514654012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2.6374331514654012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4.5262222222222226</v>
      </c>
      <c r="N43" s="14">
        <f>IF('Données projet'!$A$36&gt;35,N42+M43-V42,IF(A43&lt;'Données projet'!$A$36,$K$205^A43,IF(A43='Données projet'!$A$36,'Données projet'!$B$36,N42+M43-V42)))</f>
        <v>181.04888888888891</v>
      </c>
      <c r="O43" s="14">
        <f>N43*VLOOKUP('Données projet'!$B$9,Paramètres!$A$1:$I$89,3,0)*VLOOKUP('Données projet'!$B$9,Paramètres!$A$1:$I$89,5,0)</f>
        <v>108.26723555555559</v>
      </c>
      <c r="P43" s="14">
        <f t="shared" si="33"/>
        <v>28.922355259810484</v>
      </c>
      <c r="Q43" s="22">
        <f t="shared" si="53"/>
        <v>238.93853733676255</v>
      </c>
      <c r="R43" s="62">
        <f t="shared" si="0"/>
        <v>532.27187067009584</v>
      </c>
      <c r="S43" s="62">
        <f ca="1">AVERAGE(OFFSET($R$3,0,0,'Données projet'!$E$9+1,1))-AVERAGE(OFFSET($H$3,0,0,'Données projet'!$E$9+1,1))</f>
        <v>262.06511368698341</v>
      </c>
      <c r="T43" s="62">
        <f t="shared" si="34"/>
        <v>217.15709240080542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6.3325490196078427</v>
      </c>
      <c r="AI43" s="14">
        <f>IF('Données projet'!$A$62&gt;35,AI42+AH43-AQ42,IF(A43&lt;'Données projet'!$A$62,$AF$205^A43,IF(A43='Données projet'!$A$62,'Données projet'!$B$62,AI42+AH43-AQ42)))</f>
        <v>253.30196078431388</v>
      </c>
      <c r="AJ43" s="14">
        <f>AI43*VLOOKUP('Données projet'!$B$10,Paramètres!$A$1:$I$89,3,0)*VLOOKUP('Données projet'!$B$10,Paramètres!$A$1:$I$89,5,0)</f>
        <v>118.54531764705889</v>
      </c>
      <c r="AK43" s="14">
        <f t="shared" si="35"/>
        <v>31.335478067400494</v>
      </c>
      <c r="AL43" s="22">
        <f t="shared" si="4"/>
        <v>261.04238586935008</v>
      </c>
      <c r="AM43" s="62">
        <f t="shared" si="5"/>
        <v>554.3757192026834</v>
      </c>
      <c r="AN43" s="62">
        <f ca="1">AVERAGE(OFFSET($AM$3,0,0,'Données projet'!$E$10+1,1))-AVERAGE(OFFSET($H$3,0,0,'Données projet'!$E$10+1,1))</f>
        <v>287.83167869616227</v>
      </c>
      <c r="AO43" s="62">
        <f t="shared" si="36"/>
        <v>233.84231920589906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10.666666666666666</v>
      </c>
      <c r="BD43" s="13">
        <f>IF('Données projet'!$A$88&gt;35,BD42+BC43-BL42,IF(A43&lt;'Données projet'!$A$88,$BA$205^A43,IF(A43='Données projet'!$A$88,'Données projet'!$B$88,BD42+BC43-BL42)))</f>
        <v>232.66666666666669</v>
      </c>
      <c r="BE43" s="14">
        <f>BD43*VLOOKUP('Données projet'!$B$11,Paramètres!$A$1:$I$89,3,0)*VLOOKUP('Données projet'!$B$11,Paramètres!$A$1:$I$89,5,0)</f>
        <v>145.18400000000003</v>
      </c>
      <c r="BF43" s="14">
        <f t="shared" si="37"/>
        <v>37.4820623767272</v>
      </c>
      <c r="BG43" s="22">
        <f t="shared" si="7"/>
        <v>318.14339197279986</v>
      </c>
      <c r="BH43" s="62">
        <f t="shared" si="8"/>
        <v>611.47672530613318</v>
      </c>
      <c r="BI43" s="62">
        <f ca="1">AVERAGE(OFFSET($BH$3,0,0,'Données projet'!$E$11+1,1))-AVERAGE(OFFSET($H$3,0,0,'Données projet'!$E$11+1,1))</f>
        <v>262.36903350767881</v>
      </c>
      <c r="BJ43" s="62">
        <f t="shared" si="38"/>
        <v>331.21009482262417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24.38243319960235</v>
      </c>
      <c r="BQ43" s="23">
        <f>EXP(-LN(2)/25)*BQ42+(1-EXP(-LN(2)/25))/(LN(2)/25)*Calculateur!BL43*Calculateur!BN43*VLOOKUP('Données projet'!$B$11,Paramètres!$A$1:$I$89,3,0)*0.475*44/12</f>
        <v>30.683260878696114</v>
      </c>
      <c r="BR43" s="23">
        <f>EXP(-LN(2)/2)*BR42+(1-EXP(-LN(2)/2))/(LN(2)/2)*BL43*BO43*VLOOKUP('Données projet'!$B$11,Paramètres!$A$1:$I$89,3,0)*0.475*44/12</f>
        <v>2.4052626347666504</v>
      </c>
      <c r="BS43" s="24">
        <f t="shared" si="9"/>
        <v>57.470956713065114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3.887142857142857</v>
      </c>
      <c r="BY43" s="13">
        <f>IF('Données projet'!$A$114&gt;35,BY42+BX43-CG42,IF(A43&lt;'Données projet'!$A$114,$BV$205^A43,IF(A43='Données projet'!$A$114,'Données projet'!$B$114,BY42+BX43-CG42)))</f>
        <v>155.48571428571438</v>
      </c>
      <c r="BZ43" s="14">
        <f>BY43*VLOOKUP('Données projet'!$B$12,Paramètres!$A$1:$I$89,3,0)*VLOOKUP('Données projet'!$B$12,Paramètres!$A$1:$I$89,5,0)</f>
        <v>150.38578285714294</v>
      </c>
      <c r="CA43" s="14">
        <f t="shared" si="39"/>
        <v>38.666243049156442</v>
      </c>
      <c r="CB43" s="22">
        <f t="shared" si="10"/>
        <v>329.26561178680475</v>
      </c>
      <c r="CC43" s="62">
        <f t="shared" si="11"/>
        <v>622.59894512013807</v>
      </c>
      <c r="CD43" s="62">
        <f ca="1">AVERAGE(OFFSET($CC$3,0,0,'Données projet'!$E$12+1,1))-AVERAGE(OFFSET($H$3,0,0,'Données projet'!$E$12+1,1))</f>
        <v>618.83149423524605</v>
      </c>
      <c r="CE43" s="62">
        <f t="shared" si="40"/>
        <v>285.33582535802435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16.701250000000002</v>
      </c>
      <c r="CT43" s="13">
        <f>IF('Données projet'!$A$140&gt;35,CT42+CS43-DB42,IF(A43&lt;'Données projet'!$A$140,$CQ$205^A43,IF(A43='Données projet'!$A$140,'Données projet'!$B$140,CT42+CS43-DB42)))</f>
        <v>283.83875000000012</v>
      </c>
      <c r="CU43" s="18">
        <f>CT43*VLOOKUP('Données projet'!$B$13,Paramètres!$A$1:$I$89,3,0)*VLOOKUP('Données projet'!$B$13,Paramètres!$A$1:$I$89,5,0)</f>
        <v>169.73557250000007</v>
      </c>
      <c r="CV43" s="14">
        <f t="shared" si="41"/>
        <v>43.030795257249402</v>
      </c>
      <c r="CW43" s="22">
        <f t="shared" si="13"/>
        <v>370.56809051054279</v>
      </c>
      <c r="CX43" s="62">
        <f t="shared" si="14"/>
        <v>663.90142384387605</v>
      </c>
      <c r="CY43" s="62">
        <f ca="1">AVERAGE(OFFSET($CX$3,0,0,'Données projet'!$E$13+1,1))-AVERAGE(OFFSET($H$3,0,0,'Données projet'!$E$13+1,1))</f>
        <v>349.5718186624772</v>
      </c>
      <c r="CZ43" s="62">
        <f t="shared" si="42"/>
        <v>258.14152930815959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15.939411237665018</v>
      </c>
      <c r="DG43" s="23">
        <f>EXP(-LN(2)/25)*DG42+(1-EXP(-LN(2)/25))/(LN(2)/25)*Calculateur!DB43*Calculateur!DD43*VLOOKUP('Données projet'!$B$13,Paramètres!$A$1:$I$89,3,0)*0.475*44/12</f>
        <v>11.736019142955049</v>
      </c>
      <c r="DH43" s="23">
        <f>EXP(-LN(2)/2)*DH42+(1-EXP(-LN(2)/2))/(LN(2)/2)*DB43*DE43*VLOOKUP('Données projet'!$B$13,Paramètres!$A$1:$I$89,3,0)*0.475*44/12</f>
        <v>0.75878232407796975</v>
      </c>
      <c r="DI43" s="24">
        <f t="shared" si="15"/>
        <v>28.434212704698037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150</v>
      </c>
      <c r="DM43" s="13">
        <f>VLOOKUP(A43,'Données projet'!$A$165:$I$185,9,0)</f>
        <v>7</v>
      </c>
      <c r="DN43" s="13">
        <f t="array" ref="DN43">INDEX(DM:DM,MIN(IF(ISNUMBER(DM43:DM239),ROW(DM43:DM239),"")))</f>
        <v>7</v>
      </c>
      <c r="DO43" s="13">
        <f>IF('Données projet'!$A$166&gt;35,DO42+DN43-DW42,IF(A43&lt;'Données projet'!$A$166,$DL$205^A43,IF(A43='Données projet'!$A$166,'Données projet'!$B$166,DO42+DN43-DW42)))</f>
        <v>150</v>
      </c>
      <c r="DP43" s="18">
        <f>DO43*VLOOKUP('Données projet'!$B$14,Paramètres!$A$1:$I$89,3,0)*VLOOKUP('Données projet'!$B$14,Paramètres!$A$1:$I$89,5,0)</f>
        <v>131.04000000000002</v>
      </c>
      <c r="DQ43" s="14">
        <f t="shared" si="43"/>
        <v>34.236561238949918</v>
      </c>
      <c r="DR43" s="22">
        <f t="shared" si="16"/>
        <v>287.85667749117118</v>
      </c>
      <c r="DS43" s="62">
        <f t="shared" si="17"/>
        <v>581.1900108245045</v>
      </c>
      <c r="DT43" s="62">
        <f ca="1">AVERAGE(OFFSET($DS$3,0,0,'Données projet'!$E$14+1,1))-AVERAGE(OFFSET($H$3,0,0,'Données projet'!$E$14+1,1))</f>
        <v>300.63505444445104</v>
      </c>
      <c r="DU43" s="62">
        <f t="shared" si="44"/>
        <v>266.32508105927997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20</v>
      </c>
      <c r="DX43" s="17">
        <f>IF(ISNA(VLOOKUP(A43,'Données projet'!$A$165:$I$185,5,0)),0%,VLOOKUP(A43,'Données projet'!$A$165:$I$185,5,0)*VLOOKUP('Données projet'!$B$14,Paramètres!$A$1:$I$89,7,0))</f>
        <v>0.129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5.3587129167941985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5.3587129167941985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228</v>
      </c>
      <c r="EH43" s="13">
        <f>VLOOKUP(A43,'Données projet'!$A$191:$I$211,9,0)</f>
        <v>11.4</v>
      </c>
      <c r="EI43" s="13">
        <f t="array" ref="EI43">INDEX(EH:EH,MIN(IF(ISNUMBER(EH43:EH239),ROW(EH43:EH239),"")))</f>
        <v>11.4</v>
      </c>
      <c r="EJ43" s="13">
        <f>IF('Données projet'!$A$192&gt;35,EJ42+EI43-ER42,IF(A43&lt;'Données projet'!$A$192,$EG$205^A43,IF(A43='Données projet'!$A$192,'Données projet'!$B$192,EJ42+EI43-ER42)))</f>
        <v>228</v>
      </c>
      <c r="EK43" s="18">
        <f>EJ43*VLOOKUP('Données projet'!$B$15,Paramètres!$A$1:$I$89,3,0)*VLOOKUP('Données projet'!$B$15,Paramètres!$A$1:$I$89,5,0)</f>
        <v>181.39680000000001</v>
      </c>
      <c r="EL43" s="14">
        <f t="shared" si="45"/>
        <v>45.63280848550832</v>
      </c>
      <c r="EM43" s="22">
        <f t="shared" si="19"/>
        <v>395.40990144559368</v>
      </c>
      <c r="EN43" s="62">
        <f t="shared" si="20"/>
        <v>688.74323477892699</v>
      </c>
      <c r="EO43" s="62">
        <f ca="1">AVERAGE(OFFSET($EN$3,0,0,'Données projet'!$E$15+1,1))-AVERAGE(OFFSET($H$3,0,0,'Données projet'!$E$15+1,1))</f>
        <v>353.37024194969638</v>
      </c>
      <c r="EP43" s="62">
        <f t="shared" si="46"/>
        <v>345.4750813433123</v>
      </c>
      <c r="EQ43" s="16">
        <f>IF(ISNA(VLOOKUP(A43,'Données projet'!$A$191:$I$211,3,0)),0,VLOOKUP(A43,'Données projet'!$A$191:$I$211,3,0))</f>
        <v>7</v>
      </c>
      <c r="ER43" s="16">
        <f>IF(ISNA(VLOOKUP(A43,'Données projet'!$A$191:$I$211,4,0)),0,VLOOKUP(A43,'Données projet'!$A$191:$I$211,4,0))</f>
        <v>35</v>
      </c>
      <c r="ES43" s="17">
        <f>IF(ISNA(VLOOKUP(A43,'Données projet'!$A$191:$I$211,5,0)),0%,VLOOKUP(A43,'Données projet'!$A$191:$I$211,5,0)*VLOOKUP('Données projet'!$B$15,Paramètres!$A$1:$I$89,7,0))</f>
        <v>0.21200000000000002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24.102599145138228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24.102599145138228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195</v>
      </c>
      <c r="FC43" s="13">
        <f>VLOOKUP(A43,'Données projet'!$A$217:$I$237,9,0)</f>
        <v>7.8</v>
      </c>
      <c r="FD43" s="13">
        <f t="array" ref="FD43">INDEX(FC:FC,MIN(IF(ISNUMBER(FC43:FC239),ROW(FC43:FC239),"")))</f>
        <v>7.8</v>
      </c>
      <c r="FE43" s="13">
        <f>IF('Données projet'!$A$218&gt;35,FE42+FD43-FM42,IF(A43&lt;'Données projet'!$A$218,$FB$205^A43,IF(A43='Données projet'!$A$218,'Données projet'!$B$218,FE42+FD43-FM42)))</f>
        <v>195.00000000000006</v>
      </c>
      <c r="FF43" s="18">
        <f>FE43*VLOOKUP('Données projet'!$B$16,Paramètres!$A$1:$I$89,3,0)*VLOOKUP('Données projet'!$B$16,Paramètres!$A$1:$I$89,5,0)</f>
        <v>127.76400000000004</v>
      </c>
      <c r="FG43" s="14">
        <f t="shared" si="47"/>
        <v>33.479164830670079</v>
      </c>
      <c r="FH43" s="22">
        <f t="shared" si="22"/>
        <v>280.83184541341706</v>
      </c>
      <c r="FI43" s="62">
        <f t="shared" si="23"/>
        <v>574.16517874675037</v>
      </c>
      <c r="FJ43" s="62">
        <f ca="1">AVERAGE(OFFSET($FI$3,0,0,'Données projet'!$E$16+1,1))-AVERAGE(OFFSET($H$3,0,0,'Données projet'!$E$16+1,1))</f>
        <v>263.30962868541337</v>
      </c>
      <c r="FK43" s="62">
        <f t="shared" si="48"/>
        <v>269.61868559913404</v>
      </c>
      <c r="FL43" s="16">
        <f>IF(ISNA(VLOOKUP(A43,'Données projet'!$A$217:$I$237,3,0)),0,VLOOKUP(A43,'Données projet'!$A$217:$I$237,3,0))</f>
        <v>7</v>
      </c>
      <c r="FM43" s="16">
        <f>IF(ISNA(VLOOKUP(A43,'Données projet'!$A$217:$I$237,4,0)),0,VLOOKUP(A43,'Données projet'!$A$217:$I$237,4,0))</f>
        <v>25</v>
      </c>
      <c r="FN43" s="17">
        <f>IF(ISNA(VLOOKUP(A43,'Données projet'!$A$217:$I$237,5,0)),0%,VLOOKUP(A43,'Données projet'!$A$217:$I$237,5,0)*VLOOKUP('Données projet'!$B$16,Paramètres!$A$1:$I$89,7,0))</f>
        <v>0.129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4.9215957174012583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4.9215957174012583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4.5262222222222226</v>
      </c>
      <c r="N44" s="14">
        <f>IF('Données projet'!$A$36&gt;35,N43+M44-V43,IF(A44&lt;'Données projet'!$A$36,$K$205^A44,IF(A44='Données projet'!$A$36,'Données projet'!$B$36,N43+M44-V43)))</f>
        <v>185.57511111111114</v>
      </c>
      <c r="O44" s="14">
        <f>N44*VLOOKUP('Données projet'!$B$9,Paramètres!$A$1:$I$89,3,0)*VLOOKUP('Données projet'!$B$9,Paramètres!$A$1:$I$89,5,0)</f>
        <v>110.97391644444447</v>
      </c>
      <c r="P44" s="14">
        <f t="shared" si="33"/>
        <v>29.560329031186455</v>
      </c>
      <c r="Q44" s="22">
        <f t="shared" si="53"/>
        <v>244.7638108700572</v>
      </c>
      <c r="R44" s="62">
        <f t="shared" si="0"/>
        <v>538.09714420339049</v>
      </c>
      <c r="S44" s="62">
        <f ca="1">AVERAGE(OFFSET($R$3,0,0,'Données projet'!$E$9+1,1))-AVERAGE(OFFSET($H$3,0,0,'Données projet'!$E$9+1,1))</f>
        <v>262.06511368698341</v>
      </c>
      <c r="T44" s="62">
        <f t="shared" si="34"/>
        <v>217.15709240080542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6.3325490196078427</v>
      </c>
      <c r="AI44" s="14">
        <f>IF('Données projet'!$A$62&gt;35,AI43+AH44-AQ43,IF(A44&lt;'Données projet'!$A$62,$AF$205^A44,IF(A44='Données projet'!$A$62,'Données projet'!$B$62,AI43+AH44-AQ43)))</f>
        <v>259.63450980392173</v>
      </c>
      <c r="AJ44" s="14">
        <f>AI44*VLOOKUP('Données projet'!$B$10,Paramètres!$A$1:$I$89,3,0)*VLOOKUP('Données projet'!$B$10,Paramètres!$A$1:$I$89,5,0)</f>
        <v>121.50895058823538</v>
      </c>
      <c r="AK44" s="14">
        <f t="shared" si="35"/>
        <v>32.026680873705374</v>
      </c>
      <c r="AL44" s="22">
        <f t="shared" si="4"/>
        <v>267.40789146288012</v>
      </c>
      <c r="AM44" s="62">
        <f t="shared" si="5"/>
        <v>560.74122479621337</v>
      </c>
      <c r="AN44" s="62">
        <f ca="1">AVERAGE(OFFSET($AM$3,0,0,'Données projet'!$E$10+1,1))-AVERAGE(OFFSET($H$3,0,0,'Données projet'!$E$10+1,1))</f>
        <v>287.83167869616227</v>
      </c>
      <c r="AO44" s="62">
        <f t="shared" si="36"/>
        <v>233.84231920589906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10.666666666666666</v>
      </c>
      <c r="BD44" s="13">
        <f>IF('Données projet'!$A$88&gt;35,BD43+BC44-BL43,IF(A44&lt;'Données projet'!$A$88,$BA$205^A44,IF(A44='Données projet'!$A$88,'Données projet'!$B$88,BD43+BC44-BL43)))</f>
        <v>243.33333333333334</v>
      </c>
      <c r="BE44" s="14">
        <f>BD44*VLOOKUP('Données projet'!$B$11,Paramètres!$A$1:$I$89,3,0)*VLOOKUP('Données projet'!$B$11,Paramètres!$A$1:$I$89,5,0)</f>
        <v>151.84</v>
      </c>
      <c r="BF44" s="14">
        <f t="shared" si="37"/>
        <v>38.996435054152862</v>
      </c>
      <c r="BG44" s="22">
        <f t="shared" si="7"/>
        <v>332.37345771931626</v>
      </c>
      <c r="BH44" s="62">
        <f t="shared" si="8"/>
        <v>625.70679105264958</v>
      </c>
      <c r="BI44" s="62">
        <f ca="1">AVERAGE(OFFSET($BH$3,0,0,'Données projet'!$E$11+1,1))-AVERAGE(OFFSET($H$3,0,0,'Données projet'!$E$11+1,1))</f>
        <v>262.36903350767881</v>
      </c>
      <c r="BJ44" s="62">
        <f t="shared" si="38"/>
        <v>331.21009482262417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23.90430855637393</v>
      </c>
      <c r="BQ44" s="23">
        <f>EXP(-LN(2)/25)*BQ43+(1-EXP(-LN(2)/25))/(LN(2)/25)*Calculateur!BL44*Calculateur!BN44*VLOOKUP('Données projet'!$B$11,Paramètres!$A$1:$I$89,3,0)*0.475*44/12</f>
        <v>29.844225496405606</v>
      </c>
      <c r="BR44" s="23">
        <f>EXP(-LN(2)/2)*BR43+(1-EXP(-LN(2)/2))/(LN(2)/2)*BL44*BO44*VLOOKUP('Données projet'!$B$11,Paramètres!$A$1:$I$89,3,0)*0.475*44/12</f>
        <v>1.7007775195781207</v>
      </c>
      <c r="BS44" s="24">
        <f t="shared" si="9"/>
        <v>55.449311572357651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3.887142857142857</v>
      </c>
      <c r="BY44" s="13">
        <f>IF('Données projet'!$A$114&gt;35,BY43+BX44-CG43,IF(A44&lt;'Données projet'!$A$114,$BV$205^A44,IF(A44='Données projet'!$A$114,'Données projet'!$B$114,BY43+BX44-CG43)))</f>
        <v>159.37285714285724</v>
      </c>
      <c r="BZ44" s="14">
        <f>BY44*VLOOKUP('Données projet'!$B$12,Paramètres!$A$1:$I$89,3,0)*VLOOKUP('Données projet'!$B$12,Paramètres!$A$1:$I$89,5,0)</f>
        <v>154.14542742857151</v>
      </c>
      <c r="CA44" s="14">
        <f t="shared" si="39"/>
        <v>39.519148999637181</v>
      </c>
      <c r="CB44" s="22">
        <f t="shared" si="10"/>
        <v>337.29913727913015</v>
      </c>
      <c r="CC44" s="62">
        <f t="shared" si="11"/>
        <v>630.63247061246352</v>
      </c>
      <c r="CD44" s="62">
        <f ca="1">AVERAGE(OFFSET($CC$3,0,0,'Données projet'!$E$12+1,1))-AVERAGE(OFFSET($H$3,0,0,'Données projet'!$E$12+1,1))</f>
        <v>618.83149423524605</v>
      </c>
      <c r="CE44" s="62">
        <f t="shared" si="40"/>
        <v>285.33582535802435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>
        <f>VLOOKUP(A44,'Données projet'!$A$139:$I$159,2,0)</f>
        <v>300.54000000000002</v>
      </c>
      <c r="CR44" s="13">
        <f>VLOOKUP(A44,'Données projet'!$A$139:$I$159,9,0)</f>
        <v>16.701250000000002</v>
      </c>
      <c r="CS44" s="13">
        <f t="array" ref="CS44">INDEX(CR:CR,MIN(IF(ISNUMBER(CR44:CR240),ROW(CR44:CR240),"")))</f>
        <v>16.701250000000002</v>
      </c>
      <c r="CT44" s="13">
        <f>IF('Données projet'!$A$140&gt;35,CT43+CS44-DB43,IF(A44&lt;'Données projet'!$A$140,$CQ$205^A44,IF(A44='Données projet'!$A$140,'Données projet'!$B$140,CT43+CS44-DB43)))</f>
        <v>300.54000000000013</v>
      </c>
      <c r="CU44" s="18">
        <f>CT44*VLOOKUP('Données projet'!$B$13,Paramètres!$A$1:$I$89,3,0)*VLOOKUP('Données projet'!$B$13,Paramètres!$A$1:$I$89,5,0)</f>
        <v>179.72292000000007</v>
      </c>
      <c r="CV44" s="14">
        <f t="shared" si="41"/>
        <v>45.260535445550182</v>
      </c>
      <c r="CW44" s="22">
        <f t="shared" si="13"/>
        <v>391.84618490100002</v>
      </c>
      <c r="CX44" s="62">
        <f t="shared" si="14"/>
        <v>685.17951823433327</v>
      </c>
      <c r="CY44" s="62">
        <f ca="1">AVERAGE(OFFSET($CX$3,0,0,'Données projet'!$E$13+1,1))-AVERAGE(OFFSET($H$3,0,0,'Données projet'!$E$13+1,1))</f>
        <v>349.5718186624772</v>
      </c>
      <c r="CZ44" s="62">
        <f t="shared" si="42"/>
        <v>258.14152930815959</v>
      </c>
      <c r="DA44" s="16">
        <f>IF(ISNA(VLOOKUP(A44,'Données projet'!$A$139:$I$159,3,0)),0,VLOOKUP(A44,'Données projet'!$A$139:$I$159,3,0))</f>
        <v>4</v>
      </c>
      <c r="DB44" s="16">
        <f>IF(ISNA(VLOOKUP(A44,'Données projet'!$A$139:$I$159,4,0)),0,VLOOKUP(A44,'Données projet'!$A$139:$I$159,4,0))</f>
        <v>72.13</v>
      </c>
      <c r="DC44" s="17">
        <f>IF(ISNA(VLOOKUP(A44,'Données projet'!$A$139:$I$159,5,0)),0%,VLOOKUP(A44,'Données projet'!$A$139:$I$159,5,0)*VLOOKUP('Données projet'!$B$13,Paramètres!$A$1:$I$89,7,0))</f>
        <v>0.27</v>
      </c>
      <c r="DD44" s="17">
        <f>IF(ISNA(VLOOKUP(A44,'Données projet'!$A$139:$I$159,6,0)),0%,VLOOKUP(A44,'Données projet'!$A$139:$I$159,6,0)*VLOOKUP('Données projet'!$B$13,Paramètres!$A$1:$I$89,7,0))</f>
        <v>9.9000000000000005E-2</v>
      </c>
      <c r="DE44" s="17">
        <f>IF(ISNA(VLOOKUP(A44,'Données projet'!$A$139:$I$159,7,0)),0%,VLOOKUP(A44,'Données projet'!$A$139:$I$159,7,0))</f>
        <v>0.18</v>
      </c>
      <c r="DF44" s="23">
        <f>EXP(-LN(2)/35)*DF43+(1-EXP(-LN(2)/35))/(LN(2)/35)*DB44*DC44*VLOOKUP('Données projet'!$B$13,Paramètres!$A$1:$I$89,3,0)*0.475*44/12</f>
        <v>31.076164410201379</v>
      </c>
      <c r="DG44" s="23">
        <f>EXP(-LN(2)/25)*DG43+(1-EXP(-LN(2)/25))/(LN(2)/25)*Calculateur!DB44*Calculateur!DD44*VLOOKUP('Données projet'!$B$13,Paramètres!$A$1:$I$89,3,0)*0.475*44/12</f>
        <v>17.057541752387984</v>
      </c>
      <c r="DH44" s="23">
        <f>EXP(-LN(2)/2)*DH43+(1-EXP(-LN(2)/2))/(LN(2)/2)*DB44*DE44*VLOOKUP('Données projet'!$B$13,Paramètres!$A$1:$I$89,3,0)*0.475*44/12</f>
        <v>9.3272745641996799</v>
      </c>
      <c r="DI44" s="24">
        <f t="shared" si="15"/>
        <v>57.460980726789046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6.4</v>
      </c>
      <c r="DO44" s="13">
        <f>IF('Données projet'!$A$166&gt;35,DO43+DN44-DW43,IF(A44&lt;'Données projet'!$A$166,$DL$205^A44,IF(A44='Données projet'!$A$166,'Données projet'!$B$166,DO43+DN44-DW43)))</f>
        <v>136.4</v>
      </c>
      <c r="DP44" s="18">
        <f>DO44*VLOOKUP('Données projet'!$B$14,Paramètres!$A$1:$I$89,3,0)*VLOOKUP('Données projet'!$B$14,Paramètres!$A$1:$I$89,5,0)</f>
        <v>119.15904000000003</v>
      </c>
      <c r="DQ44" s="14">
        <f t="shared" si="43"/>
        <v>31.478778976043767</v>
      </c>
      <c r="DR44" s="22">
        <f t="shared" si="16"/>
        <v>262.36086804994295</v>
      </c>
      <c r="DS44" s="62">
        <f t="shared" si="17"/>
        <v>555.69420138327632</v>
      </c>
      <c r="DT44" s="62">
        <f ca="1">AVERAGE(OFFSET($DS$3,0,0,'Données projet'!$E$14+1,1))-AVERAGE(OFFSET($H$3,0,0,'Données projet'!$E$14+1,1))</f>
        <v>300.63505444445104</v>
      </c>
      <c r="DU44" s="62">
        <f t="shared" si="44"/>
        <v>266.32508105927997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5.2536318249880063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5.2536318249880063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9.8000000000000007</v>
      </c>
      <c r="EJ44" s="13">
        <f>IF('Données projet'!$A$192&gt;35,EJ43+EI44-ER43,IF(A44&lt;'Données projet'!$A$192,$EG$205^A44,IF(A44='Données projet'!$A$192,'Données projet'!$B$192,EJ43+EI44-ER43)))</f>
        <v>202.8</v>
      </c>
      <c r="EK44" s="18">
        <f>EJ44*VLOOKUP('Données projet'!$B$15,Paramètres!$A$1:$I$89,3,0)*VLOOKUP('Données projet'!$B$15,Paramètres!$A$1:$I$89,5,0)</f>
        <v>161.34768000000003</v>
      </c>
      <c r="EL44" s="14">
        <f t="shared" si="45"/>
        <v>41.146339844316657</v>
      </c>
      <c r="EM44" s="22">
        <f t="shared" si="19"/>
        <v>352.6770845621848</v>
      </c>
      <c r="EN44" s="62">
        <f t="shared" si="20"/>
        <v>646.01041789551812</v>
      </c>
      <c r="EO44" s="62">
        <f ca="1">AVERAGE(OFFSET($EN$3,0,0,'Données projet'!$E$15+1,1))-AVERAGE(OFFSET($H$3,0,0,'Données projet'!$E$15+1,1))</f>
        <v>353.37024194969638</v>
      </c>
      <c r="EP44" s="62">
        <f t="shared" si="46"/>
        <v>345.4750813433123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23.629961877035928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23.629961877035928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7.4</v>
      </c>
      <c r="FE44" s="13">
        <f>IF('Données projet'!$A$218&gt;35,FE43+FD44-FM43,IF(A44&lt;'Données projet'!$A$218,$FB$205^A44,IF(A44='Données projet'!$A$218,'Données projet'!$B$218,FE43+FD44-FM43)))</f>
        <v>177.40000000000006</v>
      </c>
      <c r="FF44" s="18">
        <f>FE44*VLOOKUP('Données projet'!$B$16,Paramètres!$A$1:$I$89,3,0)*VLOOKUP('Données projet'!$B$16,Paramètres!$A$1:$I$89,5,0)</f>
        <v>116.23248000000004</v>
      </c>
      <c r="FG44" s="14">
        <f t="shared" si="47"/>
        <v>30.794662422308217</v>
      </c>
      <c r="FH44" s="22">
        <f t="shared" si="22"/>
        <v>256.07227305218686</v>
      </c>
      <c r="FI44" s="62">
        <f t="shared" si="23"/>
        <v>549.40560638552017</v>
      </c>
      <c r="FJ44" s="62">
        <f ca="1">AVERAGE(OFFSET($FI$3,0,0,'Données projet'!$E$16+1,1))-AVERAGE(OFFSET($H$3,0,0,'Données projet'!$E$16+1,1))</f>
        <v>263.30962868541337</v>
      </c>
      <c r="FK44" s="62">
        <f t="shared" si="48"/>
        <v>269.61868559913404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4.8250862272599964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4.8250862272599964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4.5262222222222226</v>
      </c>
      <c r="N45" s="14">
        <f>IF('Données projet'!$A$36&gt;35,N44+M45-V44,IF(A45&lt;'Données projet'!$A$36,$K$205^A45,IF(A45='Données projet'!$A$36,'Données projet'!$B$36,N44+M45-V44)))</f>
        <v>190.10133333333337</v>
      </c>
      <c r="O45" s="14">
        <f>N45*VLOOKUP('Données projet'!$B$9,Paramètres!$A$1:$I$89,3,0)*VLOOKUP('Données projet'!$B$9,Paramètres!$A$1:$I$89,5,0)</f>
        <v>113.68059733333337</v>
      </c>
      <c r="P45" s="14">
        <f t="shared" si="33"/>
        <v>30.196493958549215</v>
      </c>
      <c r="Q45" s="22">
        <f t="shared" si="53"/>
        <v>250.5859340000288</v>
      </c>
      <c r="R45" s="62">
        <f t="shared" si="0"/>
        <v>543.91926733336209</v>
      </c>
      <c r="S45" s="62">
        <f ca="1">AVERAGE(OFFSET($R$3,0,0,'Données projet'!$E$9+1,1))-AVERAGE(OFFSET($H$3,0,0,'Données projet'!$E$9+1,1))</f>
        <v>262.06511368698341</v>
      </c>
      <c r="T45" s="62">
        <f t="shared" si="34"/>
        <v>217.15709240080542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6.3325490196078427</v>
      </c>
      <c r="AI45" s="14">
        <f>IF('Données projet'!$A$62&gt;35,AI44+AH45-AQ44,IF(A45&lt;'Données projet'!$A$62,$AF$205^A45,IF(A45='Données projet'!$A$62,'Données projet'!$B$62,AI44+AH45-AQ44)))</f>
        <v>265.96705882352956</v>
      </c>
      <c r="AJ45" s="14">
        <f>AI45*VLOOKUP('Données projet'!$B$10,Paramètres!$A$1:$I$89,3,0)*VLOOKUP('Données projet'!$B$10,Paramètres!$A$1:$I$89,5,0)</f>
        <v>124.47258352941184</v>
      </c>
      <c r="AK45" s="14">
        <f t="shared" si="35"/>
        <v>32.715923915966371</v>
      </c>
      <c r="AL45" s="22">
        <f t="shared" si="4"/>
        <v>273.76998380070035</v>
      </c>
      <c r="AM45" s="62">
        <f t="shared" si="5"/>
        <v>567.10331713403366</v>
      </c>
      <c r="AN45" s="62">
        <f ca="1">AVERAGE(OFFSET($AM$3,0,0,'Données projet'!$E$10+1,1))-AVERAGE(OFFSET($H$3,0,0,'Données projet'!$E$10+1,1))</f>
        <v>287.83167869616227</v>
      </c>
      <c r="AO45" s="62">
        <f t="shared" si="36"/>
        <v>233.84231920589906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254</v>
      </c>
      <c r="BB45" s="13">
        <f>VLOOKUP(A45,'Données projet'!$A$87:$I$107,9,0)</f>
        <v>10.666666666666666</v>
      </c>
      <c r="BC45" s="13">
        <f t="array" ref="BC45">INDEX(BB:BB,MIN(IF(ISNUMBER(BB45:BB241),ROW(BB45:BB241),"")))</f>
        <v>10.666666666666666</v>
      </c>
      <c r="BD45" s="13">
        <f>IF('Données projet'!$A$88&gt;35,BD44+BC45-BL44,IF(A45&lt;'Données projet'!$A$88,$BA$205^A45,IF(A45='Données projet'!$A$88,'Données projet'!$B$88,BD44+BC45-BL44)))</f>
        <v>254</v>
      </c>
      <c r="BE45" s="14">
        <f>BD45*VLOOKUP('Données projet'!$B$11,Paramètres!$A$1:$I$89,3,0)*VLOOKUP('Données projet'!$B$11,Paramètres!$A$1:$I$89,5,0)</f>
        <v>158.49600000000001</v>
      </c>
      <c r="BF45" s="14">
        <f t="shared" si="37"/>
        <v>40.503097769376929</v>
      </c>
      <c r="BG45" s="22">
        <f t="shared" si="7"/>
        <v>346.59009528166484</v>
      </c>
      <c r="BH45" s="62">
        <f t="shared" si="8"/>
        <v>639.9234286149981</v>
      </c>
      <c r="BI45" s="62">
        <f ca="1">AVERAGE(OFFSET($BH$3,0,0,'Données projet'!$E$11+1,1))-AVERAGE(OFFSET($H$3,0,0,'Données projet'!$E$11+1,1))</f>
        <v>262.36903350767881</v>
      </c>
      <c r="BJ45" s="62">
        <f t="shared" si="38"/>
        <v>331.21009482262417</v>
      </c>
      <c r="BK45" s="16">
        <f>IF(ISNA(VLOOKUP(A45,'Données projet'!$A$87:$I$107,3,0)),0,VLOOKUP(A45,'Données projet'!$A$87:$I$107,3,0))</f>
        <v>6</v>
      </c>
      <c r="BL45" s="16">
        <f>IF(ISNA(VLOOKUP(A45,'Données projet'!$A$87:$I$107,4,0)),0,VLOOKUP(A45,'Données projet'!$A$87:$I$107,4,0))</f>
        <v>42</v>
      </c>
      <c r="BM45" s="17">
        <f>IF(ISNA(VLOOKUP(A45,'Données projet'!$A$87:$I$107,5,0)),0%,VLOOKUP(A45,'Données projet'!$A$87:$I$107,5,0)*VLOOKUP('Données projet'!$B$11,Paramètres!$A$1:$I$89,7,0))</f>
        <v>0.36</v>
      </c>
      <c r="BN45" s="17">
        <f>IF(ISNA(VLOOKUP(A45,'Données projet'!$A$87:$I$107,6,0)),0%,VLOOKUP(A45,'Données projet'!$A$87:$I$107,6,0)*VLOOKUP('Données projet'!$B$11,Paramètres!$A$1:$I$89,7,0))</f>
        <v>0.13200000000000001</v>
      </c>
      <c r="BO45" s="17">
        <f>IF(ISNA(VLOOKUP(A45,'Données projet'!$A$87:$I$107,7,0)),0%,VLOOKUP(A45,'Données projet'!$A$87:$I$107,7,0))</f>
        <v>0.18</v>
      </c>
      <c r="BP45" s="23">
        <f>EXP(-LN(2)/35)*BP44+(1-EXP(-LN(2)/35))/(LN(2)/35)*BL45*BM45*VLOOKUP('Données projet'!$B$11,Paramètres!$A$1:$I$89,3,0)*0.475*44/12</f>
        <v>35.95153609510939</v>
      </c>
      <c r="BQ45" s="23">
        <f>EXP(-LN(2)/25)*BQ44+(1-EXP(-LN(2)/25))/(LN(2)/25)*Calculateur!BL45*Calculateur!BN45*VLOOKUP('Données projet'!$B$11,Paramètres!$A$1:$I$89,3,0)*0.475*44/12</f>
        <v>33.599255550501788</v>
      </c>
      <c r="BR45" s="23">
        <f>EXP(-LN(2)/2)*BR44+(1-EXP(-LN(2)/2))/(LN(2)/2)*BL45*BO45*VLOOKUP('Données projet'!$B$11,Paramètres!$A$1:$I$89,3,0)*0.475*44/12</f>
        <v>6.5438692470265769</v>
      </c>
      <c r="BS45" s="24">
        <f t="shared" si="9"/>
        <v>76.094660892637762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163.26</v>
      </c>
      <c r="BW45" s="13">
        <f>VLOOKUP(A45,'Données projet'!$A$113:$I$133,9,0)</f>
        <v>3.887142857142857</v>
      </c>
      <c r="BX45" s="13">
        <f t="array" ref="BX45">INDEX(BW:BW,MIN(IF(ISNUMBER(BW45:BW241),ROW(BW45:BW241),"")))</f>
        <v>3.887142857142857</v>
      </c>
      <c r="BY45" s="13">
        <f>IF('Données projet'!$A$114&gt;35,BY44+BX45-CG44,IF(A45&lt;'Données projet'!$A$114,$BV$205^A45,IF(A45='Données projet'!$A$114,'Données projet'!$B$114,BY44+BX45-CG44)))</f>
        <v>163.2600000000001</v>
      </c>
      <c r="BZ45" s="14">
        <f>BY45*VLOOKUP('Données projet'!$B$12,Paramètres!$A$1:$I$89,3,0)*VLOOKUP('Données projet'!$B$12,Paramètres!$A$1:$I$89,5,0)</f>
        <v>157.9050720000001</v>
      </c>
      <c r="CA45" s="14">
        <f t="shared" si="39"/>
        <v>40.369636709915028</v>
      </c>
      <c r="CB45" s="22">
        <f t="shared" si="10"/>
        <v>345.32845100310215</v>
      </c>
      <c r="CC45" s="62">
        <f t="shared" si="11"/>
        <v>638.6617843364354</v>
      </c>
      <c r="CD45" s="62">
        <f ca="1">AVERAGE(OFFSET($CC$3,0,0,'Données projet'!$E$12+1,1))-AVERAGE(OFFSET($H$3,0,0,'Données projet'!$E$12+1,1))</f>
        <v>618.83149423524605</v>
      </c>
      <c r="CE45" s="62">
        <f t="shared" si="40"/>
        <v>285.33582535802435</v>
      </c>
      <c r="CF45" s="16">
        <f>IF(ISNA(VLOOKUP(A45,'Données projet'!$A$113:$I$133,3,0)),0,VLOOKUP(A45,'Données projet'!$A$113:$I$133,3,0))</f>
        <v>1</v>
      </c>
      <c r="CG45" s="16">
        <f>IF(ISNA(VLOOKUP(A45,'Données projet'!$A$113:$I$133,4,0)),0,VLOOKUP(A45,'Données projet'!$A$113:$I$133,4,0))</f>
        <v>43.21</v>
      </c>
      <c r="CH45" s="17">
        <f>IF(ISNA(VLOOKUP(A45,'Données projet'!$A$113:$I$133,5,0)),0%,VLOOKUP(A45,'Données projet'!$A$113:$I$133,5,0)*VLOOKUP('Données projet'!$B$12,Paramètres!$A$1:$I$89,7,0))</f>
        <v>8.6000000000000007E-2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3.9732520468862105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3.9732520468862105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15.725555555555552</v>
      </c>
      <c r="CT45" s="13">
        <f>IF('Données projet'!$A$140&gt;35,CT44+CS45-DB44,IF(A45&lt;'Données projet'!$A$140,$CQ$205^A45,IF(A45='Données projet'!$A$140,'Données projet'!$B$140,CT44+CS45-DB44)))</f>
        <v>244.1355555555557</v>
      </c>
      <c r="CU45" s="18">
        <f>CT45*VLOOKUP('Données projet'!$B$13,Paramètres!$A$1:$I$89,3,0)*VLOOKUP('Données projet'!$B$13,Paramètres!$A$1:$I$89,5,0)</f>
        <v>145.99306222222231</v>
      </c>
      <c r="CV45" s="14">
        <f t="shared" si="41"/>
        <v>37.666564668799332</v>
      </c>
      <c r="CW45" s="22">
        <f t="shared" si="13"/>
        <v>319.87385016852937</v>
      </c>
      <c r="CX45" s="62">
        <f t="shared" si="14"/>
        <v>613.20718350186269</v>
      </c>
      <c r="CY45" s="62">
        <f ca="1">AVERAGE(OFFSET($CX$3,0,0,'Données projet'!$E$13+1,1))-AVERAGE(OFFSET($H$3,0,0,'Données projet'!$E$13+1,1))</f>
        <v>349.5718186624772</v>
      </c>
      <c r="CZ45" s="62">
        <f t="shared" si="42"/>
        <v>258.14152930815959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30.466779780706009</v>
      </c>
      <c r="DG45" s="23">
        <f>EXP(-LN(2)/25)*DG44+(1-EXP(-LN(2)/25))/(LN(2)/25)*Calculateur!DB45*Calculateur!DD45*VLOOKUP('Données projet'!$B$13,Paramètres!$A$1:$I$89,3,0)*0.475*44/12</f>
        <v>16.591102376151799</v>
      </c>
      <c r="DH45" s="23">
        <f>EXP(-LN(2)/2)*DH44+(1-EXP(-LN(2)/2))/(LN(2)/2)*DB45*DE45*VLOOKUP('Données projet'!$B$13,Paramètres!$A$1:$I$89,3,0)*0.475*44/12</f>
        <v>6.595379094334394</v>
      </c>
      <c r="DI45" s="24">
        <f t="shared" si="15"/>
        <v>53.653261251192205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6.4</v>
      </c>
      <c r="DO45" s="13">
        <f>IF('Données projet'!$A$166&gt;35,DO44+DN45-DW44,IF(A45&lt;'Données projet'!$A$166,$DL$205^A45,IF(A45='Données projet'!$A$166,'Données projet'!$B$166,DO44+DN45-DW44)))</f>
        <v>142.80000000000001</v>
      </c>
      <c r="DP45" s="18">
        <f>DO45*VLOOKUP('Données projet'!$B$14,Paramètres!$A$1:$I$89,3,0)*VLOOKUP('Données projet'!$B$14,Paramètres!$A$1:$I$89,5,0)</f>
        <v>124.75008000000003</v>
      </c>
      <c r="DQ45" s="14">
        <f t="shared" si="43"/>
        <v>32.780361960132396</v>
      </c>
      <c r="DR45" s="22">
        <f t="shared" si="16"/>
        <v>274.36551974723062</v>
      </c>
      <c r="DS45" s="62">
        <f t="shared" si="17"/>
        <v>567.69885308056394</v>
      </c>
      <c r="DT45" s="62">
        <f ca="1">AVERAGE(OFFSET($DS$3,0,0,'Données projet'!$E$14+1,1))-AVERAGE(OFFSET($H$3,0,0,'Données projet'!$E$14+1,1))</f>
        <v>300.63505444445104</v>
      </c>
      <c r="DU45" s="62">
        <f t="shared" si="44"/>
        <v>266.32508105927997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5.1506113092989967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5.1506113092989967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9.8000000000000007</v>
      </c>
      <c r="EJ45" s="13">
        <f>IF('Données projet'!$A$192&gt;35,EJ44+EI45-ER44,IF(A45&lt;'Données projet'!$A$192,$EG$205^A45,IF(A45='Données projet'!$A$192,'Données projet'!$B$192,EJ44+EI45-ER44)))</f>
        <v>212.60000000000002</v>
      </c>
      <c r="EK45" s="18">
        <f>EJ45*VLOOKUP('Données projet'!$B$15,Paramètres!$A$1:$I$89,3,0)*VLOOKUP('Données projet'!$B$15,Paramètres!$A$1:$I$89,5,0)</f>
        <v>169.14456000000004</v>
      </c>
      <c r="EL45" s="14">
        <f t="shared" si="45"/>
        <v>42.898377267189964</v>
      </c>
      <c r="EM45" s="22">
        <f t="shared" si="19"/>
        <v>369.30811574035596</v>
      </c>
      <c r="EN45" s="62">
        <f t="shared" si="20"/>
        <v>662.64144907368927</v>
      </c>
      <c r="EO45" s="62">
        <f ca="1">AVERAGE(OFFSET($EN$3,0,0,'Données projet'!$E$15+1,1))-AVERAGE(OFFSET($H$3,0,0,'Données projet'!$E$15+1,1))</f>
        <v>353.37024194969638</v>
      </c>
      <c r="EP45" s="62">
        <f t="shared" si="46"/>
        <v>345.4750813433123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23.166592737480848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23.166592737480848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7.4</v>
      </c>
      <c r="FE45" s="13">
        <f>IF('Données projet'!$A$218&gt;35,FE44+FD45-FM44,IF(A45&lt;'Données projet'!$A$218,$FB$205^A45,IF(A45='Données projet'!$A$218,'Données projet'!$B$218,FE44+FD45-FM44)))</f>
        <v>184.80000000000007</v>
      </c>
      <c r="FF45" s="18">
        <f>FE45*VLOOKUP('Données projet'!$B$16,Paramètres!$A$1:$I$89,3,0)*VLOOKUP('Données projet'!$B$16,Paramètres!$A$1:$I$89,5,0)</f>
        <v>121.08096000000005</v>
      </c>
      <c r="FG45" s="14">
        <f t="shared" si="47"/>
        <v>31.92698372788707</v>
      </c>
      <c r="FH45" s="22">
        <f t="shared" si="22"/>
        <v>266.48883532607005</v>
      </c>
      <c r="FI45" s="62">
        <f t="shared" si="23"/>
        <v>559.82216865940336</v>
      </c>
      <c r="FJ45" s="62">
        <f ca="1">AVERAGE(OFFSET($FI$3,0,0,'Données projet'!$E$16+1,1))-AVERAGE(OFFSET($H$3,0,0,'Données projet'!$E$16+1,1))</f>
        <v>263.30962868541337</v>
      </c>
      <c r="FK45" s="62">
        <f t="shared" si="48"/>
        <v>269.61868559913404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4.7304692293554282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4.7304692293554282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4.5262222222222226</v>
      </c>
      <c r="N46" s="14">
        <f>IF('Données projet'!$A$36&gt;35,N45+M46-V45,IF(A46&lt;'Données projet'!$A$36,$K$205^A46,IF(A46='Données projet'!$A$36,'Données projet'!$B$36,N45+M46-V45)))</f>
        <v>194.6275555555556</v>
      </c>
      <c r="O46" s="14">
        <f>N46*VLOOKUP('Données projet'!$B$9,Paramètres!$A$1:$I$89,3,0)*VLOOKUP('Données projet'!$B$9,Paramètres!$A$1:$I$89,5,0)</f>
        <v>116.38727822222226</v>
      </c>
      <c r="P46" s="14">
        <f t="shared" si="33"/>
        <v>30.830898065304599</v>
      </c>
      <c r="Q46" s="22">
        <f t="shared" si="53"/>
        <v>256.40499036744262</v>
      </c>
      <c r="R46" s="62">
        <f t="shared" si="0"/>
        <v>549.73832370077594</v>
      </c>
      <c r="S46" s="62">
        <f ca="1">AVERAGE(OFFSET($R$3,0,0,'Données projet'!$E$9+1,1))-AVERAGE(OFFSET($H$3,0,0,'Données projet'!$E$9+1,1))</f>
        <v>262.06511368698341</v>
      </c>
      <c r="T46" s="62">
        <f t="shared" si="34"/>
        <v>217.15709240080542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6.3325490196078427</v>
      </c>
      <c r="AI46" s="14">
        <f>IF('Données projet'!$A$62&gt;35,AI45+AH46-AQ45,IF(A46&lt;'Données projet'!$A$62,$AF$205^A46,IF(A46='Données projet'!$A$62,'Données projet'!$B$62,AI45+AH46-AQ45)))</f>
        <v>272.29960784313738</v>
      </c>
      <c r="AJ46" s="14">
        <f>AI46*VLOOKUP('Données projet'!$B$10,Paramètres!$A$1:$I$89,3,0)*VLOOKUP('Données projet'!$B$10,Paramètres!$A$1:$I$89,5,0)</f>
        <v>127.43621647058829</v>
      </c>
      <c r="AK46" s="14">
        <f t="shared" si="35"/>
        <v>33.403259224399079</v>
      </c>
      <c r="AL46" s="22">
        <f t="shared" si="4"/>
        <v>280.12875350210294</v>
      </c>
      <c r="AM46" s="62">
        <f t="shared" si="5"/>
        <v>573.46208683543625</v>
      </c>
      <c r="AN46" s="62">
        <f ca="1">AVERAGE(OFFSET($AM$3,0,0,'Données projet'!$E$10+1,1))-AVERAGE(OFFSET($H$3,0,0,'Données projet'!$E$10+1,1))</f>
        <v>287.83167869616227</v>
      </c>
      <c r="AO46" s="62">
        <f t="shared" si="36"/>
        <v>233.84231920589906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</v>
      </c>
      <c r="BD46" s="13">
        <f>IF('Données projet'!$A$88&gt;35,BD45+BC46-BL45,IF(A46&lt;'Données projet'!$A$88,$BA$205^A46,IF(A46='Données projet'!$A$88,'Données projet'!$B$88,BD45+BC46-BL45)))</f>
        <v>222</v>
      </c>
      <c r="BE46" s="14">
        <f>BD46*VLOOKUP('Données projet'!$B$11,Paramètres!$A$1:$I$89,3,0)*VLOOKUP('Données projet'!$B$11,Paramètres!$A$1:$I$89,5,0)</f>
        <v>138.52800000000002</v>
      </c>
      <c r="BF46" s="14">
        <f t="shared" si="37"/>
        <v>35.959583801423804</v>
      </c>
      <c r="BG46" s="22">
        <f t="shared" si="7"/>
        <v>303.8992084541465</v>
      </c>
      <c r="BH46" s="62">
        <f t="shared" si="8"/>
        <v>597.23254178747982</v>
      </c>
      <c r="BI46" s="62">
        <f ca="1">AVERAGE(OFFSET($BH$3,0,0,'Données projet'!$E$11+1,1))-AVERAGE(OFFSET($H$3,0,0,'Données projet'!$E$11+1,1))</f>
        <v>262.36903350767881</v>
      </c>
      <c r="BJ46" s="62">
        <f t="shared" si="38"/>
        <v>331.21009482262417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35.246548400556073</v>
      </c>
      <c r="BQ46" s="23">
        <f>EXP(-LN(2)/25)*BQ45+(1-EXP(-LN(2)/25))/(LN(2)/25)*Calculateur!BL46*Calculateur!BN46*VLOOKUP('Données projet'!$B$11,Paramètres!$A$1:$I$89,3,0)*0.475*44/12</f>
        <v>32.68048214056526</v>
      </c>
      <c r="BR46" s="23">
        <f>EXP(-LN(2)/2)*BR45+(1-EXP(-LN(2)/2))/(LN(2)/2)*BL46*BO46*VLOOKUP('Données projet'!$B$11,Paramètres!$A$1:$I$89,3,0)*0.475*44/12</f>
        <v>4.6272143197705997</v>
      </c>
      <c r="BS46" s="24">
        <f t="shared" si="9"/>
        <v>72.554244860891927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9.3712500000000034</v>
      </c>
      <c r="BY46" s="13">
        <f>IF('Données projet'!$A$114&gt;35,BY45+BX46-CG45,IF(A46&lt;'Données projet'!$A$114,$BV$205^A46,IF(A46='Données projet'!$A$114,'Données projet'!$B$114,BY45+BX46-CG45)))</f>
        <v>129.4212500000001</v>
      </c>
      <c r="BZ46" s="14">
        <f>BY46*VLOOKUP('Données projet'!$B$12,Paramètres!$A$1:$I$89,3,0)*VLOOKUP('Données projet'!$B$12,Paramètres!$A$1:$I$89,5,0)</f>
        <v>125.1762330000001</v>
      </c>
      <c r="CA46" s="14">
        <f t="shared" si="39"/>
        <v>32.879287385479394</v>
      </c>
      <c r="CB46" s="22">
        <f t="shared" si="10"/>
        <v>275.28003133804344</v>
      </c>
      <c r="CC46" s="62">
        <f t="shared" si="11"/>
        <v>568.61336467137676</v>
      </c>
      <c r="CD46" s="62">
        <f ca="1">AVERAGE(OFFSET($CC$3,0,0,'Données projet'!$E$12+1,1))-AVERAGE(OFFSET($H$3,0,0,'Données projet'!$E$12+1,1))</f>
        <v>618.83149423524605</v>
      </c>
      <c r="CE46" s="62">
        <f t="shared" si="40"/>
        <v>285.33582535802435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3.8953389976912254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3.8953389976912254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15.725555555555552</v>
      </c>
      <c r="CT46" s="13">
        <f>IF('Données projet'!$A$140&gt;35,CT45+CS46-DB45,IF(A46&lt;'Données projet'!$A$140,$CQ$205^A46,IF(A46='Données projet'!$A$140,'Données projet'!$B$140,CT45+CS46-DB45)))</f>
        <v>259.86111111111126</v>
      </c>
      <c r="CU46" s="18">
        <f>CT46*VLOOKUP('Données projet'!$B$13,Paramètres!$A$1:$I$89,3,0)*VLOOKUP('Données projet'!$B$13,Paramètres!$A$1:$I$89,5,0)</f>
        <v>155.39694444444453</v>
      </c>
      <c r="CV46" s="14">
        <f t="shared" si="41"/>
        <v>39.802526102363792</v>
      </c>
      <c r="CW46" s="22">
        <f t="shared" si="13"/>
        <v>339.97241120235782</v>
      </c>
      <c r="CX46" s="62">
        <f t="shared" si="14"/>
        <v>633.30574453569113</v>
      </c>
      <c r="CY46" s="62">
        <f ca="1">AVERAGE(OFFSET($CX$3,0,0,'Données projet'!$E$13+1,1))-AVERAGE(OFFSET($H$3,0,0,'Données projet'!$E$13+1,1))</f>
        <v>349.5718186624772</v>
      </c>
      <c r="CZ46" s="62">
        <f t="shared" si="42"/>
        <v>258.14152930815959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29.869344812107123</v>
      </c>
      <c r="DG46" s="23">
        <f>EXP(-LN(2)/25)*DG45+(1-EXP(-LN(2)/25))/(LN(2)/25)*Calculateur!DB46*Calculateur!DD46*VLOOKUP('Données projet'!$B$13,Paramètres!$A$1:$I$89,3,0)*0.475*44/12</f>
        <v>16.137417809187774</v>
      </c>
      <c r="DH46" s="23">
        <f>EXP(-LN(2)/2)*DH45+(1-EXP(-LN(2)/2))/(LN(2)/2)*DB46*DE46*VLOOKUP('Données projet'!$B$13,Paramètres!$A$1:$I$89,3,0)*0.475*44/12</f>
        <v>4.6636372820998409</v>
      </c>
      <c r="DI46" s="24">
        <f t="shared" si="15"/>
        <v>50.670399903394738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6.4</v>
      </c>
      <c r="DO46" s="13">
        <f>IF('Données projet'!$A$166&gt;35,DO45+DN46-DW45,IF(A46&lt;'Données projet'!$A$166,$DL$205^A46,IF(A46='Données projet'!$A$166,'Données projet'!$B$166,DO45+DN46-DW45)))</f>
        <v>149.20000000000002</v>
      </c>
      <c r="DP46" s="18">
        <f>DO46*VLOOKUP('Données projet'!$B$14,Paramètres!$A$1:$I$89,3,0)*VLOOKUP('Données projet'!$B$14,Paramètres!$A$1:$I$89,5,0)</f>
        <v>130.34112000000005</v>
      </c>
      <c r="DQ46" s="14">
        <f t="shared" si="43"/>
        <v>34.075170122989917</v>
      </c>
      <c r="DR46" s="22">
        <f t="shared" si="16"/>
        <v>286.35837196420749</v>
      </c>
      <c r="DS46" s="62">
        <f t="shared" si="17"/>
        <v>579.69170529754081</v>
      </c>
      <c r="DT46" s="62">
        <f ca="1">AVERAGE(OFFSET($DS$3,0,0,'Données projet'!$E$14+1,1))-AVERAGE(OFFSET($H$3,0,0,'Données projet'!$E$14+1,1))</f>
        <v>300.63505444445104</v>
      </c>
      <c r="DU46" s="62">
        <f t="shared" si="44"/>
        <v>266.32508105927997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5.0496109630863382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5.0496109630863382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9.8000000000000007</v>
      </c>
      <c r="EJ46" s="13">
        <f>IF('Données projet'!$A$192&gt;35,EJ45+EI46-ER45,IF(A46&lt;'Données projet'!$A$192,$EG$205^A46,IF(A46='Données projet'!$A$192,'Données projet'!$B$192,EJ45+EI46-ER45)))</f>
        <v>222.40000000000003</v>
      </c>
      <c r="EK46" s="18">
        <f>EJ46*VLOOKUP('Données projet'!$B$15,Paramètres!$A$1:$I$89,3,0)*VLOOKUP('Données projet'!$B$15,Paramètres!$A$1:$I$89,5,0)</f>
        <v>176.94144000000003</v>
      </c>
      <c r="EL46" s="14">
        <f t="shared" si="45"/>
        <v>44.641035679901449</v>
      </c>
      <c r="EM46" s="22">
        <f t="shared" si="19"/>
        <v>385.92281180916171</v>
      </c>
      <c r="EN46" s="62">
        <f t="shared" si="20"/>
        <v>679.25614514249503</v>
      </c>
      <c r="EO46" s="62">
        <f ca="1">AVERAGE(OFFSET($EN$3,0,0,'Données projet'!$E$15+1,1))-AVERAGE(OFFSET($H$3,0,0,'Données projet'!$E$15+1,1))</f>
        <v>353.37024194969638</v>
      </c>
      <c r="EP46" s="62">
        <f t="shared" si="46"/>
        <v>345.4750813433123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22.712309984125174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22.712309984125174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7.4</v>
      </c>
      <c r="FE46" s="13">
        <f>IF('Données projet'!$A$218&gt;35,FE45+FD46-FM45,IF(A46&lt;'Données projet'!$A$218,$FB$205^A46,IF(A46='Données projet'!$A$218,'Données projet'!$B$218,FE45+FD46-FM45)))</f>
        <v>192.20000000000007</v>
      </c>
      <c r="FF46" s="18">
        <f>FE46*VLOOKUP('Données projet'!$B$16,Paramètres!$A$1:$I$89,3,0)*VLOOKUP('Données projet'!$B$16,Paramètres!$A$1:$I$89,5,0)</f>
        <v>125.92944000000006</v>
      </c>
      <c r="FG46" s="14">
        <f t="shared" si="47"/>
        <v>33.054038034052077</v>
      </c>
      <c r="FH46" s="22">
        <f t="shared" si="22"/>
        <v>276.89622424264081</v>
      </c>
      <c r="FI46" s="62">
        <f t="shared" si="23"/>
        <v>570.22955757597413</v>
      </c>
      <c r="FJ46" s="62">
        <f ca="1">AVERAGE(OFFSET($FI$3,0,0,'Données projet'!$E$16+1,1))-AVERAGE(OFFSET($H$3,0,0,'Données projet'!$E$16+1,1))</f>
        <v>263.30962868541337</v>
      </c>
      <c r="FK46" s="62">
        <f t="shared" si="48"/>
        <v>269.61868559913404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4.6377076130690984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4.6377076130690984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4.5262222222222226</v>
      </c>
      <c r="N47" s="14">
        <f>IF('Données projet'!$A$36&gt;35,N46+M47-V46,IF(A47&lt;'Données projet'!$A$36,$K$205^A47,IF(A47='Données projet'!$A$36,'Données projet'!$B$36,N46+M47-V46)))</f>
        <v>199.15377777777783</v>
      </c>
      <c r="O47" s="14">
        <f>N47*VLOOKUP('Données projet'!$B$9,Paramètres!$A$1:$I$89,3,0)*VLOOKUP('Données projet'!$B$9,Paramètres!$A$1:$I$89,5,0)</f>
        <v>119.09395911111116</v>
      </c>
      <c r="P47" s="14">
        <f t="shared" si="33"/>
        <v>31.463587013769192</v>
      </c>
      <c r="Q47" s="22">
        <f t="shared" si="53"/>
        <v>262.22105950083329</v>
      </c>
      <c r="R47" s="62">
        <f t="shared" si="0"/>
        <v>555.55439283416661</v>
      </c>
      <c r="S47" s="62">
        <f ca="1">AVERAGE(OFFSET($R$3,0,0,'Données projet'!$E$9+1,1))-AVERAGE(OFFSET($H$3,0,0,'Données projet'!$E$9+1,1))</f>
        <v>262.06511368698341</v>
      </c>
      <c r="T47" s="62">
        <f t="shared" si="34"/>
        <v>217.15709240080542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6.3325490196078427</v>
      </c>
      <c r="AI47" s="14">
        <f>IF('Données projet'!$A$62&gt;35,AI46+AH47-AQ46,IF(A47&lt;'Données projet'!$A$62,$AF$205^A47,IF(A47='Données projet'!$A$62,'Données projet'!$B$62,AI46+AH47-AQ46)))</f>
        <v>278.63215686274521</v>
      </c>
      <c r="AJ47" s="14">
        <f>AI47*VLOOKUP('Données projet'!$B$10,Paramètres!$A$1:$I$89,3,0)*VLOOKUP('Données projet'!$B$10,Paramètres!$A$1:$I$89,5,0)</f>
        <v>130.39984941176476</v>
      </c>
      <c r="AK47" s="14">
        <f t="shared" si="35"/>
        <v>34.088736271133541</v>
      </c>
      <c r="AL47" s="22">
        <f t="shared" si="4"/>
        <v>286.48428673104786</v>
      </c>
      <c r="AM47" s="62">
        <f t="shared" si="5"/>
        <v>579.81762006438112</v>
      </c>
      <c r="AN47" s="62">
        <f ca="1">AVERAGE(OFFSET($AM$3,0,0,'Données projet'!$E$10+1,1))-AVERAGE(OFFSET($H$3,0,0,'Données projet'!$E$10+1,1))</f>
        <v>287.83167869616227</v>
      </c>
      <c r="AO47" s="62">
        <f t="shared" si="36"/>
        <v>233.84231920589906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</v>
      </c>
      <c r="BD47" s="13">
        <f>IF('Données projet'!$A$88&gt;35,BD46+BC47-BL46,IF(A47&lt;'Données projet'!$A$88,$BA$205^A47,IF(A47='Données projet'!$A$88,'Données projet'!$B$88,BD46+BC47-BL46)))</f>
        <v>232</v>
      </c>
      <c r="BE47" s="14">
        <f>BD47*VLOOKUP('Données projet'!$B$11,Paramètres!$A$1:$I$89,3,0)*VLOOKUP('Données projet'!$B$11,Paramètres!$A$1:$I$89,5,0)</f>
        <v>144.768</v>
      </c>
      <c r="BF47" s="14">
        <f t="shared" si="37"/>
        <v>37.387149255707826</v>
      </c>
      <c r="BG47" s="22">
        <f t="shared" si="7"/>
        <v>317.25355162035777</v>
      </c>
      <c r="BH47" s="62">
        <f t="shared" si="8"/>
        <v>610.58688495369108</v>
      </c>
      <c r="BI47" s="62">
        <f ca="1">AVERAGE(OFFSET($BH$3,0,0,'Données projet'!$E$11+1,1))-AVERAGE(OFFSET($H$3,0,0,'Données projet'!$E$11+1,1))</f>
        <v>262.36903350767881</v>
      </c>
      <c r="BJ47" s="62">
        <f t="shared" si="38"/>
        <v>331.21009482262417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34.555385084692915</v>
      </c>
      <c r="BQ47" s="23">
        <f>EXP(-LN(2)/25)*BQ46+(1-EXP(-LN(2)/25))/(LN(2)/25)*Calculateur!BL47*Calculateur!BN47*VLOOKUP('Données projet'!$B$11,Paramètres!$A$1:$I$89,3,0)*0.475*44/12</f>
        <v>31.786832637839641</v>
      </c>
      <c r="BR47" s="23">
        <f>EXP(-LN(2)/2)*BR46+(1-EXP(-LN(2)/2))/(LN(2)/2)*BL47*BO47*VLOOKUP('Données projet'!$B$11,Paramètres!$A$1:$I$89,3,0)*0.475*44/12</f>
        <v>3.2719346235132889</v>
      </c>
      <c r="BS47" s="24">
        <f t="shared" si="9"/>
        <v>69.614152346045842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9.3712500000000034</v>
      </c>
      <c r="BY47" s="13">
        <f>IF('Données projet'!$A$114&gt;35,BY46+BX47-CG46,IF(A47&lt;'Données projet'!$A$114,$BV$205^A47,IF(A47='Données projet'!$A$114,'Données projet'!$B$114,BY46+BX47-CG46)))</f>
        <v>138.7925000000001</v>
      </c>
      <c r="BZ47" s="14">
        <f>BY47*VLOOKUP('Données projet'!$B$12,Paramètres!$A$1:$I$89,3,0)*VLOOKUP('Données projet'!$B$12,Paramètres!$A$1:$I$89,5,0)</f>
        <v>134.24010600000011</v>
      </c>
      <c r="CA47" s="14">
        <f t="shared" si="39"/>
        <v>34.974285679017981</v>
      </c>
      <c r="CB47" s="22">
        <f t="shared" si="10"/>
        <v>294.71506550762314</v>
      </c>
      <c r="CC47" s="62">
        <f t="shared" si="11"/>
        <v>588.04839884095645</v>
      </c>
      <c r="CD47" s="62">
        <f ca="1">AVERAGE(OFFSET($CC$3,0,0,'Données projet'!$E$12+1,1))-AVERAGE(OFFSET($H$3,0,0,'Données projet'!$E$12+1,1))</f>
        <v>618.83149423524605</v>
      </c>
      <c r="CE47" s="62">
        <f t="shared" si="40"/>
        <v>285.33582535802435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3.8189537758686862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3.8189537758686862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15.725555555555552</v>
      </c>
      <c r="CT47" s="13">
        <f>IF('Données projet'!$A$140&gt;35,CT46+CS47-DB46,IF(A47&lt;'Données projet'!$A$140,$CQ$205^A47,IF(A47='Données projet'!$A$140,'Données projet'!$B$140,CT46+CS47-DB46)))</f>
        <v>275.58666666666682</v>
      </c>
      <c r="CU47" s="18">
        <f>CT47*VLOOKUP('Données projet'!$B$13,Paramètres!$A$1:$I$89,3,0)*VLOOKUP('Données projet'!$B$13,Paramètres!$A$1:$I$89,5,0)</f>
        <v>164.80082666666678</v>
      </c>
      <c r="CV47" s="14">
        <f t="shared" si="41"/>
        <v>41.923485083367801</v>
      </c>
      <c r="CW47" s="22">
        <f t="shared" si="13"/>
        <v>360.04484296464358</v>
      </c>
      <c r="CX47" s="62">
        <f t="shared" si="14"/>
        <v>653.37817629797689</v>
      </c>
      <c r="CY47" s="62">
        <f ca="1">AVERAGE(OFFSET($CX$3,0,0,'Données projet'!$E$13+1,1))-AVERAGE(OFFSET($H$3,0,0,'Données projet'!$E$13+1,1))</f>
        <v>349.5718186624772</v>
      </c>
      <c r="CZ47" s="62">
        <f t="shared" si="42"/>
        <v>258.14152930815959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29.28362517884311</v>
      </c>
      <c r="DG47" s="23">
        <f>EXP(-LN(2)/25)*DG46+(1-EXP(-LN(2)/25))/(LN(2)/25)*Calculateur!DB47*Calculateur!DD47*VLOOKUP('Données projet'!$B$13,Paramètres!$A$1:$I$89,3,0)*0.475*44/12</f>
        <v>15.696139270565615</v>
      </c>
      <c r="DH47" s="23">
        <f>EXP(-LN(2)/2)*DH46+(1-EXP(-LN(2)/2))/(LN(2)/2)*DB47*DE47*VLOOKUP('Données projet'!$B$13,Paramètres!$A$1:$I$89,3,0)*0.475*44/12</f>
        <v>3.2976895471671974</v>
      </c>
      <c r="DI47" s="24">
        <f t="shared" si="15"/>
        <v>48.277453996575922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6.4</v>
      </c>
      <c r="DO47" s="13">
        <f>IF('Données projet'!$A$166&gt;35,DO46+DN47-DW46,IF(A47&lt;'Données projet'!$A$166,$DL$205^A47,IF(A47='Données projet'!$A$166,'Données projet'!$B$166,DO46+DN47-DW46)))</f>
        <v>155.60000000000002</v>
      </c>
      <c r="DP47" s="18">
        <f>DO47*VLOOKUP('Données projet'!$B$14,Paramètres!$A$1:$I$89,3,0)*VLOOKUP('Données projet'!$B$14,Paramètres!$A$1:$I$89,5,0)</f>
        <v>135.93216000000004</v>
      </c>
      <c r="DQ47" s="14">
        <f t="shared" si="43"/>
        <v>35.36352729450968</v>
      </c>
      <c r="DR47" s="22">
        <f t="shared" si="16"/>
        <v>298.33998870460442</v>
      </c>
      <c r="DS47" s="62">
        <f t="shared" si="17"/>
        <v>591.67332203793774</v>
      </c>
      <c r="DT47" s="62">
        <f ca="1">AVERAGE(OFFSET($DS$3,0,0,'Données projet'!$E$14+1,1))-AVERAGE(OFFSET($H$3,0,0,'Données projet'!$E$14+1,1))</f>
        <v>300.63505444445104</v>
      </c>
      <c r="DU47" s="62">
        <f t="shared" si="44"/>
        <v>266.32508105927997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4.9505911720587816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4.9505911720587816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9.8000000000000007</v>
      </c>
      <c r="EJ47" s="13">
        <f>IF('Données projet'!$A$192&gt;35,EJ46+EI47-ER46,IF(A47&lt;'Données projet'!$A$192,$EG$205^A47,IF(A47='Données projet'!$A$192,'Données projet'!$B$192,EJ46+EI47-ER46)))</f>
        <v>232.20000000000005</v>
      </c>
      <c r="EK47" s="18">
        <f>EJ47*VLOOKUP('Données projet'!$B$15,Paramètres!$A$1:$I$89,3,0)*VLOOKUP('Données projet'!$B$15,Paramètres!$A$1:$I$89,5,0)</f>
        <v>184.73832000000004</v>
      </c>
      <c r="EL47" s="14">
        <f t="shared" si="45"/>
        <v>46.374775595471988</v>
      </c>
      <c r="EM47" s="22">
        <f t="shared" si="19"/>
        <v>402.52197482878046</v>
      </c>
      <c r="EN47" s="62">
        <f t="shared" si="20"/>
        <v>695.85530816211372</v>
      </c>
      <c r="EO47" s="62">
        <f ca="1">AVERAGE(OFFSET($EN$3,0,0,'Données projet'!$E$15+1,1))-AVERAGE(OFFSET($H$3,0,0,'Données projet'!$E$15+1,1))</f>
        <v>353.37024194969638</v>
      </c>
      <c r="EP47" s="62">
        <f t="shared" si="46"/>
        <v>345.4750813433123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22.266935438477685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22.266935438477685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7.4</v>
      </c>
      <c r="FE47" s="13">
        <f>IF('Données projet'!$A$218&gt;35,FE46+FD47-FM46,IF(A47&lt;'Données projet'!$A$218,$FB$205^A47,IF(A47='Données projet'!$A$218,'Données projet'!$B$218,FE46+FD47-FM46)))</f>
        <v>199.60000000000008</v>
      </c>
      <c r="FF47" s="18">
        <f>FE47*VLOOKUP('Données projet'!$B$16,Paramètres!$A$1:$I$89,3,0)*VLOOKUP('Données projet'!$B$16,Paramètres!$A$1:$I$89,5,0)</f>
        <v>130.77792000000005</v>
      </c>
      <c r="FG47" s="14">
        <f t="shared" si="47"/>
        <v>34.176051340149542</v>
      </c>
      <c r="FH47" s="22">
        <f t="shared" si="22"/>
        <v>287.29483341742718</v>
      </c>
      <c r="FI47" s="62">
        <f t="shared" si="23"/>
        <v>580.62816675076056</v>
      </c>
      <c r="FJ47" s="62">
        <f ca="1">AVERAGE(OFFSET($FI$3,0,0,'Données projet'!$E$16+1,1))-AVERAGE(OFFSET($H$3,0,0,'Données projet'!$E$16+1,1))</f>
        <v>263.30962868541337</v>
      </c>
      <c r="FK47" s="62">
        <f t="shared" si="48"/>
        <v>269.61868559913404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4.546764995499144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4.546764995499144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203.68</v>
      </c>
      <c r="L48" s="13">
        <f>VLOOKUP(A48,'Données projet'!$A$35:$I$55,9,0)</f>
        <v>4.5262222222222226</v>
      </c>
      <c r="M48" s="13">
        <f t="array" ref="M48">INDEX(L:L,MIN(IF(ISNUMBER(L48:L244),ROW(L48:L244),"")))</f>
        <v>4.5262222222222226</v>
      </c>
      <c r="N48" s="14">
        <f>IF('Données projet'!$A$36&gt;35,N47+M48-V47,IF(A48&lt;'Données projet'!$A$36,$K$205^A48,IF(A48='Données projet'!$A$36,'Données projet'!$B$36,N47+M48-V47)))</f>
        <v>203.68000000000006</v>
      </c>
      <c r="O48" s="14">
        <f>N48*VLOOKUP('Données projet'!$B$9,Paramètres!$A$1:$I$89,3,0)*VLOOKUP('Données projet'!$B$9,Paramètres!$A$1:$I$89,5,0)</f>
        <v>121.80064000000004</v>
      </c>
      <c r="P48" s="14">
        <f t="shared" si="33"/>
        <v>32.09460427223668</v>
      </c>
      <c r="Q48" s="22">
        <f t="shared" si="53"/>
        <v>268.03421710747892</v>
      </c>
      <c r="R48" s="62">
        <f t="shared" si="0"/>
        <v>561.36755044081224</v>
      </c>
      <c r="S48" s="62">
        <f ca="1">AVERAGE(OFFSET($R$3,0,0,'Données projet'!$E$9+1,1))-AVERAGE(OFFSET($H$3,0,0,'Données projet'!$E$9+1,1))</f>
        <v>262.06511368698341</v>
      </c>
      <c r="T48" s="62">
        <f t="shared" si="34"/>
        <v>217.15709240080542</v>
      </c>
      <c r="U48" s="16">
        <f>IF(ISNA(VLOOKUP(A48,'Données projet'!$A$35:$I$55,3,0)),0,VLOOKUP(A48,'Données projet'!$A$35:$I$55,3,0))</f>
        <v>1</v>
      </c>
      <c r="V48" s="16">
        <f>IF(ISNA(VLOOKUP(A48,'Données projet'!$A$35:$I$55,4,0)),0,VLOOKUP(A48,'Données projet'!$A$35:$I$55,4,0))</f>
        <v>73.989999999999995</v>
      </c>
      <c r="W48" s="17">
        <f>IF(ISNA(VLOOKUP(A48,'Données projet'!$A$35:$I$55,5,0)),0%,VLOOKUP(A48,'Données projet'!$A$35:$I$55,5,0)*VLOOKUP('Données projet'!$B$9,Paramètres!$A$1:$I$89,7,0))</f>
        <v>0.18000000000000002</v>
      </c>
      <c r="X48" s="17">
        <f>IF(ISNA(VLOOKUP(A48,'Données projet'!$A$35:$I$55,6,0)),0%,VLOOKUP(A48,'Données projet'!$A$35:$I$55,6,0)*VLOOKUP('Données projet'!$B$9,Paramètres!$A$1:$I$89,7,0))</f>
        <v>0.15300000000000002</v>
      </c>
      <c r="Y48" s="17">
        <f>IF(ISNA(VLOOKUP(A48,'Données projet'!$A$35:$I$55,7,0)),0%,VLOOKUP(A48,'Données projet'!$A$35:$I$55,7,0))</f>
        <v>0.26</v>
      </c>
      <c r="Z48" s="23">
        <f>EXP(-LN(2)/35)*Z47+(1-EXP(-LN(2)/35))/(LN(2)/35)*V48*W48*VLOOKUP('Données projet'!$B$9,Paramètres!$A$1:$I$89,3,0)*0.475*44/12</f>
        <v>10.56513553680006</v>
      </c>
      <c r="AA48" s="23">
        <f>EXP(-LN(2)/25)*AA47+(1-EXP(-LN(2)/25))/(LN(2)/25)*Calculateur!V48*Calculateur!X48*VLOOKUP('Données projet'!$B$9,Paramètres!$A$1:$I$89,3,0)*0.475*44/12</f>
        <v>8.9450060866755194</v>
      </c>
      <c r="AB48" s="23">
        <f>EXP(-LN(2)/2)*AB47+(1-EXP(-LN(2)/2))/(LN(2)/2)*V48*Y48*VLOOKUP('Données projet'!$B$9,Paramètres!$A$1:$I$89,3,0)*0.475*44/12</f>
        <v>13.025160949060508</v>
      </c>
      <c r="AC48" s="24">
        <f t="shared" si="3"/>
        <v>32.535302572536089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6.3325490196078427</v>
      </c>
      <c r="AI48" s="14">
        <f>IF('Données projet'!$A$62&gt;35,AI47+AH48-AQ47,IF(A48&lt;'Données projet'!$A$62,$AF$205^A48,IF(A48='Données projet'!$A$62,'Données projet'!$B$62,AI47+AH48-AQ47)))</f>
        <v>284.96470588235303</v>
      </c>
      <c r="AJ48" s="14">
        <f>AI48*VLOOKUP('Données projet'!$B$10,Paramètres!$A$1:$I$89,3,0)*VLOOKUP('Données projet'!$B$10,Paramètres!$A$1:$I$89,5,0)</f>
        <v>133.36348235294122</v>
      </c>
      <c r="AK48" s="14">
        <f t="shared" si="35"/>
        <v>34.772402151219566</v>
      </c>
      <c r="AL48" s="22">
        <f t="shared" si="4"/>
        <v>292.8366655114134</v>
      </c>
      <c r="AM48" s="62">
        <f t="shared" si="5"/>
        <v>586.16999884474671</v>
      </c>
      <c r="AN48" s="62">
        <f ca="1">AVERAGE(OFFSET($AM$3,0,0,'Données projet'!$E$10+1,1))-AVERAGE(OFFSET($H$3,0,0,'Données projet'!$E$10+1,1))</f>
        <v>287.83167869616227</v>
      </c>
      <c r="AO48" s="62">
        <f t="shared" si="36"/>
        <v>233.84231920589906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</v>
      </c>
      <c r="BD48" s="13">
        <f>IF('Données projet'!$A$88&gt;35,BD47+BC48-BL47,IF(A48&lt;'Données projet'!$A$88,$BA$205^A48,IF(A48='Données projet'!$A$88,'Données projet'!$B$88,BD47+BC48-BL47)))</f>
        <v>242</v>
      </c>
      <c r="BE48" s="14">
        <f>BD48*VLOOKUP('Données projet'!$B$11,Paramètres!$A$1:$I$89,3,0)*VLOOKUP('Données projet'!$B$11,Paramètres!$A$1:$I$89,5,0)</f>
        <v>151.00800000000001</v>
      </c>
      <c r="BF48" s="14">
        <f t="shared" si="37"/>
        <v>38.807567870348514</v>
      </c>
      <c r="BG48" s="22">
        <f t="shared" si="7"/>
        <v>330.59544737419031</v>
      </c>
      <c r="BH48" s="62">
        <f t="shared" si="8"/>
        <v>623.92878070752363</v>
      </c>
      <c r="BI48" s="62">
        <f ca="1">AVERAGE(OFFSET($BH$3,0,0,'Données projet'!$E$11+1,1))-AVERAGE(OFFSET($H$3,0,0,'Données projet'!$E$11+1,1))</f>
        <v>262.36903350767881</v>
      </c>
      <c r="BJ48" s="62">
        <f t="shared" si="38"/>
        <v>331.21009482262417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33.877775059885835</v>
      </c>
      <c r="BQ48" s="23">
        <f>EXP(-LN(2)/25)*BQ47+(1-EXP(-LN(2)/25))/(LN(2)/25)*Calculateur!BL48*Calculateur!BN48*VLOOKUP('Données projet'!$B$11,Paramètres!$A$1:$I$89,3,0)*0.475*44/12</f>
        <v>30.917620027761039</v>
      </c>
      <c r="BR48" s="23">
        <f>EXP(-LN(2)/2)*BR47+(1-EXP(-LN(2)/2))/(LN(2)/2)*BL48*BO48*VLOOKUP('Données projet'!$B$11,Paramètres!$A$1:$I$89,3,0)*0.475*44/12</f>
        <v>2.3136071598853003</v>
      </c>
      <c r="BS48" s="24">
        <f t="shared" si="9"/>
        <v>67.109002247532175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9.3712500000000034</v>
      </c>
      <c r="BY48" s="13">
        <f>IF('Données projet'!$A$114&gt;35,BY47+BX48-CG47,IF(A48&lt;'Données projet'!$A$114,$BV$205^A48,IF(A48='Données projet'!$A$114,'Données projet'!$B$114,BY47+BX48-CG47)))</f>
        <v>148.16375000000011</v>
      </c>
      <c r="BZ48" s="14">
        <f>BY48*VLOOKUP('Données projet'!$B$12,Paramètres!$A$1:$I$89,3,0)*VLOOKUP('Données projet'!$B$12,Paramètres!$A$1:$I$89,5,0)</f>
        <v>143.30397900000011</v>
      </c>
      <c r="CA48" s="14">
        <f t="shared" si="39"/>
        <v>37.052870101583345</v>
      </c>
      <c r="CB48" s="22">
        <f t="shared" si="10"/>
        <v>314.12151218525787</v>
      </c>
      <c r="CC48" s="62">
        <f t="shared" si="11"/>
        <v>607.45484551859113</v>
      </c>
      <c r="CD48" s="62">
        <f ca="1">AVERAGE(OFFSET($CC$3,0,0,'Données projet'!$E$12+1,1))-AVERAGE(OFFSET($H$3,0,0,'Données projet'!$E$12+1,1))</f>
        <v>618.83149423524605</v>
      </c>
      <c r="CE48" s="62">
        <f t="shared" si="40"/>
        <v>285.33582535802435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3.744066421655702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3.744066421655702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15.725555555555552</v>
      </c>
      <c r="CT48" s="13">
        <f>IF('Données projet'!$A$140&gt;35,CT47+CS48-DB47,IF(A48&lt;'Données projet'!$A$140,$CQ$205^A48,IF(A48='Données projet'!$A$140,'Données projet'!$B$140,CT47+CS48-DB47)))</f>
        <v>291.31222222222237</v>
      </c>
      <c r="CU48" s="18">
        <f>CT48*VLOOKUP('Données projet'!$B$13,Paramètres!$A$1:$I$89,3,0)*VLOOKUP('Données projet'!$B$13,Paramètres!$A$1:$I$89,5,0)</f>
        <v>174.204708888889</v>
      </c>
      <c r="CV48" s="14">
        <f t="shared" si="41"/>
        <v>44.030395226989455</v>
      </c>
      <c r="CW48" s="22">
        <f t="shared" si="13"/>
        <v>380.09280633515499</v>
      </c>
      <c r="CX48" s="62">
        <f t="shared" si="14"/>
        <v>673.4261396684883</v>
      </c>
      <c r="CY48" s="62">
        <f ca="1">AVERAGE(OFFSET($CX$3,0,0,'Données projet'!$E$13+1,1))-AVERAGE(OFFSET($H$3,0,0,'Données projet'!$E$13+1,1))</f>
        <v>349.5718186624772</v>
      </c>
      <c r="CZ48" s="62">
        <f t="shared" si="42"/>
        <v>258.14152930815959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28.709391150333705</v>
      </c>
      <c r="DG48" s="23">
        <f>EXP(-LN(2)/25)*DG47+(1-EXP(-LN(2)/25))/(LN(2)/25)*Calculateur!DB48*Calculateur!DD48*VLOOKUP('Données projet'!$B$13,Paramètres!$A$1:$I$89,3,0)*0.475*44/12</f>
        <v>15.266927516787907</v>
      </c>
      <c r="DH48" s="23">
        <f>EXP(-LN(2)/2)*DH47+(1-EXP(-LN(2)/2))/(LN(2)/2)*DB48*DE48*VLOOKUP('Données projet'!$B$13,Paramètres!$A$1:$I$89,3,0)*0.475*44/12</f>
        <v>2.3318186410499204</v>
      </c>
      <c r="DI48" s="24">
        <f t="shared" si="15"/>
        <v>46.308137308171531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162</v>
      </c>
      <c r="DM48" s="13">
        <f>VLOOKUP(A48,'Données projet'!$A$165:$I$185,9,0)</f>
        <v>6.4</v>
      </c>
      <c r="DN48" s="13">
        <f t="array" ref="DN48">INDEX(DM:DM,MIN(IF(ISNUMBER(DM48:DM244),ROW(DM48:DM244),"")))</f>
        <v>6.4</v>
      </c>
      <c r="DO48" s="13">
        <f>IF('Données projet'!$A$166&gt;35,DO47+DN48-DW47,IF(A48&lt;'Données projet'!$A$166,$DL$205^A48,IF(A48='Données projet'!$A$166,'Données projet'!$B$166,DO47+DN48-DW47)))</f>
        <v>162.00000000000003</v>
      </c>
      <c r="DP48" s="18">
        <f>DO48*VLOOKUP('Données projet'!$B$14,Paramètres!$A$1:$I$89,3,0)*VLOOKUP('Données projet'!$B$14,Paramètres!$A$1:$I$89,5,0)</f>
        <v>141.52320000000006</v>
      </c>
      <c r="DQ48" s="14">
        <f t="shared" si="43"/>
        <v>36.645729158274158</v>
      </c>
      <c r="DR48" s="22">
        <f t="shared" si="16"/>
        <v>310.31088495066086</v>
      </c>
      <c r="DS48" s="62">
        <f t="shared" si="17"/>
        <v>603.64421828399418</v>
      </c>
      <c r="DT48" s="62">
        <f ca="1">AVERAGE(OFFSET($DS$3,0,0,'Données projet'!$E$14+1,1))-AVERAGE(OFFSET($H$3,0,0,'Données projet'!$E$14+1,1))</f>
        <v>300.63505444445104</v>
      </c>
      <c r="DU48" s="62">
        <f t="shared" si="44"/>
        <v>266.32508105927997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19</v>
      </c>
      <c r="DX48" s="17">
        <f>IF(ISNA(VLOOKUP(A48,'Données projet'!$A$165:$I$185,5,0)),0%,VLOOKUP(A48,'Données projet'!$A$165:$I$185,5,0)*VLOOKUP('Données projet'!$B$14,Paramètres!$A$1:$I$89,7,0))</f>
        <v>0.129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7.2205392003826905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7.2205392003826905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242</v>
      </c>
      <c r="EH48" s="13">
        <f>VLOOKUP(A48,'Données projet'!$A$191:$I$211,9,0)</f>
        <v>9.8000000000000007</v>
      </c>
      <c r="EI48" s="13">
        <f t="array" ref="EI48">INDEX(EH:EH,MIN(IF(ISNUMBER(EH48:EH244),ROW(EH48:EH244),"")))</f>
        <v>9.8000000000000007</v>
      </c>
      <c r="EJ48" s="13">
        <f>IF('Données projet'!$A$192&gt;35,EJ47+EI48-ER47,IF(A48&lt;'Données projet'!$A$192,$EG$205^A48,IF(A48='Données projet'!$A$192,'Données projet'!$B$192,EJ47+EI48-ER47)))</f>
        <v>242.00000000000006</v>
      </c>
      <c r="EK48" s="18">
        <f>EJ48*VLOOKUP('Données projet'!$B$15,Paramètres!$A$1:$I$89,3,0)*VLOOKUP('Données projet'!$B$15,Paramètres!$A$1:$I$89,5,0)</f>
        <v>192.53520000000006</v>
      </c>
      <c r="EL48" s="14">
        <f t="shared" si="45"/>
        <v>48.100016456123079</v>
      </c>
      <c r="EM48" s="22">
        <f t="shared" si="19"/>
        <v>419.10633532774779</v>
      </c>
      <c r="EN48" s="62">
        <f t="shared" si="20"/>
        <v>712.4396686610811</v>
      </c>
      <c r="EO48" s="62">
        <f ca="1">AVERAGE(OFFSET($EN$3,0,0,'Données projet'!$E$15+1,1))-AVERAGE(OFFSET($H$3,0,0,'Données projet'!$E$15+1,1))</f>
        <v>353.37024194969638</v>
      </c>
      <c r="EP48" s="62">
        <f t="shared" si="46"/>
        <v>345.4750813433123</v>
      </c>
      <c r="EQ48" s="16">
        <f>IF(ISNA(VLOOKUP(A48,'Données projet'!$A$191:$I$211,3,0)),0,VLOOKUP(A48,'Données projet'!$A$191:$I$211,3,0))</f>
        <v>8</v>
      </c>
      <c r="ER48" s="16">
        <f>IF(ISNA(VLOOKUP(A48,'Données projet'!$A$191:$I$211,4,0)),0,VLOOKUP(A48,'Données projet'!$A$191:$I$211,4,0))</f>
        <v>24</v>
      </c>
      <c r="ES48" s="17">
        <f>IF(ISNA(VLOOKUP(A48,'Données projet'!$A$191:$I$211,5,0)),0%,VLOOKUP(A48,'Données projet'!$A$191:$I$211,5,0)*VLOOKUP('Données projet'!$B$15,Paramètres!$A$1:$I$89,7,0))</f>
        <v>0.26500000000000001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27.423992223981497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27.423992223981497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207</v>
      </c>
      <c r="FC48" s="13">
        <f>VLOOKUP(A48,'Données projet'!$A$217:$I$237,9,0)</f>
        <v>7.4</v>
      </c>
      <c r="FD48" s="13">
        <f t="array" ref="FD48">INDEX(FC:FC,MIN(IF(ISNUMBER(FC48:FC244),ROW(FC48:FC244),"")))</f>
        <v>7.4</v>
      </c>
      <c r="FE48" s="13">
        <f>IF('Données projet'!$A$218&gt;35,FE47+FD48-FM47,IF(A48&lt;'Données projet'!$A$218,$FB$205^A48,IF(A48='Données projet'!$A$218,'Données projet'!$B$218,FE47+FD48-FM47)))</f>
        <v>207.00000000000009</v>
      </c>
      <c r="FF48" s="18">
        <f>FE48*VLOOKUP('Données projet'!$B$16,Paramètres!$A$1:$I$89,3,0)*VLOOKUP('Données projet'!$B$16,Paramètres!$A$1:$I$89,5,0)</f>
        <v>135.62640000000005</v>
      </c>
      <c r="FG48" s="14">
        <f t="shared" si="47"/>
        <v>35.293231938598481</v>
      </c>
      <c r="FH48" s="22">
        <f t="shared" si="22"/>
        <v>297.68502562639242</v>
      </c>
      <c r="FI48" s="62">
        <f t="shared" si="23"/>
        <v>591.01835895972567</v>
      </c>
      <c r="FJ48" s="62">
        <f ca="1">AVERAGE(OFFSET($FI$3,0,0,'Données projet'!$E$16+1,1))-AVERAGE(OFFSET($H$3,0,0,'Données projet'!$E$16+1,1))</f>
        <v>263.30962868541337</v>
      </c>
      <c r="FK48" s="62">
        <f t="shared" si="48"/>
        <v>269.61868559913404</v>
      </c>
      <c r="FL48" s="16">
        <f>IF(ISNA(VLOOKUP(A48,'Données projet'!$A$217:$I$237,3,0)),0,VLOOKUP(A48,'Données projet'!$A$217:$I$237,3,0))</f>
        <v>8</v>
      </c>
      <c r="FM48" s="16">
        <f>IF(ISNA(VLOOKUP(A48,'Données projet'!$A$217:$I$237,4,0)),0,VLOOKUP(A48,'Données projet'!$A$217:$I$237,4,0))</f>
        <v>25</v>
      </c>
      <c r="FN48" s="17">
        <f>IF(ISNA(VLOOKUP(A48,'Données projet'!$A$217:$I$237,5,0)),0%,VLOOKUP(A48,'Données projet'!$A$217:$I$237,5,0)*VLOOKUP('Données projet'!$B$16,Paramètres!$A$1:$I$89,7,0))</f>
        <v>0.129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6.7934867285509313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6.7934867285509313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7.5280000000000014</v>
      </c>
      <c r="N49" s="14">
        <f>IF('Données projet'!$A$36&gt;35,N48+M49-V48,IF(A49&lt;'Données projet'!$A$36,$K$205^A49,IF(A49='Données projet'!$A$36,'Données projet'!$B$36,N48+M49-V48)))</f>
        <v>137.21800000000007</v>
      </c>
      <c r="O49" s="14">
        <f>N49*VLOOKUP('Données projet'!$B$9,Paramètres!$A$1:$I$89,3,0)*VLOOKUP('Données projet'!$B$9,Paramètres!$A$1:$I$89,5,0)</f>
        <v>82.056364000000045</v>
      </c>
      <c r="P49" s="14">
        <f t="shared" si="33"/>
        <v>22.63923073696672</v>
      </c>
      <c r="Q49" s="22">
        <f t="shared" si="53"/>
        <v>182.34482750021712</v>
      </c>
      <c r="R49" s="62">
        <f t="shared" si="0"/>
        <v>475.67816083355046</v>
      </c>
      <c r="S49" s="62">
        <f ca="1">AVERAGE(OFFSET($R$3,0,0,'Données projet'!$E$9+1,1))-AVERAGE(OFFSET($H$3,0,0,'Données projet'!$E$9+1,1))</f>
        <v>262.06511368698341</v>
      </c>
      <c r="T49" s="62">
        <f t="shared" si="34"/>
        <v>217.15709240080542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10.357959673019787</v>
      </c>
      <c r="AA49" s="23">
        <f>EXP(-LN(2)/25)*AA48+(1-EXP(-LN(2)/25))/(LN(2)/25)*Calculateur!V49*Calculateur!X49*VLOOKUP('Données projet'!$B$9,Paramètres!$A$1:$I$89,3,0)*0.475*44/12</f>
        <v>8.7004044248379522</v>
      </c>
      <c r="AB49" s="23">
        <f>EXP(-LN(2)/2)*AB48+(1-EXP(-LN(2)/2))/(LN(2)/2)*V49*Y49*VLOOKUP('Données projet'!$B$9,Paramètres!$A$1:$I$89,3,0)*0.475*44/12</f>
        <v>9.2101796331268933</v>
      </c>
      <c r="AC49" s="24">
        <f t="shared" si="3"/>
        <v>28.268543730984632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6.3325490196078427</v>
      </c>
      <c r="AI49" s="14">
        <f>IF('Données projet'!$A$62&gt;35,AI48+AH49-AQ48,IF(A49&lt;'Données projet'!$A$62,$AF$205^A49,IF(A49='Données projet'!$A$62,'Données projet'!$B$62,AI48+AH49-AQ48)))</f>
        <v>291.29725490196086</v>
      </c>
      <c r="AJ49" s="14">
        <f>AI49*VLOOKUP('Données projet'!$B$10,Paramètres!$A$1:$I$89,3,0)*VLOOKUP('Données projet'!$B$10,Paramètres!$A$1:$I$89,5,0)</f>
        <v>136.32711529411768</v>
      </c>
      <c r="AK49" s="14">
        <f t="shared" si="35"/>
        <v>35.454301747089289</v>
      </c>
      <c r="AL49" s="22">
        <f t="shared" si="4"/>
        <v>299.18596801343546</v>
      </c>
      <c r="AM49" s="62">
        <f t="shared" si="5"/>
        <v>592.51930134676877</v>
      </c>
      <c r="AN49" s="62">
        <f ca="1">AVERAGE(OFFSET($AM$3,0,0,'Données projet'!$E$10+1,1))-AVERAGE(OFFSET($H$3,0,0,'Données projet'!$E$10+1,1))</f>
        <v>287.83167869616227</v>
      </c>
      <c r="AO49" s="62">
        <f t="shared" si="36"/>
        <v>233.84231920589906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</v>
      </c>
      <c r="BD49" s="13">
        <f>IF('Données projet'!$A$88&gt;35,BD48+BC49-BL48,IF(A49&lt;'Données projet'!$A$88,$BA$205^A49,IF(A49='Données projet'!$A$88,'Données projet'!$B$88,BD48+BC49-BL48)))</f>
        <v>252</v>
      </c>
      <c r="BE49" s="14">
        <f>BD49*VLOOKUP('Données projet'!$B$11,Paramètres!$A$1:$I$89,3,0)*VLOOKUP('Données projet'!$B$11,Paramètres!$A$1:$I$89,5,0)</f>
        <v>157.24799999999999</v>
      </c>
      <c r="BF49" s="14">
        <f t="shared" si="37"/>
        <v>40.22116874434861</v>
      </c>
      <c r="BG49" s="22">
        <f t="shared" si="7"/>
        <v>343.92546889640715</v>
      </c>
      <c r="BH49" s="62">
        <f t="shared" si="8"/>
        <v>637.25880222974047</v>
      </c>
      <c r="BI49" s="62">
        <f ca="1">AVERAGE(OFFSET($BH$3,0,0,'Données projet'!$E$11+1,1))-AVERAGE(OFFSET($H$3,0,0,'Données projet'!$E$11+1,1))</f>
        <v>262.36903350767881</v>
      </c>
      <c r="BJ49" s="62">
        <f t="shared" si="38"/>
        <v>331.21009482262417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33.213452554363919</v>
      </c>
      <c r="BQ49" s="23">
        <f>EXP(-LN(2)/25)*BQ48+(1-EXP(-LN(2)/25))/(LN(2)/25)*Calculateur!BL49*Calculateur!BN49*VLOOKUP('Données projet'!$B$11,Paramètres!$A$1:$I$89,3,0)*0.475*44/12</f>
        <v>30.072176082214938</v>
      </c>
      <c r="BR49" s="23">
        <f>EXP(-LN(2)/2)*BR48+(1-EXP(-LN(2)/2))/(LN(2)/2)*BL49*BO49*VLOOKUP('Données projet'!$B$11,Paramètres!$A$1:$I$89,3,0)*0.475*44/12</f>
        <v>1.6359673117566449</v>
      </c>
      <c r="BS49" s="24">
        <f t="shared" si="9"/>
        <v>64.921595948335508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9.3712500000000034</v>
      </c>
      <c r="BY49" s="13">
        <f>IF('Données projet'!$A$114&gt;35,BY48+BX49-CG48,IF(A49&lt;'Données projet'!$A$114,$BV$205^A49,IF(A49='Données projet'!$A$114,'Données projet'!$B$114,BY48+BX49-CG48)))</f>
        <v>157.53500000000011</v>
      </c>
      <c r="BZ49" s="14">
        <f>BY49*VLOOKUP('Données projet'!$B$12,Paramètres!$A$1:$I$89,3,0)*VLOOKUP('Données projet'!$B$12,Paramètres!$A$1:$I$89,5,0)</f>
        <v>152.36785200000011</v>
      </c>
      <c r="CA49" s="14">
        <f t="shared" si="39"/>
        <v>39.116196995259784</v>
      </c>
      <c r="CB49" s="22">
        <f t="shared" si="10"/>
        <v>333.50138533341101</v>
      </c>
      <c r="CC49" s="62">
        <f t="shared" si="11"/>
        <v>626.83471866674427</v>
      </c>
      <c r="CD49" s="62">
        <f ca="1">AVERAGE(OFFSET($CC$3,0,0,'Données projet'!$E$12+1,1))-AVERAGE(OFFSET($H$3,0,0,'Données projet'!$E$12+1,1))</f>
        <v>618.83149423524605</v>
      </c>
      <c r="CE49" s="62">
        <f t="shared" si="40"/>
        <v>285.33582535802435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3.6706475627820585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3.6706475627820585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15.725555555555552</v>
      </c>
      <c r="CT49" s="13">
        <f>IF('Données projet'!$A$140&gt;35,CT48+CS49-DB48,IF(A49&lt;'Données projet'!$A$140,$CQ$205^A49,IF(A49='Données projet'!$A$140,'Données projet'!$B$140,CT48+CS49-DB48)))</f>
        <v>307.03777777777793</v>
      </c>
      <c r="CU49" s="18">
        <f>CT49*VLOOKUP('Données projet'!$B$13,Paramètres!$A$1:$I$89,3,0)*VLOOKUP('Données projet'!$B$13,Paramètres!$A$1:$I$89,5,0)</f>
        <v>183.60859111111122</v>
      </c>
      <c r="CV49" s="14">
        <f t="shared" si="41"/>
        <v>46.124101377958297</v>
      </c>
      <c r="CW49" s="22">
        <f t="shared" si="13"/>
        <v>400.11777275179605</v>
      </c>
      <c r="CX49" s="62">
        <f t="shared" si="14"/>
        <v>693.45110608512937</v>
      </c>
      <c r="CY49" s="62">
        <f ca="1">AVERAGE(OFFSET($CX$3,0,0,'Données projet'!$E$13+1,1))-AVERAGE(OFFSET($H$3,0,0,'Données projet'!$E$13+1,1))</f>
        <v>349.5718186624772</v>
      </c>
      <c r="CZ49" s="62">
        <f t="shared" si="42"/>
        <v>258.14152930815959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28.146417500875195</v>
      </c>
      <c r="DG49" s="23">
        <f>EXP(-LN(2)/25)*DG48+(1-EXP(-LN(2)/25))/(LN(2)/25)*Calculateur!DB49*Calculateur!DD49*VLOOKUP('Données projet'!$B$13,Paramètres!$A$1:$I$89,3,0)*0.475*44/12</f>
        <v>14.849452580988517</v>
      </c>
      <c r="DH49" s="23">
        <f>EXP(-LN(2)/2)*DH48+(1-EXP(-LN(2)/2))/(LN(2)/2)*DB49*DE49*VLOOKUP('Données projet'!$B$13,Paramètres!$A$1:$I$89,3,0)*0.475*44/12</f>
        <v>1.6488447735835987</v>
      </c>
      <c r="DI49" s="24">
        <f t="shared" si="15"/>
        <v>44.644714855447312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</v>
      </c>
      <c r="DO49" s="13">
        <f>IF('Données projet'!$A$166&gt;35,DO48+DN49-DW48,IF(A49&lt;'Données projet'!$A$166,$DL$205^A49,IF(A49='Données projet'!$A$166,'Données projet'!$B$166,DO48+DN49-DW48)))</f>
        <v>149.00000000000003</v>
      </c>
      <c r="DP49" s="18">
        <f>DO49*VLOOKUP('Données projet'!$B$14,Paramètres!$A$1:$I$89,3,0)*VLOOKUP('Données projet'!$B$14,Paramètres!$A$1:$I$89,5,0)</f>
        <v>130.16640000000004</v>
      </c>
      <c r="DQ49" s="14">
        <f t="shared" si="43"/>
        <v>34.034806623706302</v>
      </c>
      <c r="DR49" s="22">
        <f t="shared" si="16"/>
        <v>285.98376820295522</v>
      </c>
      <c r="DS49" s="62">
        <f t="shared" si="17"/>
        <v>579.31710153628853</v>
      </c>
      <c r="DT49" s="62">
        <f ca="1">AVERAGE(OFFSET($DS$3,0,0,'Données projet'!$E$14+1,1))-AVERAGE(OFFSET($H$3,0,0,'Données projet'!$E$14+1,1))</f>
        <v>300.63505444445104</v>
      </c>
      <c r="DU49" s="62">
        <f t="shared" si="44"/>
        <v>266.32508105927997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7.0789488307572297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7.0789488307572297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8.6</v>
      </c>
      <c r="EJ49" s="13">
        <f>IF('Données projet'!$A$192&gt;35,EJ48+EI49-ER48,IF(A49&lt;'Données projet'!$A$192,$EG$205^A49,IF(A49='Données projet'!$A$192,'Données projet'!$B$192,EJ48+EI49-ER48)))</f>
        <v>226.60000000000005</v>
      </c>
      <c r="EK49" s="18">
        <f>EJ49*VLOOKUP('Données projet'!$B$15,Paramètres!$A$1:$I$89,3,0)*VLOOKUP('Données projet'!$B$15,Paramètres!$A$1:$I$89,5,0)</f>
        <v>180.28296000000006</v>
      </c>
      <c r="EL49" s="14">
        <f t="shared" si="45"/>
        <v>45.385133797071397</v>
      </c>
      <c r="EM49" s="22">
        <f t="shared" si="19"/>
        <v>393.03859669656612</v>
      </c>
      <c r="EN49" s="62">
        <f t="shared" si="20"/>
        <v>686.37193002989943</v>
      </c>
      <c r="EO49" s="62">
        <f ca="1">AVERAGE(OFFSET($EN$3,0,0,'Données projet'!$E$15+1,1))-AVERAGE(OFFSET($H$3,0,0,'Données projet'!$E$15+1,1))</f>
        <v>353.37024194969638</v>
      </c>
      <c r="EP49" s="62">
        <f t="shared" si="46"/>
        <v>345.4750813433123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26.886224463452823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26.886224463452823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6.6</v>
      </c>
      <c r="FE49" s="13">
        <f>IF('Données projet'!$A$218&gt;35,FE48+FD49-FM48,IF(A49&lt;'Données projet'!$A$218,$FB$205^A49,IF(A49='Données projet'!$A$218,'Données projet'!$B$218,FE48+FD49-FM48)))</f>
        <v>188.60000000000008</v>
      </c>
      <c r="FF49" s="18">
        <f>FE49*VLOOKUP('Données projet'!$B$16,Paramètres!$A$1:$I$89,3,0)*VLOOKUP('Données projet'!$B$16,Paramètres!$A$1:$I$89,5,0)</f>
        <v>123.57072000000005</v>
      </c>
      <c r="FG49" s="14">
        <f t="shared" si="47"/>
        <v>32.506384557027701</v>
      </c>
      <c r="FH49" s="22">
        <f t="shared" si="22"/>
        <v>271.83429043682332</v>
      </c>
      <c r="FI49" s="62">
        <f t="shared" si="23"/>
        <v>565.16762377015664</v>
      </c>
      <c r="FJ49" s="62">
        <f ca="1">AVERAGE(OFFSET($FI$3,0,0,'Données projet'!$E$16+1,1))-AVERAGE(OFFSET($H$3,0,0,'Données projet'!$E$16+1,1))</f>
        <v>263.30962868541337</v>
      </c>
      <c r="FK49" s="62">
        <f t="shared" si="48"/>
        <v>269.61868559913404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6.6602705974218033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6.6602705974218033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7.5280000000000014</v>
      </c>
      <c r="N50" s="14">
        <f>IF('Données projet'!$A$36&gt;35,N49+M50-V49,IF(A50&lt;'Données projet'!$A$36,$K$205^A50,IF(A50='Données projet'!$A$36,'Données projet'!$B$36,N49+M50-V49)))</f>
        <v>144.74600000000007</v>
      </c>
      <c r="O50" s="14">
        <f>N50*VLOOKUP('Données projet'!$B$9,Paramètres!$A$1:$I$89,3,0)*VLOOKUP('Données projet'!$B$9,Paramètres!$A$1:$I$89,5,0)</f>
        <v>86.558108000000047</v>
      </c>
      <c r="P50" s="14">
        <f t="shared" si="33"/>
        <v>23.73324908066623</v>
      </c>
      <c r="Q50" s="22">
        <f t="shared" si="53"/>
        <v>192.09078024882709</v>
      </c>
      <c r="R50" s="62">
        <f t="shared" si="0"/>
        <v>485.42411358216043</v>
      </c>
      <c r="S50" s="62">
        <f ca="1">AVERAGE(OFFSET($R$3,0,0,'Données projet'!$E$9+1,1))-AVERAGE(OFFSET($H$3,0,0,'Données projet'!$E$9+1,1))</f>
        <v>262.06511368698341</v>
      </c>
      <c r="T50" s="62">
        <f t="shared" si="34"/>
        <v>217.15709240080542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10.154846401563445</v>
      </c>
      <c r="AA50" s="23">
        <f>EXP(-LN(2)/25)*AA49+(1-EXP(-LN(2)/25))/(LN(2)/25)*Calculateur!V50*Calculateur!X50*VLOOKUP('Données projet'!$B$9,Paramètres!$A$1:$I$89,3,0)*0.475*44/12</f>
        <v>8.4624914083063754</v>
      </c>
      <c r="AB50" s="23">
        <f>EXP(-LN(2)/2)*AB49+(1-EXP(-LN(2)/2))/(LN(2)/2)*V50*Y50*VLOOKUP('Données projet'!$B$9,Paramètres!$A$1:$I$89,3,0)*0.475*44/12</f>
        <v>6.5125804745302549</v>
      </c>
      <c r="AC50" s="24">
        <f t="shared" si="3"/>
        <v>25.129918284400077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6.3325490196078427</v>
      </c>
      <c r="AI50" s="14">
        <f>IF('Données projet'!$A$62&gt;35,AI49+AH50-AQ49,IF(A50&lt;'Données projet'!$A$62,$AF$205^A50,IF(A50='Données projet'!$A$62,'Données projet'!$B$62,AI49+AH50-AQ49)))</f>
        <v>297.62980392156868</v>
      </c>
      <c r="AJ50" s="14">
        <f>AI50*VLOOKUP('Données projet'!$B$10,Paramètres!$A$1:$I$89,3,0)*VLOOKUP('Données projet'!$B$10,Paramètres!$A$1:$I$89,5,0)</f>
        <v>139.29074823529416</v>
      </c>
      <c r="AK50" s="14">
        <f t="shared" si="35"/>
        <v>36.134477878314861</v>
      </c>
      <c r="AL50" s="22">
        <f t="shared" si="4"/>
        <v>305.53226881453571</v>
      </c>
      <c r="AM50" s="62">
        <f t="shared" si="5"/>
        <v>598.86560214786903</v>
      </c>
      <c r="AN50" s="62">
        <f ca="1">AVERAGE(OFFSET($AM$3,0,0,'Données projet'!$E$10+1,1))-AVERAGE(OFFSET($H$3,0,0,'Données projet'!$E$10+1,1))</f>
        <v>287.83167869616227</v>
      </c>
      <c r="AO50" s="62">
        <f t="shared" si="36"/>
        <v>233.84231920589906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</v>
      </c>
      <c r="BD50" s="13">
        <f>IF('Données projet'!$A$88&gt;35,BD49+BC50-BL49,IF(A50&lt;'Données projet'!$A$88,$BA$205^A50,IF(A50='Données projet'!$A$88,'Données projet'!$B$88,BD49+BC50-BL49)))</f>
        <v>262</v>
      </c>
      <c r="BE50" s="14">
        <f>BD50*VLOOKUP('Données projet'!$B$11,Paramètres!$A$1:$I$89,3,0)*VLOOKUP('Données projet'!$B$11,Paramètres!$A$1:$I$89,5,0)</f>
        <v>163.488</v>
      </c>
      <c r="BF50" s="14">
        <f t="shared" si="37"/>
        <v>41.628253379180151</v>
      </c>
      <c r="BG50" s="22">
        <f t="shared" si="7"/>
        <v>357.24414130207202</v>
      </c>
      <c r="BH50" s="62">
        <f t="shared" si="8"/>
        <v>650.57747463540534</v>
      </c>
      <c r="BI50" s="62">
        <f ca="1">AVERAGE(OFFSET($BH$3,0,0,'Données projet'!$E$11+1,1))-AVERAGE(OFFSET($H$3,0,0,'Données projet'!$E$11+1,1))</f>
        <v>262.36903350767881</v>
      </c>
      <c r="BJ50" s="62">
        <f t="shared" si="38"/>
        <v>331.21009482262417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32.56215700797857</v>
      </c>
      <c r="BQ50" s="23">
        <f>EXP(-LN(2)/25)*BQ49+(1-EXP(-LN(2)/25))/(LN(2)/25)*Calculateur!BL50*Calculateur!BN50*VLOOKUP('Données projet'!$B$11,Paramètres!$A$1:$I$89,3,0)*0.475*44/12</f>
        <v>29.249850845819761</v>
      </c>
      <c r="BR50" s="23">
        <f>EXP(-LN(2)/2)*BR49+(1-EXP(-LN(2)/2))/(LN(2)/2)*BL50*BO50*VLOOKUP('Données projet'!$B$11,Paramètres!$A$1:$I$89,3,0)*0.475*44/12</f>
        <v>1.1568035799426504</v>
      </c>
      <c r="BS50" s="24">
        <f t="shared" si="9"/>
        <v>62.968811433740981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9.3712500000000034</v>
      </c>
      <c r="BY50" s="13">
        <f>IF('Données projet'!$A$114&gt;35,BY49+BX50-CG49,IF(A50&lt;'Données projet'!$A$114,$BV$205^A50,IF(A50='Données projet'!$A$114,'Données projet'!$B$114,BY49+BX50-CG49)))</f>
        <v>166.90625000000011</v>
      </c>
      <c r="BZ50" s="14">
        <f>BY50*VLOOKUP('Données projet'!$B$12,Paramètres!$A$1:$I$89,3,0)*VLOOKUP('Données projet'!$B$12,Paramètres!$A$1:$I$89,5,0)</f>
        <v>161.43172500000011</v>
      </c>
      <c r="CA50" s="14">
        <f t="shared" si="39"/>
        <v>41.165277355776809</v>
      </c>
      <c r="CB50" s="22">
        <f t="shared" si="10"/>
        <v>352.85644576964478</v>
      </c>
      <c r="CC50" s="62">
        <f t="shared" si="11"/>
        <v>646.18977910297804</v>
      </c>
      <c r="CD50" s="62">
        <f ca="1">AVERAGE(OFFSET($CC$3,0,0,'Données projet'!$E$12+1,1))-AVERAGE(OFFSET($H$3,0,0,'Données projet'!$E$12+1,1))</f>
        <v>618.83149423524605</v>
      </c>
      <c r="CE50" s="62">
        <f t="shared" si="40"/>
        <v>285.33582535802435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3.598668402949845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3.598668402949845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15.725555555555552</v>
      </c>
      <c r="CT50" s="13">
        <f>IF('Données projet'!$A$140&gt;35,CT49+CS50-DB49,IF(A50&lt;'Données projet'!$A$140,$CQ$205^A50,IF(A50='Données projet'!$A$140,'Données projet'!$B$140,CT49+CS50-DB49)))</f>
        <v>322.76333333333349</v>
      </c>
      <c r="CU50" s="18">
        <f>CT50*VLOOKUP('Données projet'!$B$13,Paramètres!$A$1:$I$89,3,0)*VLOOKUP('Données projet'!$B$13,Paramètres!$A$1:$I$89,5,0)</f>
        <v>193.01247333333347</v>
      </c>
      <c r="CV50" s="14">
        <f t="shared" si="41"/>
        <v>48.205356952003704</v>
      </c>
      <c r="CW50" s="22">
        <f t="shared" si="13"/>
        <v>420.12105441362888</v>
      </c>
      <c r="CX50" s="62">
        <f t="shared" si="14"/>
        <v>713.4543877469622</v>
      </c>
      <c r="CY50" s="62">
        <f ca="1">AVERAGE(OFFSET($CX$3,0,0,'Données projet'!$E$13+1,1))-AVERAGE(OFFSET($H$3,0,0,'Données projet'!$E$13+1,1))</f>
        <v>349.5718186624772</v>
      </c>
      <c r="CZ50" s="62">
        <f t="shared" si="42"/>
        <v>258.14152930815959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27.594483421302545</v>
      </c>
      <c r="DG50" s="23">
        <f>EXP(-LN(2)/25)*DG49+(1-EXP(-LN(2)/25))/(LN(2)/25)*Calculateur!DB50*Calculateur!DD50*VLOOKUP('Données projet'!$B$13,Paramètres!$A$1:$I$89,3,0)*0.475*44/12</f>
        <v>14.443393519262614</v>
      </c>
      <c r="DH50" s="23">
        <f>EXP(-LN(2)/2)*DH49+(1-EXP(-LN(2)/2))/(LN(2)/2)*DB50*DE50*VLOOKUP('Données projet'!$B$13,Paramètres!$A$1:$I$89,3,0)*0.475*44/12</f>
        <v>1.1659093205249602</v>
      </c>
      <c r="DI50" s="24">
        <f t="shared" si="15"/>
        <v>43.203786261090116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</v>
      </c>
      <c r="DO50" s="13">
        <f>IF('Données projet'!$A$166&gt;35,DO49+DN50-DW49,IF(A50&lt;'Données projet'!$A$166,$DL$205^A50,IF(A50='Données projet'!$A$166,'Données projet'!$B$166,DO49+DN50-DW49)))</f>
        <v>155.00000000000003</v>
      </c>
      <c r="DP50" s="18">
        <f>DO50*VLOOKUP('Données projet'!$B$14,Paramètres!$A$1:$I$89,3,0)*VLOOKUP('Données projet'!$B$14,Paramètres!$A$1:$I$89,5,0)</f>
        <v>135.40800000000004</v>
      </c>
      <c r="DQ50" s="14">
        <f t="shared" si="43"/>
        <v>35.243009677478732</v>
      </c>
      <c r="DR50" s="22">
        <f t="shared" si="16"/>
        <v>297.21717518827558</v>
      </c>
      <c r="DS50" s="62">
        <f t="shared" si="17"/>
        <v>590.55050852160889</v>
      </c>
      <c r="DT50" s="62">
        <f ca="1">AVERAGE(OFFSET($DS$3,0,0,'Données projet'!$E$14+1,1))-AVERAGE(OFFSET($H$3,0,0,'Données projet'!$E$14+1,1))</f>
        <v>300.63505444445104</v>
      </c>
      <c r="DU50" s="62">
        <f t="shared" si="44"/>
        <v>266.32508105927997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6.9401349619185266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6.9401349619185266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8.6</v>
      </c>
      <c r="EJ50" s="13">
        <f>IF('Données projet'!$A$192&gt;35,EJ49+EI50-ER49,IF(A50&lt;'Données projet'!$A$192,$EG$205^A50,IF(A50='Données projet'!$A$192,'Données projet'!$B$192,EJ49+EI50-ER49)))</f>
        <v>235.20000000000005</v>
      </c>
      <c r="EK50" s="18">
        <f>EJ50*VLOOKUP('Données projet'!$B$15,Paramètres!$A$1:$I$89,3,0)*VLOOKUP('Données projet'!$B$15,Paramètres!$A$1:$I$89,5,0)</f>
        <v>187.12512000000004</v>
      </c>
      <c r="EL50" s="14">
        <f t="shared" si="45"/>
        <v>46.903794805770545</v>
      </c>
      <c r="EM50" s="22">
        <f t="shared" si="19"/>
        <v>407.60035995338376</v>
      </c>
      <c r="EN50" s="62">
        <f t="shared" si="20"/>
        <v>700.93369328671702</v>
      </c>
      <c r="EO50" s="62">
        <f ca="1">AVERAGE(OFFSET($EN$3,0,0,'Données projet'!$E$15+1,1))-AVERAGE(OFFSET($H$3,0,0,'Données projet'!$E$15+1,1))</f>
        <v>353.37024194969638</v>
      </c>
      <c r="EP50" s="62">
        <f t="shared" si="46"/>
        <v>345.4750813433123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26.359002000702173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26.359002000702173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6.6</v>
      </c>
      <c r="FE50" s="13">
        <f>IF('Données projet'!$A$218&gt;35,FE49+FD50-FM49,IF(A50&lt;'Données projet'!$A$218,$FB$205^A50,IF(A50='Données projet'!$A$218,'Données projet'!$B$218,FE49+FD50-FM49)))</f>
        <v>195.20000000000007</v>
      </c>
      <c r="FF50" s="18">
        <f>FE50*VLOOKUP('Données projet'!$B$16,Paramètres!$A$1:$I$89,3,0)*VLOOKUP('Données projet'!$B$16,Paramètres!$A$1:$I$89,5,0)</f>
        <v>127.89504000000004</v>
      </c>
      <c r="FG50" s="14">
        <f t="shared" si="47"/>
        <v>33.509503727991913</v>
      </c>
      <c r="FH50" s="22">
        <f t="shared" si="22"/>
        <v>281.11291365958601</v>
      </c>
      <c r="FI50" s="62">
        <f t="shared" si="23"/>
        <v>574.44624699291933</v>
      </c>
      <c r="FJ50" s="62">
        <f ca="1">AVERAGE(OFFSET($FI$3,0,0,'Données projet'!$E$16+1,1))-AVERAGE(OFFSET($H$3,0,0,'Données projet'!$E$16+1,1))</f>
        <v>263.30962868541337</v>
      </c>
      <c r="FK50" s="62">
        <f t="shared" si="48"/>
        <v>269.61868559913404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6.529666753370301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6.529666753370301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7.5280000000000014</v>
      </c>
      <c r="N51" s="14">
        <f>IF('Données projet'!$A$36&gt;35,N50+M51-V50,IF(A51&lt;'Données projet'!$A$36,$K$205^A51,IF(A51='Données projet'!$A$36,'Données projet'!$B$36,N50+M51-V50)))</f>
        <v>152.27400000000006</v>
      </c>
      <c r="O51" s="14">
        <f>N51*VLOOKUP('Données projet'!$B$9,Paramètres!$A$1:$I$89,3,0)*VLOOKUP('Données projet'!$B$9,Paramètres!$A$1:$I$89,5,0)</f>
        <v>91.059852000000049</v>
      </c>
      <c r="P51" s="14">
        <f t="shared" si="33"/>
        <v>24.820661349898323</v>
      </c>
      <c r="Q51" s="22">
        <f t="shared" si="53"/>
        <v>201.82522741773963</v>
      </c>
      <c r="R51" s="62">
        <f t="shared" si="0"/>
        <v>495.15856075107297</v>
      </c>
      <c r="S51" s="62">
        <f ca="1">AVERAGE(OFFSET($R$3,0,0,'Données projet'!$E$9+1,1))-AVERAGE(OFFSET($H$3,0,0,'Données projet'!$E$9+1,1))</f>
        <v>262.06511368698341</v>
      </c>
      <c r="T51" s="62">
        <f t="shared" si="34"/>
        <v>217.15709240080542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9.9557160574734986</v>
      </c>
      <c r="AA51" s="23">
        <f>EXP(-LN(2)/25)*AA50+(1-EXP(-LN(2)/25))/(LN(2)/25)*Calculateur!V51*Calculateur!X51*VLOOKUP('Données projet'!$B$9,Paramètres!$A$1:$I$89,3,0)*0.475*44/12</f>
        <v>8.2310841357231563</v>
      </c>
      <c r="AB51" s="23">
        <f>EXP(-LN(2)/2)*AB50+(1-EXP(-LN(2)/2))/(LN(2)/2)*V51*Y51*VLOOKUP('Données projet'!$B$9,Paramètres!$A$1:$I$89,3,0)*0.475*44/12</f>
        <v>4.6050898165634475</v>
      </c>
      <c r="AC51" s="24">
        <f t="shared" si="3"/>
        <v>22.791890009760102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6.3325490196078427</v>
      </c>
      <c r="AI51" s="14">
        <f>IF('Données projet'!$A$62&gt;35,AI50+AH51-AQ50,IF(A51&lt;'Données projet'!$A$62,$AF$205^A51,IF(A51='Données projet'!$A$62,'Données projet'!$B$62,AI50+AH51-AQ50)))</f>
        <v>303.9623529411765</v>
      </c>
      <c r="AJ51" s="14">
        <f>AI51*VLOOKUP('Données projet'!$B$10,Paramètres!$A$1:$I$89,3,0)*VLOOKUP('Données projet'!$B$10,Paramètres!$A$1:$I$89,5,0)</f>
        <v>142.25438117647062</v>
      </c>
      <c r="AK51" s="14">
        <f t="shared" si="35"/>
        <v>36.812971438261386</v>
      </c>
      <c r="AL51" s="22">
        <f t="shared" si="4"/>
        <v>311.87563913732487</v>
      </c>
      <c r="AM51" s="62">
        <f t="shared" si="5"/>
        <v>605.20897247065818</v>
      </c>
      <c r="AN51" s="62">
        <f ca="1">AVERAGE(OFFSET($AM$3,0,0,'Données projet'!$E$10+1,1))-AVERAGE(OFFSET($H$3,0,0,'Données projet'!$E$10+1,1))</f>
        <v>287.83167869616227</v>
      </c>
      <c r="AO51" s="62">
        <f t="shared" si="36"/>
        <v>233.84231920589906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272</v>
      </c>
      <c r="BB51" s="13">
        <f>VLOOKUP(A51,'Données projet'!$A$87:$I$107,9,0)</f>
        <v>10</v>
      </c>
      <c r="BC51" s="13">
        <f t="array" ref="BC51">INDEX(BB:BB,MIN(IF(ISNUMBER(BB51:BB247),ROW(BB51:BB247),"")))</f>
        <v>10</v>
      </c>
      <c r="BD51" s="13">
        <f>IF('Données projet'!$A$88&gt;35,BD50+BC51-BL50,IF(A51&lt;'Données projet'!$A$88,$BA$205^A51,IF(A51='Données projet'!$A$88,'Données projet'!$B$88,BD50+BC51-BL50)))</f>
        <v>272</v>
      </c>
      <c r="BE51" s="14">
        <f>BD51*VLOOKUP('Données projet'!$B$11,Paramètres!$A$1:$I$89,3,0)*VLOOKUP('Données projet'!$B$11,Paramètres!$A$1:$I$89,5,0)</f>
        <v>169.72800000000001</v>
      </c>
      <c r="BF51" s="14">
        <f t="shared" si="37"/>
        <v>43.029098957414881</v>
      </c>
      <c r="BG51" s="22">
        <f t="shared" si="7"/>
        <v>370.55194735083091</v>
      </c>
      <c r="BH51" s="62">
        <f t="shared" si="8"/>
        <v>663.88528068416417</v>
      </c>
      <c r="BI51" s="62">
        <f ca="1">AVERAGE(OFFSET($BH$3,0,0,'Données projet'!$E$11+1,1))-AVERAGE(OFFSET($H$3,0,0,'Données projet'!$E$11+1,1))</f>
        <v>262.36903350767881</v>
      </c>
      <c r="BJ51" s="62">
        <f t="shared" si="38"/>
        <v>331.21009482262417</v>
      </c>
      <c r="BK51" s="16">
        <f>IF(ISNA(VLOOKUP(A51,'Données projet'!$A$87:$I$107,3,0)),0,VLOOKUP(A51,'Données projet'!$A$87:$I$107,3,0))</f>
        <v>7</v>
      </c>
      <c r="BL51" s="16">
        <f>IF(ISNA(VLOOKUP(A51,'Données projet'!$A$87:$I$107,4,0)),0,VLOOKUP(A51,'Données projet'!$A$87:$I$107,4,0))</f>
        <v>37</v>
      </c>
      <c r="BM51" s="17">
        <f>IF(ISNA(VLOOKUP(A51,'Données projet'!$A$87:$I$107,5,0)),0%,VLOOKUP(A51,'Données projet'!$A$87:$I$107,5,0)*VLOOKUP('Données projet'!$B$11,Paramètres!$A$1:$I$89,7,0))</f>
        <v>0.48</v>
      </c>
      <c r="BN51" s="17">
        <f>IF(ISNA(VLOOKUP(A51,'Données projet'!$A$87:$I$107,6,0)),0%,VLOOKUP(A51,'Données projet'!$A$87:$I$107,6,0)*VLOOKUP('Données projet'!$B$11,Paramètres!$A$1:$I$89,7,0))</f>
        <v>6.6000000000000003E-2</v>
      </c>
      <c r="BO51" s="17">
        <f>IF(ISNA(VLOOKUP(A51,'Données projet'!$A$87:$I$107,7,0)),0%,VLOOKUP(A51,'Données projet'!$A$87:$I$107,7,0))</f>
        <v>0.09</v>
      </c>
      <c r="BP51" s="23">
        <f>EXP(-LN(2)/35)*BP50+(1-EXP(-LN(2)/35))/(LN(2)/35)*BL51*BM51*VLOOKUP('Données projet'!$B$11,Paramètres!$A$1:$I$89,3,0)*0.475*44/12</f>
        <v>46.624938640657064</v>
      </c>
      <c r="BQ51" s="23">
        <f>EXP(-LN(2)/25)*BQ50+(1-EXP(-LN(2)/25))/(LN(2)/25)*Calculateur!BL51*Calculateur!BN51*VLOOKUP('Données projet'!$B$11,Paramètres!$A$1:$I$89,3,0)*0.475*44/12</f>
        <v>30.463482527688907</v>
      </c>
      <c r="BR51" s="23">
        <f>EXP(-LN(2)/2)*BR50+(1-EXP(-LN(2)/2))/(LN(2)/2)*BL51*BO51*VLOOKUP('Données projet'!$B$11,Paramètres!$A$1:$I$89,3,0)*0.475*44/12</f>
        <v>3.1706717915545166</v>
      </c>
      <c r="BS51" s="24">
        <f t="shared" si="9"/>
        <v>80.259092959900485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9.3712500000000034</v>
      </c>
      <c r="BY51" s="13">
        <f>IF('Données projet'!$A$114&gt;35,BY50+BX51-CG50,IF(A51&lt;'Données projet'!$A$114,$BV$205^A51,IF(A51='Données projet'!$A$114,'Données projet'!$B$114,BY50+BX51-CG50)))</f>
        <v>176.27750000000012</v>
      </c>
      <c r="BZ51" s="14">
        <f>BY51*VLOOKUP('Données projet'!$B$12,Paramètres!$A$1:$I$89,3,0)*VLOOKUP('Données projet'!$B$12,Paramètres!$A$1:$I$89,5,0)</f>
        <v>170.49559800000011</v>
      </c>
      <c r="CA51" s="14">
        <f t="shared" si="39"/>
        <v>43.201002238446733</v>
      </c>
      <c r="CB51" s="22">
        <f t="shared" si="10"/>
        <v>372.18824541529494</v>
      </c>
      <c r="CC51" s="62">
        <f t="shared" si="11"/>
        <v>665.52157874862826</v>
      </c>
      <c r="CD51" s="62">
        <f ca="1">AVERAGE(OFFSET($CC$3,0,0,'Données projet'!$E$12+1,1))-AVERAGE(OFFSET($H$3,0,0,'Données projet'!$E$12+1,1))</f>
        <v>618.83149423524605</v>
      </c>
      <c r="CE51" s="62">
        <f t="shared" si="40"/>
        <v>285.33582535802435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3.5281007105389888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3.5281007105389888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15.725555555555552</v>
      </c>
      <c r="CT51" s="13">
        <f>IF('Données projet'!$A$140&gt;35,CT50+CS51-DB50,IF(A51&lt;'Données projet'!$A$140,$CQ$205^A51,IF(A51='Données projet'!$A$140,'Données projet'!$B$140,CT50+CS51-DB50)))</f>
        <v>338.48888888888905</v>
      </c>
      <c r="CU51" s="18">
        <f>CT51*VLOOKUP('Données projet'!$B$13,Paramètres!$A$1:$I$89,3,0)*VLOOKUP('Données projet'!$B$13,Paramètres!$A$1:$I$89,5,0)</f>
        <v>202.41635555555567</v>
      </c>
      <c r="CV51" s="14">
        <f t="shared" si="41"/>
        <v>50.274837801805468</v>
      </c>
      <c r="CW51" s="22">
        <f t="shared" si="13"/>
        <v>440.10382843073722</v>
      </c>
      <c r="CX51" s="62">
        <f t="shared" si="14"/>
        <v>733.43716176407054</v>
      </c>
      <c r="CY51" s="62">
        <f ca="1">AVERAGE(OFFSET($CX$3,0,0,'Données projet'!$E$13+1,1))-AVERAGE(OFFSET($H$3,0,0,'Données projet'!$E$13+1,1))</f>
        <v>349.5718186624772</v>
      </c>
      <c r="CZ51" s="62">
        <f t="shared" si="42"/>
        <v>258.14152930815959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27.053372432383767</v>
      </c>
      <c r="DG51" s="23">
        <f>EXP(-LN(2)/25)*DG50+(1-EXP(-LN(2)/25))/(LN(2)/25)*Calculateur!DB51*Calculateur!DD51*VLOOKUP('Données projet'!$B$13,Paramètres!$A$1:$I$89,3,0)*0.475*44/12</f>
        <v>14.048438163933323</v>
      </c>
      <c r="DH51" s="23">
        <f>EXP(-LN(2)/2)*DH50+(1-EXP(-LN(2)/2))/(LN(2)/2)*DB51*DE51*VLOOKUP('Données projet'!$B$13,Paramètres!$A$1:$I$89,3,0)*0.475*44/12</f>
        <v>0.82442238679179936</v>
      </c>
      <c r="DI51" s="24">
        <f t="shared" si="15"/>
        <v>41.926232983108896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</v>
      </c>
      <c r="DO51" s="13">
        <f>IF('Données projet'!$A$166&gt;35,DO50+DN51-DW50,IF(A51&lt;'Données projet'!$A$166,$DL$205^A51,IF(A51='Données projet'!$A$166,'Données projet'!$B$166,DO50+DN51-DW50)))</f>
        <v>161.00000000000003</v>
      </c>
      <c r="DP51" s="18">
        <f>DO51*VLOOKUP('Données projet'!$B$14,Paramètres!$A$1:$I$89,3,0)*VLOOKUP('Données projet'!$B$14,Paramètres!$A$1:$I$89,5,0)</f>
        <v>140.64960000000005</v>
      </c>
      <c r="DQ51" s="14">
        <f t="shared" si="43"/>
        <v>36.445779615258637</v>
      </c>
      <c r="DR51" s="22">
        <f t="shared" si="16"/>
        <v>308.44111949657554</v>
      </c>
      <c r="DS51" s="62">
        <f t="shared" si="17"/>
        <v>601.7744528299088</v>
      </c>
      <c r="DT51" s="62">
        <f ca="1">AVERAGE(OFFSET($DS$3,0,0,'Données projet'!$E$14+1,1))-AVERAGE(OFFSET($H$3,0,0,'Données projet'!$E$14+1,1))</f>
        <v>300.63505444445104</v>
      </c>
      <c r="DU51" s="62">
        <f t="shared" si="44"/>
        <v>266.32508105927997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6.8040431483796509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6.8040431483796509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8.6</v>
      </c>
      <c r="EJ51" s="13">
        <f>IF('Données projet'!$A$192&gt;35,EJ50+EI51-ER50,IF(A51&lt;'Données projet'!$A$192,$EG$205^A51,IF(A51='Données projet'!$A$192,'Données projet'!$B$192,EJ50+EI51-ER50)))</f>
        <v>243.80000000000004</v>
      </c>
      <c r="EK51" s="18">
        <f>EJ51*VLOOKUP('Données projet'!$B$15,Paramètres!$A$1:$I$89,3,0)*VLOOKUP('Données projet'!$B$15,Paramètres!$A$1:$I$89,5,0)</f>
        <v>193.96728000000004</v>
      </c>
      <c r="EL51" s="14">
        <f t="shared" si="45"/>
        <v>48.41600442423902</v>
      </c>
      <c r="EM51" s="22">
        <f t="shared" si="19"/>
        <v>422.15088703888301</v>
      </c>
      <c r="EN51" s="62">
        <f t="shared" si="20"/>
        <v>715.48422037221633</v>
      </c>
      <c r="EO51" s="62">
        <f ca="1">AVERAGE(OFFSET($EN$3,0,0,'Données projet'!$E$15+1,1))-AVERAGE(OFFSET($H$3,0,0,'Données projet'!$E$15+1,1))</f>
        <v>353.37024194969638</v>
      </c>
      <c r="EP51" s="62">
        <f t="shared" si="46"/>
        <v>345.4750813433123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25.842118048872113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25.842118048872113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6.6</v>
      </c>
      <c r="FE51" s="13">
        <f>IF('Données projet'!$A$218&gt;35,FE50+FD51-FM50,IF(A51&lt;'Données projet'!$A$218,$FB$205^A51,IF(A51='Données projet'!$A$218,'Données projet'!$B$218,FE50+FD51-FM50)))</f>
        <v>201.80000000000007</v>
      </c>
      <c r="FF51" s="18">
        <f>FE51*VLOOKUP('Données projet'!$B$16,Paramètres!$A$1:$I$89,3,0)*VLOOKUP('Données projet'!$B$16,Paramètres!$A$1:$I$89,5,0)</f>
        <v>132.21936000000005</v>
      </c>
      <c r="FG51" s="14">
        <f t="shared" si="47"/>
        <v>34.508681932648301</v>
      </c>
      <c r="FH51" s="22">
        <f t="shared" si="22"/>
        <v>290.3846730326959</v>
      </c>
      <c r="FI51" s="62">
        <f t="shared" si="23"/>
        <v>583.71800636602916</v>
      </c>
      <c r="FJ51" s="62">
        <f ca="1">AVERAGE(OFFSET($FI$3,0,0,'Données projet'!$E$16+1,1))-AVERAGE(OFFSET($H$3,0,0,'Données projet'!$E$16+1,1))</f>
        <v>263.30962868541337</v>
      </c>
      <c r="FK51" s="62">
        <f t="shared" si="48"/>
        <v>269.61868559913404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6.4016239710401699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6.4016239710401699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7.5280000000000014</v>
      </c>
      <c r="N52" s="14">
        <f>IF('Données projet'!$A$36&gt;35,N51+M52-V51,IF(A52&lt;'Données projet'!$A$36,$K$205^A52,IF(A52='Données projet'!$A$36,'Données projet'!$B$36,N51+M52-V51)))</f>
        <v>159.80200000000005</v>
      </c>
      <c r="O52" s="14">
        <f>N52*VLOOKUP('Données projet'!$B$9,Paramètres!$A$1:$I$89,3,0)*VLOOKUP('Données projet'!$B$9,Paramètres!$A$1:$I$89,5,0)</f>
        <v>95.561596000000051</v>
      </c>
      <c r="P52" s="14">
        <f t="shared" si="33"/>
        <v>25.901831401514194</v>
      </c>
      <c r="Q52" s="22">
        <f t="shared" si="53"/>
        <v>211.54880272430398</v>
      </c>
      <c r="R52" s="62">
        <f t="shared" si="0"/>
        <v>504.8821360576373</v>
      </c>
      <c r="S52" s="62">
        <f ca="1">AVERAGE(OFFSET($R$3,0,0,'Données projet'!$E$9+1,1))-AVERAGE(OFFSET($H$3,0,0,'Données projet'!$E$9+1,1))</f>
        <v>262.06511368698341</v>
      </c>
      <c r="T52" s="62">
        <f t="shared" si="34"/>
        <v>217.15709240080542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9.7604905379736397</v>
      </c>
      <c r="AA52" s="23">
        <f>EXP(-LN(2)/25)*AA51+(1-EXP(-LN(2)/25))/(LN(2)/25)*Calculateur!V52*Calculateur!X52*VLOOKUP('Données projet'!$B$9,Paramètres!$A$1:$I$89,3,0)*0.475*44/12</f>
        <v>8.0060047071779046</v>
      </c>
      <c r="AB52" s="23">
        <f>EXP(-LN(2)/2)*AB51+(1-EXP(-LN(2)/2))/(LN(2)/2)*V52*Y52*VLOOKUP('Données projet'!$B$9,Paramètres!$A$1:$I$89,3,0)*0.475*44/12</f>
        <v>3.2562902372651283</v>
      </c>
      <c r="AC52" s="24">
        <f t="shared" si="3"/>
        <v>21.022785482416673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6.3325490196078427</v>
      </c>
      <c r="AI52" s="14">
        <f>IF('Données projet'!$A$62&gt;35,AI51+AH52-AQ51,IF(A52&lt;'Données projet'!$A$62,$AF$205^A52,IF(A52='Données projet'!$A$62,'Données projet'!$B$62,AI51+AH52-AQ51)))</f>
        <v>310.29490196078433</v>
      </c>
      <c r="AJ52" s="14">
        <f>AI52*VLOOKUP('Données projet'!$B$10,Paramètres!$A$1:$I$89,3,0)*VLOOKUP('Données projet'!$B$10,Paramètres!$A$1:$I$89,5,0)</f>
        <v>145.21801411764707</v>
      </c>
      <c r="AK52" s="14">
        <f t="shared" si="35"/>
        <v>37.489821519030656</v>
      </c>
      <c r="AL52" s="22">
        <f t="shared" si="4"/>
        <v>318.21614706721363</v>
      </c>
      <c r="AM52" s="62">
        <f t="shared" si="5"/>
        <v>611.54948040054694</v>
      </c>
      <c r="AN52" s="62">
        <f ca="1">AVERAGE(OFFSET($AM$3,0,0,'Données projet'!$E$10+1,1))-AVERAGE(OFFSET($H$3,0,0,'Données projet'!$E$10+1,1))</f>
        <v>287.83167869616227</v>
      </c>
      <c r="AO52" s="62">
        <f t="shared" si="36"/>
        <v>233.84231920589906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8.8333333333333339</v>
      </c>
      <c r="BD52" s="13">
        <f>IF('Données projet'!$A$88&gt;35,BD51+BC52-BL51,IF(A52&lt;'Données projet'!$A$88,$BA$205^A52,IF(A52='Données projet'!$A$88,'Données projet'!$B$88,BD51+BC52-BL51)))</f>
        <v>243.83333333333331</v>
      </c>
      <c r="BE52" s="14">
        <f>BD52*VLOOKUP('Données projet'!$B$11,Paramètres!$A$1:$I$89,3,0)*VLOOKUP('Données projet'!$B$11,Paramètres!$A$1:$I$89,5,0)</f>
        <v>152.15199999999999</v>
      </c>
      <c r="BF52" s="14">
        <f t="shared" si="37"/>
        <v>39.067229161930662</v>
      </c>
      <c r="BG52" s="22">
        <f t="shared" si="7"/>
        <v>333.04015745702924</v>
      </c>
      <c r="BH52" s="62">
        <f t="shared" si="8"/>
        <v>626.37349079036255</v>
      </c>
      <c r="BI52" s="62">
        <f ca="1">AVERAGE(OFFSET($BH$3,0,0,'Données projet'!$E$11+1,1))-AVERAGE(OFFSET($H$3,0,0,'Données projet'!$E$11+1,1))</f>
        <v>262.36903350767881</v>
      </c>
      <c r="BJ52" s="62">
        <f t="shared" si="38"/>
        <v>331.21009482262417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45.710652032318293</v>
      </c>
      <c r="BQ52" s="23">
        <f>EXP(-LN(2)/25)*BQ51+(1-EXP(-LN(2)/25))/(LN(2)/25)*Calculateur!BL52*Calculateur!BN52*VLOOKUP('Données projet'!$B$11,Paramètres!$A$1:$I$89,3,0)*0.475*44/12</f>
        <v>29.630456995964334</v>
      </c>
      <c r="BR52" s="23">
        <f>EXP(-LN(2)/2)*BR51+(1-EXP(-LN(2)/2))/(LN(2)/2)*BL52*BO52*VLOOKUP('Données projet'!$B$11,Paramètres!$A$1:$I$89,3,0)*0.475*44/12</f>
        <v>2.2420035247250985</v>
      </c>
      <c r="BS52" s="24">
        <f t="shared" si="9"/>
        <v>77.583112553007723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9.3712500000000034</v>
      </c>
      <c r="BY52" s="13">
        <f>IF('Données projet'!$A$114&gt;35,BY51+BX52-CG51,IF(A52&lt;'Données projet'!$A$114,$BV$205^A52,IF(A52='Données projet'!$A$114,'Données projet'!$B$114,BY51+BX52-CG51)))</f>
        <v>185.64875000000012</v>
      </c>
      <c r="BZ52" s="14">
        <f>BY52*VLOOKUP('Données projet'!$B$12,Paramètres!$A$1:$I$89,3,0)*VLOOKUP('Données projet'!$B$12,Paramètres!$A$1:$I$89,5,0)</f>
        <v>179.55947100000012</v>
      </c>
      <c r="CA52" s="14">
        <f t="shared" si="39"/>
        <v>45.224162607337405</v>
      </c>
      <c r="CB52" s="22">
        <f t="shared" si="10"/>
        <v>391.49816186611287</v>
      </c>
      <c r="CC52" s="62">
        <f t="shared" si="11"/>
        <v>684.83149519944618</v>
      </c>
      <c r="CD52" s="62">
        <f ca="1">AVERAGE(OFFSET($CC$3,0,0,'Données projet'!$E$12+1,1))-AVERAGE(OFFSET($H$3,0,0,'Données projet'!$E$12+1,1))</f>
        <v>618.83149423524605</v>
      </c>
      <c r="CE52" s="62">
        <f t="shared" si="40"/>
        <v>285.33582535802435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3.4589168075342673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3.4589168075342673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15.725555555555552</v>
      </c>
      <c r="CT52" s="13">
        <f>IF('Données projet'!$A$140&gt;35,CT51+CS52-DB51,IF(A52&lt;'Données projet'!$A$140,$CQ$205^A52,IF(A52='Données projet'!$A$140,'Données projet'!$B$140,CT51+CS52-DB51)))</f>
        <v>354.21444444444461</v>
      </c>
      <c r="CU52" s="18">
        <f>CT52*VLOOKUP('Données projet'!$B$13,Paramètres!$A$1:$I$89,3,0)*VLOOKUP('Données projet'!$B$13,Paramètres!$A$1:$I$89,5,0)</f>
        <v>211.82023777777789</v>
      </c>
      <c r="CV52" s="14">
        <f t="shared" si="41"/>
        <v>52.333153433287507</v>
      </c>
      <c r="CW52" s="22">
        <f t="shared" si="13"/>
        <v>460.06715635927225</v>
      </c>
      <c r="CX52" s="62">
        <f t="shared" si="14"/>
        <v>753.40048969260556</v>
      </c>
      <c r="CY52" s="62">
        <f ca="1">AVERAGE(OFFSET($CX$3,0,0,'Données projet'!$E$13+1,1))-AVERAGE(OFFSET($H$3,0,0,'Données projet'!$E$13+1,1))</f>
        <v>349.5718186624772</v>
      </c>
      <c r="CZ52" s="62">
        <f t="shared" si="42"/>
        <v>258.14152930815959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26.522872299912574</v>
      </c>
      <c r="DG52" s="23">
        <f>EXP(-LN(2)/25)*DG51+(1-EXP(-LN(2)/25))/(LN(2)/25)*Calculateur!DB52*Calculateur!DD52*VLOOKUP('Données projet'!$B$13,Paramètres!$A$1:$I$89,3,0)*0.475*44/12</f>
        <v>13.664282883565312</v>
      </c>
      <c r="DH52" s="23">
        <f>EXP(-LN(2)/2)*DH51+(1-EXP(-LN(2)/2))/(LN(2)/2)*DB52*DE52*VLOOKUP('Données projet'!$B$13,Paramètres!$A$1:$I$89,3,0)*0.475*44/12</f>
        <v>0.58295466026248011</v>
      </c>
      <c r="DI52" s="24">
        <f t="shared" si="15"/>
        <v>40.770109843740364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</v>
      </c>
      <c r="DO52" s="13">
        <f>IF('Données projet'!$A$166&gt;35,DO51+DN52-DW51,IF(A52&lt;'Données projet'!$A$166,$DL$205^A52,IF(A52='Données projet'!$A$166,'Données projet'!$B$166,DO51+DN52-DW51)))</f>
        <v>167.00000000000003</v>
      </c>
      <c r="DP52" s="18">
        <f>DO52*VLOOKUP('Données projet'!$B$14,Paramètres!$A$1:$I$89,3,0)*VLOOKUP('Données projet'!$B$14,Paramètres!$A$1:$I$89,5,0)</f>
        <v>145.89120000000005</v>
      </c>
      <c r="DQ52" s="14">
        <f t="shared" si="43"/>
        <v>37.643342098399685</v>
      </c>
      <c r="DR52" s="22">
        <f t="shared" si="16"/>
        <v>319.65599415471291</v>
      </c>
      <c r="DS52" s="62">
        <f t="shared" si="17"/>
        <v>612.98932748804623</v>
      </c>
      <c r="DT52" s="62">
        <f ca="1">AVERAGE(OFFSET($DS$3,0,0,'Données projet'!$E$14+1,1))-AVERAGE(OFFSET($H$3,0,0,'Données projet'!$E$14+1,1))</f>
        <v>300.63505444445104</v>
      </c>
      <c r="DU52" s="62">
        <f t="shared" si="44"/>
        <v>266.32508105927997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6.6706200122964621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6.6706200122964621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8.6</v>
      </c>
      <c r="EJ52" s="13">
        <f>IF('Données projet'!$A$192&gt;35,EJ51+EI52-ER51,IF(A52&lt;'Données projet'!$A$192,$EG$205^A52,IF(A52='Données projet'!$A$192,'Données projet'!$B$192,EJ51+EI52-ER51)))</f>
        <v>252.40000000000003</v>
      </c>
      <c r="EK52" s="18">
        <f>EJ52*VLOOKUP('Données projet'!$B$15,Paramètres!$A$1:$I$89,3,0)*VLOOKUP('Données projet'!$B$15,Paramètres!$A$1:$I$89,5,0)</f>
        <v>200.80944000000002</v>
      </c>
      <c r="EL52" s="14">
        <f t="shared" si="45"/>
        <v>49.922016299484312</v>
      </c>
      <c r="EM52" s="22">
        <f t="shared" si="19"/>
        <v>436.69061972160188</v>
      </c>
      <c r="EN52" s="62">
        <f t="shared" si="20"/>
        <v>730.02395305493519</v>
      </c>
      <c r="EO52" s="62">
        <f ca="1">AVERAGE(OFFSET($EN$3,0,0,'Données projet'!$E$15+1,1))-AVERAGE(OFFSET($H$3,0,0,'Données projet'!$E$15+1,1))</f>
        <v>353.37024194969638</v>
      </c>
      <c r="EP52" s="62">
        <f t="shared" si="46"/>
        <v>345.4750813433123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25.335369876069358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25.335369876069358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6.6</v>
      </c>
      <c r="FE52" s="13">
        <f>IF('Données projet'!$A$218&gt;35,FE51+FD52-FM51,IF(A52&lt;'Données projet'!$A$218,$FB$205^A52,IF(A52='Données projet'!$A$218,'Données projet'!$B$218,FE51+FD52-FM51)))</f>
        <v>208.40000000000006</v>
      </c>
      <c r="FF52" s="18">
        <f>FE52*VLOOKUP('Données projet'!$B$16,Paramètres!$A$1:$I$89,3,0)*VLOOKUP('Données projet'!$B$16,Paramètres!$A$1:$I$89,5,0)</f>
        <v>136.54368000000002</v>
      </c>
      <c r="FG52" s="14">
        <f t="shared" si="47"/>
        <v>35.504062844328153</v>
      </c>
      <c r="FH52" s="22">
        <f t="shared" si="22"/>
        <v>299.64981878720488</v>
      </c>
      <c r="FI52" s="62">
        <f t="shared" si="23"/>
        <v>592.98315212053819</v>
      </c>
      <c r="FJ52" s="62">
        <f ca="1">AVERAGE(OFFSET($FI$3,0,0,'Données projet'!$E$16+1,1))-AVERAGE(OFFSET($H$3,0,0,'Données projet'!$E$16+1,1))</f>
        <v>263.30962868541337</v>
      </c>
      <c r="FK52" s="62">
        <f t="shared" si="48"/>
        <v>269.61868559913404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6.2760920295731468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6.2760920295731468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7.5280000000000014</v>
      </c>
      <c r="N53" s="14">
        <f>IF('Données projet'!$A$36&gt;35,N52+M53-V52,IF(A53&lt;'Données projet'!$A$36,$K$205^A53,IF(A53='Données projet'!$A$36,'Données projet'!$B$36,N52+M53-V52)))</f>
        <v>167.33000000000004</v>
      </c>
      <c r="O53" s="14">
        <f>N53*VLOOKUP('Données projet'!$B$9,Paramètres!$A$1:$I$89,3,0)*VLOOKUP('Données projet'!$B$9,Paramètres!$A$1:$I$89,5,0)</f>
        <v>100.06334000000003</v>
      </c>
      <c r="P53" s="14">
        <f t="shared" si="33"/>
        <v>26.977086873773239</v>
      </c>
      <c r="Q53" s="22">
        <f t="shared" si="53"/>
        <v>221.26207680515509</v>
      </c>
      <c r="R53" s="62">
        <f t="shared" si="0"/>
        <v>514.59541013848843</v>
      </c>
      <c r="S53" s="62">
        <f ca="1">AVERAGE(OFFSET($R$3,0,0,'Données projet'!$E$9+1,1))-AVERAGE(OFFSET($H$3,0,0,'Données projet'!$E$9+1,1))</f>
        <v>262.06511368698341</v>
      </c>
      <c r="T53" s="62">
        <f t="shared" si="34"/>
        <v>217.15709240080542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9.5690932718353636</v>
      </c>
      <c r="AA53" s="23">
        <f>EXP(-LN(2)/25)*AA52+(1-EXP(-LN(2)/25))/(LN(2)/25)*Calculateur!V53*Calculateur!X53*VLOOKUP('Données projet'!$B$9,Paramètres!$A$1:$I$89,3,0)*0.475*44/12</f>
        <v>7.7870800874426349</v>
      </c>
      <c r="AB53" s="23">
        <f>EXP(-LN(2)/2)*AB52+(1-EXP(-LN(2)/2))/(LN(2)/2)*V53*Y53*VLOOKUP('Données projet'!$B$9,Paramètres!$A$1:$I$89,3,0)*0.475*44/12</f>
        <v>2.3025449082817242</v>
      </c>
      <c r="AC53" s="24">
        <f t="shared" si="3"/>
        <v>19.658718267559724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6.3325490196078427</v>
      </c>
      <c r="AI53" s="14">
        <f>IF('Données projet'!$A$62&gt;35,AI52+AH53-AQ52,IF(A53&lt;'Données projet'!$A$62,$AF$205^A53,IF(A53='Données projet'!$A$62,'Données projet'!$B$62,AI52+AH53-AQ52)))</f>
        <v>316.62745098039215</v>
      </c>
      <c r="AJ53" s="14">
        <f>AI53*VLOOKUP('Données projet'!$B$10,Paramètres!$A$1:$I$89,3,0)*VLOOKUP('Données projet'!$B$10,Paramètres!$A$1:$I$89,5,0)</f>
        <v>148.18164705882353</v>
      </c>
      <c r="AK53" s="14">
        <f t="shared" si="35"/>
        <v>38.165065525917342</v>
      </c>
      <c r="AL53" s="22">
        <f t="shared" si="4"/>
        <v>324.55385775175705</v>
      </c>
      <c r="AM53" s="62">
        <f t="shared" si="5"/>
        <v>617.88719108509031</v>
      </c>
      <c r="AN53" s="62">
        <f ca="1">AVERAGE(OFFSET($AM$3,0,0,'Données projet'!$E$10+1,1))-AVERAGE(OFFSET($H$3,0,0,'Données projet'!$E$10+1,1))</f>
        <v>287.83167869616227</v>
      </c>
      <c r="AO53" s="62">
        <f t="shared" si="36"/>
        <v>233.84231920589906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8.8333333333333339</v>
      </c>
      <c r="BD53" s="13">
        <f>IF('Données projet'!$A$88&gt;35,BD52+BC53-BL52,IF(A53&lt;'Données projet'!$A$88,$BA$205^A53,IF(A53='Données projet'!$A$88,'Données projet'!$B$88,BD52+BC53-BL52)))</f>
        <v>252.66666666666666</v>
      </c>
      <c r="BE53" s="14">
        <f>BD53*VLOOKUP('Données projet'!$B$11,Paramètres!$A$1:$I$89,3,0)*VLOOKUP('Données projet'!$B$11,Paramètres!$A$1:$I$89,5,0)</f>
        <v>157.66399999999999</v>
      </c>
      <c r="BF53" s="14">
        <f t="shared" si="37"/>
        <v>40.315173924610093</v>
      </c>
      <c r="BG53" s="22">
        <f t="shared" si="7"/>
        <v>344.81372791869586</v>
      </c>
      <c r="BH53" s="62">
        <f t="shared" si="8"/>
        <v>638.14706125202918</v>
      </c>
      <c r="BI53" s="62">
        <f ca="1">AVERAGE(OFFSET($BH$3,0,0,'Données projet'!$E$11+1,1))-AVERAGE(OFFSET($H$3,0,0,'Données projet'!$E$11+1,1))</f>
        <v>262.36903350767881</v>
      </c>
      <c r="BJ53" s="62">
        <f t="shared" si="38"/>
        <v>331.21009482262417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44.814294026709277</v>
      </c>
      <c r="BQ53" s="23">
        <f>EXP(-LN(2)/25)*BQ52+(1-EXP(-LN(2)/25))/(LN(2)/25)*Calculateur!BL53*Calculateur!BN53*VLOOKUP('Données projet'!$B$11,Paramètres!$A$1:$I$89,3,0)*0.475*44/12</f>
        <v>28.820210591211676</v>
      </c>
      <c r="BR53" s="23">
        <f>EXP(-LN(2)/2)*BR52+(1-EXP(-LN(2)/2))/(LN(2)/2)*BL53*BO53*VLOOKUP('Données projet'!$B$11,Paramètres!$A$1:$I$89,3,0)*0.475*44/12</f>
        <v>1.5853358957772585</v>
      </c>
      <c r="BS53" s="24">
        <f t="shared" si="9"/>
        <v>75.219840513698216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195.02</v>
      </c>
      <c r="BW53" s="13">
        <f>VLOOKUP(A53,'Données projet'!$A$113:$I$133,9,0)</f>
        <v>9.3712500000000034</v>
      </c>
      <c r="BX53" s="13">
        <f t="array" ref="BX53">INDEX(BW:BW,MIN(IF(ISNUMBER(BW53:BW249),ROW(BW53:BW249),"")))</f>
        <v>9.3712500000000034</v>
      </c>
      <c r="BY53" s="13">
        <f>IF('Données projet'!$A$114&gt;35,BY52+BX53-CG52,IF(A53&lt;'Données projet'!$A$114,$BV$205^A53,IF(A53='Données projet'!$A$114,'Données projet'!$B$114,BY52+BX53-CG52)))</f>
        <v>195.02000000000012</v>
      </c>
      <c r="BZ53" s="14">
        <f>BY53*VLOOKUP('Données projet'!$B$12,Paramètres!$A$1:$I$89,3,0)*VLOOKUP('Données projet'!$B$12,Paramètres!$A$1:$I$89,5,0)</f>
        <v>188.62334400000012</v>
      </c>
      <c r="CA53" s="14">
        <f t="shared" si="39"/>
        <v>47.235465062657511</v>
      </c>
      <c r="CB53" s="22">
        <f t="shared" si="10"/>
        <v>410.78742578412863</v>
      </c>
      <c r="CC53" s="62">
        <f t="shared" si="11"/>
        <v>704.12075911746194</v>
      </c>
      <c r="CD53" s="62">
        <f ca="1">AVERAGE(OFFSET($CC$3,0,0,'Données projet'!$E$12+1,1))-AVERAGE(OFFSET($H$3,0,0,'Données projet'!$E$12+1,1))</f>
        <v>618.83149423524605</v>
      </c>
      <c r="CE53" s="62">
        <f t="shared" si="40"/>
        <v>285.33582535802435</v>
      </c>
      <c r="CF53" s="16">
        <f>IF(ISNA(VLOOKUP(A53,'Données projet'!$A$113:$I$133,3,0)),0,VLOOKUP(A53,'Données projet'!$A$113:$I$133,3,0))</f>
        <v>2</v>
      </c>
      <c r="CG53" s="16">
        <f>IF(ISNA(VLOOKUP(A53,'Données projet'!$A$113:$I$133,4,0)),0,VLOOKUP(A53,'Données projet'!$A$113:$I$133,4,0))</f>
        <v>35.58</v>
      </c>
      <c r="CH53" s="17">
        <f>IF(ISNA(VLOOKUP(A53,'Données projet'!$A$113:$I$133,5,0)),0%,VLOOKUP(A53,'Données projet'!$A$113:$I$133,5,0)*VLOOKUP('Données projet'!$B$12,Paramètres!$A$1:$I$89,7,0))</f>
        <v>8.6000000000000007E-2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6.662746763673189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6.662746763673189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369.94</v>
      </c>
      <c r="CR53" s="13">
        <f>VLOOKUP(A53,'Données projet'!$A$139:$I$159,9,0)</f>
        <v>15.725555555555552</v>
      </c>
      <c r="CS53" s="13">
        <f t="array" ref="CS53">INDEX(CR:CR,MIN(IF(ISNUMBER(CR53:CR249),ROW(CR53:CR249),"")))</f>
        <v>15.725555555555552</v>
      </c>
      <c r="CT53" s="13">
        <f>IF('Données projet'!$A$140&gt;35,CT52+CS53-DB52,IF(A53&lt;'Données projet'!$A$140,$CQ$205^A53,IF(A53='Données projet'!$A$140,'Données projet'!$B$140,CT52+CS53-DB52)))</f>
        <v>369.94000000000017</v>
      </c>
      <c r="CU53" s="18">
        <f>CT53*VLOOKUP('Données projet'!$B$13,Paramètres!$A$1:$I$89,3,0)*VLOOKUP('Données projet'!$B$13,Paramètres!$A$1:$I$89,5,0)</f>
        <v>221.22412000000014</v>
      </c>
      <c r="CV53" s="14">
        <f t="shared" si="41"/>
        <v>54.380856173847832</v>
      </c>
      <c r="CW53" s="22">
        <f t="shared" si="13"/>
        <v>480.01200016945177</v>
      </c>
      <c r="CX53" s="62">
        <f t="shared" si="14"/>
        <v>773.34533350278502</v>
      </c>
      <c r="CY53" s="62">
        <f ca="1">AVERAGE(OFFSET($CX$3,0,0,'Données projet'!$E$13+1,1))-AVERAGE(OFFSET($H$3,0,0,'Données projet'!$E$13+1,1))</f>
        <v>349.5718186624772</v>
      </c>
      <c r="CZ53" s="62">
        <f t="shared" si="42"/>
        <v>258.14152930815959</v>
      </c>
      <c r="DA53" s="16">
        <f>IF(ISNA(VLOOKUP(A53,'Données projet'!$A$139:$I$159,3,0)),0,VLOOKUP(A53,'Données projet'!$A$139:$I$159,3,0))</f>
        <v>5</v>
      </c>
      <c r="DB53" s="16">
        <f>IF(ISNA(VLOOKUP(A53,'Données projet'!$A$139:$I$159,4,0)),0,VLOOKUP(A53,'Données projet'!$A$139:$I$159,4,0))</f>
        <v>70.2</v>
      </c>
      <c r="DC53" s="17">
        <f>IF(ISNA(VLOOKUP(A53,'Données projet'!$A$139:$I$159,5,0)),0%,VLOOKUP(A53,'Données projet'!$A$139:$I$159,5,0)*VLOOKUP('Données projet'!$B$13,Paramètres!$A$1:$I$89,7,0))</f>
        <v>0.315</v>
      </c>
      <c r="DD53" s="17">
        <f>IF(ISNA(VLOOKUP(A53,'Données projet'!$A$139:$I$159,6,0)),0%,VLOOKUP(A53,'Données projet'!$A$139:$I$159,6,0)*VLOOKUP('Données projet'!$B$13,Paramètres!$A$1:$I$89,7,0))</f>
        <v>7.6500000000000012E-2</v>
      </c>
      <c r="DE53" s="17">
        <f>IF(ISNA(VLOOKUP(A53,'Données projet'!$A$139:$I$159,7,0)),0%,VLOOKUP(A53,'Données projet'!$A$139:$I$159,7,0))</f>
        <v>0.13</v>
      </c>
      <c r="DF53" s="23">
        <f>EXP(-LN(2)/35)*DF52+(1-EXP(-LN(2)/35))/(LN(2)/35)*DB53*DC53*VLOOKUP('Données projet'!$B$13,Paramètres!$A$1:$I$89,3,0)*0.475*44/12</f>
        <v>43.544698193740473</v>
      </c>
      <c r="DG53" s="23">
        <f>EXP(-LN(2)/25)*DG52+(1-EXP(-LN(2)/25))/(LN(2)/25)*Calculateur!DB53*Calculateur!DD53*VLOOKUP('Données projet'!$B$13,Paramètres!$A$1:$I$89,3,0)*0.475*44/12</f>
        <v>17.534039751112793</v>
      </c>
      <c r="DH53" s="23">
        <f>EXP(-LN(2)/2)*DH52+(1-EXP(-LN(2)/2))/(LN(2)/2)*DB53*DE53*VLOOKUP('Données projet'!$B$13,Paramètres!$A$1:$I$89,3,0)*0.475*44/12</f>
        <v>6.591196857837363</v>
      </c>
      <c r="DI53" s="24">
        <f t="shared" si="15"/>
        <v>67.669934802690634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173</v>
      </c>
      <c r="DM53" s="13">
        <f>VLOOKUP(A53,'Données projet'!$A$165:$I$185,9,0)</f>
        <v>6</v>
      </c>
      <c r="DN53" s="13">
        <f t="array" ref="DN53">INDEX(DM:DM,MIN(IF(ISNUMBER(DM53:DM249),ROW(DM53:DM249),"")))</f>
        <v>6</v>
      </c>
      <c r="DO53" s="13">
        <f>IF('Données projet'!$A$166&gt;35,DO52+DN53-DW52,IF(A53&lt;'Données projet'!$A$166,$DL$205^A53,IF(A53='Données projet'!$A$166,'Données projet'!$B$166,DO52+DN53-DW52)))</f>
        <v>173.00000000000003</v>
      </c>
      <c r="DP53" s="18">
        <f>DO53*VLOOKUP('Données projet'!$B$14,Paramètres!$A$1:$I$89,3,0)*VLOOKUP('Données projet'!$B$14,Paramètres!$A$1:$I$89,5,0)</f>
        <v>151.13280000000003</v>
      </c>
      <c r="DQ53" s="14">
        <f t="shared" si="43"/>
        <v>38.835905653934425</v>
      </c>
      <c r="DR53" s="22">
        <f t="shared" si="16"/>
        <v>330.86216234726913</v>
      </c>
      <c r="DS53" s="62">
        <f t="shared" si="17"/>
        <v>624.19549568060245</v>
      </c>
      <c r="DT53" s="62">
        <f ca="1">AVERAGE(OFFSET($DS$3,0,0,'Données projet'!$E$14+1,1))-AVERAGE(OFFSET($H$3,0,0,'Données projet'!$E$14+1,1))</f>
        <v>300.63505444445104</v>
      </c>
      <c r="DU53" s="62">
        <f t="shared" si="44"/>
        <v>266.32508105927997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18</v>
      </c>
      <c r="DX53" s="17">
        <f>IF(ISNA(VLOOKUP(A53,'Données projet'!$A$165:$I$185,5,0)),0%,VLOOKUP(A53,'Données projet'!$A$165:$I$185,5,0)*VLOOKUP('Données projet'!$B$14,Paramètres!$A$1:$I$89,7,0))</f>
        <v>0.17200000000000001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9.5297409298735012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9.5297409298735012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261</v>
      </c>
      <c r="EH53" s="13">
        <f>VLOOKUP(A53,'Données projet'!$A$191:$I$211,9,0)</f>
        <v>8.6</v>
      </c>
      <c r="EI53" s="13">
        <f t="array" ref="EI53">INDEX(EH:EH,MIN(IF(ISNUMBER(EH53:EH249),ROW(EH53:EH249),"")))</f>
        <v>8.6</v>
      </c>
      <c r="EJ53" s="13">
        <f>IF('Données projet'!$A$192&gt;35,EJ52+EI53-ER52,IF(A53&lt;'Données projet'!$A$192,$EG$205^A53,IF(A53='Données projet'!$A$192,'Données projet'!$B$192,EJ52+EI53-ER52)))</f>
        <v>261.00000000000006</v>
      </c>
      <c r="EK53" s="18">
        <f>EJ53*VLOOKUP('Données projet'!$B$15,Paramètres!$A$1:$I$89,3,0)*VLOOKUP('Données projet'!$B$15,Paramètres!$A$1:$I$89,5,0)</f>
        <v>207.65160000000006</v>
      </c>
      <c r="EL53" s="14">
        <f t="shared" si="45"/>
        <v>51.422065813018108</v>
      </c>
      <c r="EM53" s="22">
        <f t="shared" si="19"/>
        <v>451.2199679576733</v>
      </c>
      <c r="EN53" s="62">
        <f t="shared" si="20"/>
        <v>744.55330129100662</v>
      </c>
      <c r="EO53" s="62">
        <f ca="1">AVERAGE(OFFSET($EN$3,0,0,'Données projet'!$E$15+1,1))-AVERAGE(OFFSET($H$3,0,0,'Données projet'!$E$15+1,1))</f>
        <v>353.37024194969638</v>
      </c>
      <c r="EP53" s="62">
        <f t="shared" si="46"/>
        <v>345.4750813433123</v>
      </c>
      <c r="EQ53" s="16">
        <f>IF(ISNA(VLOOKUP(A53,'Données projet'!$A$191:$I$211,3,0)),0,VLOOKUP(A53,'Données projet'!$A$191:$I$211,3,0))</f>
        <v>9</v>
      </c>
      <c r="ER53" s="16">
        <f>IF(ISNA(VLOOKUP(A53,'Données projet'!$A$191:$I$211,4,0)),0,VLOOKUP(A53,'Données projet'!$A$191:$I$211,4,0))</f>
        <v>19</v>
      </c>
      <c r="ES53" s="17">
        <f>IF(ISNA(VLOOKUP(A53,'Données projet'!$A$191:$I$211,5,0)),0%,VLOOKUP(A53,'Données projet'!$A$191:$I$211,5,0)*VLOOKUP('Données projet'!$B$15,Paramètres!$A$1:$I$89,7,0))</f>
        <v>0.26500000000000001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29.266902823819947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29.266902823819947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215</v>
      </c>
      <c r="FC53" s="13">
        <f>VLOOKUP(A53,'Données projet'!$A$217:$I$237,9,0)</f>
        <v>6.6</v>
      </c>
      <c r="FD53" s="13">
        <f t="array" ref="FD53">INDEX(FC:FC,MIN(IF(ISNUMBER(FC53:FC249),ROW(FC53:FC249),"")))</f>
        <v>6.6</v>
      </c>
      <c r="FE53" s="13">
        <f>IF('Données projet'!$A$218&gt;35,FE52+FD53-FM52,IF(A53&lt;'Données projet'!$A$218,$FB$205^A53,IF(A53='Données projet'!$A$218,'Données projet'!$B$218,FE52+FD53-FM52)))</f>
        <v>215.00000000000006</v>
      </c>
      <c r="FF53" s="18">
        <f>FE53*VLOOKUP('Données projet'!$B$16,Paramètres!$A$1:$I$89,3,0)*VLOOKUP('Données projet'!$B$16,Paramètres!$A$1:$I$89,5,0)</f>
        <v>140.86800000000005</v>
      </c>
      <c r="FG53" s="14">
        <f t="shared" si="47"/>
        <v>36.495780519346958</v>
      </c>
      <c r="FH53" s="22">
        <f t="shared" si="22"/>
        <v>308.90858440452939</v>
      </c>
      <c r="FI53" s="62">
        <f t="shared" si="23"/>
        <v>602.24191773786265</v>
      </c>
      <c r="FJ53" s="62">
        <f ca="1">AVERAGE(OFFSET($FI$3,0,0,'Données projet'!$E$16+1,1))-AVERAGE(OFFSET($H$3,0,0,'Données projet'!$E$16+1,1))</f>
        <v>263.30962868541337</v>
      </c>
      <c r="FK53" s="62">
        <f t="shared" si="48"/>
        <v>269.61868559913404</v>
      </c>
      <c r="FL53" s="16">
        <f>IF(ISNA(VLOOKUP(A53,'Données projet'!$A$217:$I$237,3,0)),0,VLOOKUP(A53,'Données projet'!$A$217:$I$237,3,0))</f>
        <v>9</v>
      </c>
      <c r="FM53" s="16">
        <f>IF(ISNA(VLOOKUP(A53,'Données projet'!$A$217:$I$237,4,0)),0,VLOOKUP(A53,'Données projet'!$A$217:$I$237,4,0))</f>
        <v>24</v>
      </c>
      <c r="FN53" s="17">
        <f>IF(ISNA(VLOOKUP(A53,'Données projet'!$A$217:$I$237,5,0)),0%,VLOOKUP(A53,'Données projet'!$A$217:$I$237,5,0)*VLOOKUP('Données projet'!$B$16,Paramètres!$A$1:$I$89,7,0))</f>
        <v>0.17200000000000001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9.142949400253082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9.142949400253082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7.5280000000000014</v>
      </c>
      <c r="N54" s="14">
        <f>IF('Données projet'!$A$36&gt;35,N53+M54-V53,IF(A54&lt;'Données projet'!$A$36,$K$205^A54,IF(A54='Données projet'!$A$36,'Données projet'!$B$36,N53+M54-V53)))</f>
        <v>174.85800000000003</v>
      </c>
      <c r="O54" s="14">
        <f>N54*VLOOKUP('Données projet'!$B$9,Paramètres!$A$1:$I$89,3,0)*VLOOKUP('Données projet'!$B$9,Paramètres!$A$1:$I$89,5,0)</f>
        <v>104.56508400000003</v>
      </c>
      <c r="P54" s="14">
        <f t="shared" si="33"/>
        <v>28.046724258177839</v>
      </c>
      <c r="Q54" s="22">
        <f t="shared" si="53"/>
        <v>230.96556604965974</v>
      </c>
      <c r="R54" s="62">
        <f t="shared" si="0"/>
        <v>524.29889938299311</v>
      </c>
      <c r="S54" s="62">
        <f ca="1">AVERAGE(OFFSET($R$3,0,0,'Données projet'!$E$9+1,1))-AVERAGE(OFFSET($H$3,0,0,'Données projet'!$E$9+1,1))</f>
        <v>262.06511368698341</v>
      </c>
      <c r="T54" s="62">
        <f t="shared" si="34"/>
        <v>217.15709240080542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9.3814491893452541</v>
      </c>
      <c r="AA54" s="23">
        <f>EXP(-LN(2)/25)*AA53+(1-EXP(-LN(2)/25))/(LN(2)/25)*Calculateur!V54*Calculateur!X54*VLOOKUP('Données projet'!$B$9,Paramètres!$A$1:$I$89,3,0)*0.475*44/12</f>
        <v>7.5741419729467721</v>
      </c>
      <c r="AB54" s="23">
        <f>EXP(-LN(2)/2)*AB53+(1-EXP(-LN(2)/2))/(LN(2)/2)*V54*Y54*VLOOKUP('Données projet'!$B$9,Paramètres!$A$1:$I$89,3,0)*0.475*44/12</f>
        <v>1.6281451186325644</v>
      </c>
      <c r="AC54" s="24">
        <f t="shared" si="3"/>
        <v>18.58373628092459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322.95999999999998</v>
      </c>
      <c r="AG54" s="13">
        <f>VLOOKUP(A54,'Données projet'!$A$61:$I$81,9,0)</f>
        <v>6.3325490196078427</v>
      </c>
      <c r="AH54" s="13">
        <f t="array" ref="AH54">INDEX(AG:AG,MIN(IF(ISNUMBER(AG54:AG250),ROW(AG54:AG250),"")))</f>
        <v>6.3325490196078427</v>
      </c>
      <c r="AI54" s="14">
        <f>IF('Données projet'!$A$62&gt;35,AI53+AH54-AQ53,IF(A54&lt;'Données projet'!$A$62,$AF$205^A54,IF(A54='Données projet'!$A$62,'Données projet'!$B$62,AI53+AH54-AQ53)))</f>
        <v>322.95999999999998</v>
      </c>
      <c r="AJ54" s="14">
        <f>AI54*VLOOKUP('Données projet'!$B$10,Paramètres!$A$1:$I$89,3,0)*VLOOKUP('Données projet'!$B$10,Paramètres!$A$1:$I$89,5,0)</f>
        <v>151.14527999999999</v>
      </c>
      <c r="AK54" s="14">
        <f t="shared" si="35"/>
        <v>38.838739282449957</v>
      </c>
      <c r="AL54" s="22">
        <f t="shared" si="4"/>
        <v>330.88883358360027</v>
      </c>
      <c r="AM54" s="62">
        <f t="shared" si="5"/>
        <v>624.22216691693359</v>
      </c>
      <c r="AN54" s="62">
        <f ca="1">AVERAGE(OFFSET($AM$3,0,0,'Données projet'!$E$10+1,1))-AVERAGE(OFFSET($H$3,0,0,'Données projet'!$E$10+1,1))</f>
        <v>287.83167869616227</v>
      </c>
      <c r="AO54" s="62">
        <f t="shared" si="36"/>
        <v>233.84231920589906</v>
      </c>
      <c r="AP54" s="16">
        <f>IF(ISNA(VLOOKUP(A54,'Données projet'!$A$61:$I$81,3,0)),0,VLOOKUP(A54,'Données projet'!$A$61:$I$81,3,0))</f>
        <v>1</v>
      </c>
      <c r="AQ54" s="16">
        <f>IF(ISNA(VLOOKUP(A54,'Données projet'!$A$61:$I$81,4,0)),0,VLOOKUP(A54,'Données projet'!$A$61:$I$81,4,0))</f>
        <v>99.93</v>
      </c>
      <c r="AR54" s="17">
        <f>IF(ISNA(VLOOKUP(A54,'Données projet'!$A$61:$I$81,5,0)),0%,VLOOKUP(A54,'Données projet'!$A$61:$I$81,5,0)*VLOOKUP('Données projet'!$B$10,Paramètres!$A$1:$I$89,7,0))</f>
        <v>0.22000000000000003</v>
      </c>
      <c r="AS54" s="17">
        <f>IF(ISNA(VLOOKUP(A54,'Données projet'!$A$61:$I$81,6,0)),0%,VLOOKUP(A54,'Données projet'!$A$61:$I$81,6,0)*VLOOKUP('Données projet'!$B$10,Paramètres!$A$1:$I$89,7,0))</f>
        <v>0.18700000000000003</v>
      </c>
      <c r="AT54" s="17">
        <f>IF(ISNA(VLOOKUP(A54,'Données projet'!$A$61:$I$81,7,0)),0%,VLOOKUP(A54,'Données projet'!$A$61:$I$81,7,0))</f>
        <v>0.26</v>
      </c>
      <c r="AU54" s="23">
        <f>EXP(-LN(2)/35)*AU53+(1-EXP(-LN(2)/35))/(LN(2)/35)*AQ54*AR54*VLOOKUP('Données projet'!$B$10,Paramètres!$A$1:$I$89,3,0)*0.475*44/12</f>
        <v>13.648746817862266</v>
      </c>
      <c r="AV54" s="23">
        <f>EXP(-LN(2)/25)*AV53+(1-EXP(-LN(2)/25))/(LN(2)/25)*Calculateur!AQ54*Calculateur!AS54*VLOOKUP('Données projet'!$B$10,Paramètres!$A$1:$I$89,3,0)*0.475*44/12</f>
        <v>11.555755525901072</v>
      </c>
      <c r="AW54" s="23">
        <f>EXP(-LN(2)/2)*AW53+(1-EXP(-LN(2)/2))/(LN(2)/2)*AQ54*AT54*VLOOKUP('Données projet'!$B$10,Paramètres!$A$1:$I$89,3,0)*0.475*44/12</f>
        <v>13.767358694484626</v>
      </c>
      <c r="AX54" s="23">
        <f t="shared" si="6"/>
        <v>38.971861038247965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8.8333333333333339</v>
      </c>
      <c r="BD54" s="13">
        <f>IF('Données projet'!$A$88&gt;35,BD53+BC54-BL53,IF(A54&lt;'Données projet'!$A$88,$BA$205^A54,IF(A54='Données projet'!$A$88,'Données projet'!$B$88,BD53+BC54-BL53)))</f>
        <v>261.5</v>
      </c>
      <c r="BE54" s="14">
        <f>BD54*VLOOKUP('Données projet'!$B$11,Paramètres!$A$1:$I$89,3,0)*VLOOKUP('Données projet'!$B$11,Paramètres!$A$1:$I$89,5,0)</f>
        <v>163.17599999999999</v>
      </c>
      <c r="BF54" s="14">
        <f t="shared" si="37"/>
        <v>41.558049537577787</v>
      </c>
      <c r="BG54" s="22">
        <f t="shared" si="7"/>
        <v>356.57846961128126</v>
      </c>
      <c r="BH54" s="62">
        <f t="shared" si="8"/>
        <v>649.91180294461458</v>
      </c>
      <c r="BI54" s="62">
        <f ca="1">AVERAGE(OFFSET($BH$3,0,0,'Données projet'!$E$11+1,1))-AVERAGE(OFFSET($H$3,0,0,'Données projet'!$E$11+1,1))</f>
        <v>262.36903350767881</v>
      </c>
      <c r="BJ54" s="62">
        <f t="shared" si="38"/>
        <v>331.21009482262417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43.935513054865851</v>
      </c>
      <c r="BQ54" s="23">
        <f>EXP(-LN(2)/25)*BQ53+(1-EXP(-LN(2)/25))/(LN(2)/25)*Calculateur!BL54*Calculateur!BN54*VLOOKUP('Données projet'!$B$11,Paramètres!$A$1:$I$89,3,0)*0.475*44/12</f>
        <v>28.032120417005988</v>
      </c>
      <c r="BR54" s="23">
        <f>EXP(-LN(2)/2)*BR53+(1-EXP(-LN(2)/2))/(LN(2)/2)*BL54*BO54*VLOOKUP('Données projet'!$B$11,Paramètres!$A$1:$I$89,3,0)*0.475*44/12</f>
        <v>1.1210017623625492</v>
      </c>
      <c r="BS54" s="24">
        <f t="shared" si="9"/>
        <v>73.088635234234388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9.5537500000000009</v>
      </c>
      <c r="BY54" s="13">
        <f>IF('Données projet'!$A$114&gt;35,BY53+BX54-CG53,IF(A54&lt;'Données projet'!$A$114,$BV$205^A54,IF(A54='Données projet'!$A$114,'Données projet'!$B$114,BY53+BX54-CG53)))</f>
        <v>168.99375000000015</v>
      </c>
      <c r="BZ54" s="14">
        <f>BY54*VLOOKUP('Données projet'!$B$12,Paramètres!$A$1:$I$89,3,0)*VLOOKUP('Données projet'!$B$12,Paramètres!$A$1:$I$89,5,0)</f>
        <v>163.45075500000016</v>
      </c>
      <c r="CA54" s="14">
        <f t="shared" si="39"/>
        <v>41.619873615853834</v>
      </c>
      <c r="CB54" s="22">
        <f t="shared" si="10"/>
        <v>357.16467817261235</v>
      </c>
      <c r="CC54" s="62">
        <f t="shared" si="11"/>
        <v>650.49801150594567</v>
      </c>
      <c r="CD54" s="62">
        <f ca="1">AVERAGE(OFFSET($CC$3,0,0,'Données projet'!$E$12+1,1))-AVERAGE(OFFSET($H$3,0,0,'Données projet'!$E$12+1,1))</f>
        <v>618.83149423524605</v>
      </c>
      <c r="CE54" s="62">
        <f t="shared" si="40"/>
        <v>285.33582535802435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6.5320943635118089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6.5320943635118089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14.12</v>
      </c>
      <c r="CT54" s="13">
        <f>IF('Données projet'!$A$140&gt;35,CT53+CS54-DB53,IF(A54&lt;'Données projet'!$A$140,$CQ$205^A54,IF(A54='Données projet'!$A$140,'Données projet'!$B$140,CT53+CS54-DB53)))</f>
        <v>313.86000000000018</v>
      </c>
      <c r="CU54" s="18">
        <f>CT54*VLOOKUP('Données projet'!$B$13,Paramètres!$A$1:$I$89,3,0)*VLOOKUP('Données projet'!$B$13,Paramètres!$A$1:$I$89,5,0)</f>
        <v>187.68828000000013</v>
      </c>
      <c r="CV54" s="14">
        <f t="shared" si="41"/>
        <v>47.028500822168901</v>
      </c>
      <c r="CW54" s="22">
        <f t="shared" si="13"/>
        <v>408.79839326527775</v>
      </c>
      <c r="CX54" s="62">
        <f t="shared" si="14"/>
        <v>702.13172659861107</v>
      </c>
      <c r="CY54" s="62">
        <f ca="1">AVERAGE(OFFSET($CX$3,0,0,'Données projet'!$E$13+1,1))-AVERAGE(OFFSET($H$3,0,0,'Données projet'!$E$13+1,1))</f>
        <v>349.5718186624772</v>
      </c>
      <c r="CZ54" s="62">
        <f t="shared" si="42"/>
        <v>258.14152930815959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42.690813221804575</v>
      </c>
      <c r="DG54" s="23">
        <f>EXP(-LN(2)/25)*DG53+(1-EXP(-LN(2)/25))/(LN(2)/25)*Calculateur!DB54*Calculateur!DD54*VLOOKUP('Données projet'!$B$13,Paramètres!$A$1:$I$89,3,0)*0.475*44/12</f>
        <v>17.054570512043536</v>
      </c>
      <c r="DH54" s="23">
        <f>EXP(-LN(2)/2)*DH53+(1-EXP(-LN(2)/2))/(LN(2)/2)*DB54*DE54*VLOOKUP('Données projet'!$B$13,Paramètres!$A$1:$I$89,3,0)*0.475*44/12</f>
        <v>4.6606799943122645</v>
      </c>
      <c r="DI54" s="24">
        <f t="shared" si="15"/>
        <v>64.406063728160376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5.2</v>
      </c>
      <c r="DO54" s="13">
        <f>IF('Données projet'!$A$166&gt;35,DO53+DN54-DW53,IF(A54&lt;'Données projet'!$A$166,$DL$205^A54,IF(A54='Données projet'!$A$166,'Données projet'!$B$166,DO53+DN54-DW53)))</f>
        <v>160.20000000000002</v>
      </c>
      <c r="DP54" s="18">
        <f>DO54*VLOOKUP('Données projet'!$B$14,Paramètres!$A$1:$I$89,3,0)*VLOOKUP('Données projet'!$B$14,Paramètres!$A$1:$I$89,5,0)</f>
        <v>139.95072000000002</v>
      </c>
      <c r="DQ54" s="14">
        <f t="shared" si="43"/>
        <v>36.285715907711918</v>
      </c>
      <c r="DR54" s="22">
        <f t="shared" si="16"/>
        <v>306.94512587259828</v>
      </c>
      <c r="DS54" s="62">
        <f t="shared" si="17"/>
        <v>600.27845920593154</v>
      </c>
      <c r="DT54" s="62">
        <f ca="1">AVERAGE(OFFSET($DS$3,0,0,'Données projet'!$E$14+1,1))-AVERAGE(OFFSET($H$3,0,0,'Données projet'!$E$14+1,1))</f>
        <v>300.63505444445104</v>
      </c>
      <c r="DU54" s="62">
        <f t="shared" si="44"/>
        <v>266.32508105927997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9.3428685228067057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9.3428685228067057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7.4</v>
      </c>
      <c r="EJ54" s="13">
        <f>IF('Données projet'!$A$192&gt;35,EJ53+EI54-ER53,IF(A54&lt;'Données projet'!$A$192,$EG$205^A54,IF(A54='Données projet'!$A$192,'Données projet'!$B$192,EJ53+EI54-ER53)))</f>
        <v>249.40000000000003</v>
      </c>
      <c r="EK54" s="18">
        <f>EJ54*VLOOKUP('Données projet'!$B$15,Paramètres!$A$1:$I$89,3,0)*VLOOKUP('Données projet'!$B$15,Paramètres!$A$1:$I$89,5,0)</f>
        <v>198.42264000000003</v>
      </c>
      <c r="EL54" s="14">
        <f t="shared" si="45"/>
        <v>49.397352151183256</v>
      </c>
      <c r="EM54" s="22">
        <f t="shared" si="19"/>
        <v>431.61981966331086</v>
      </c>
      <c r="EN54" s="62">
        <f t="shared" si="20"/>
        <v>724.95315299664412</v>
      </c>
      <c r="EO54" s="62">
        <f ca="1">AVERAGE(OFFSET($EN$3,0,0,'Données projet'!$E$15+1,1))-AVERAGE(OFFSET($H$3,0,0,'Données projet'!$E$15+1,1))</f>
        <v>353.37024194969638</v>
      </c>
      <c r="EP54" s="62">
        <f t="shared" si="46"/>
        <v>345.4750813433123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28.692996710492917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28.692996710492917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6.4</v>
      </c>
      <c r="FE54" s="13">
        <f>IF('Données projet'!$A$218&gt;35,FE53+FD54-FM53,IF(A54&lt;'Données projet'!$A$218,$FB$205^A54,IF(A54='Données projet'!$A$218,'Données projet'!$B$218,FE53+FD54-FM53)))</f>
        <v>197.40000000000006</v>
      </c>
      <c r="FF54" s="18">
        <f>FE54*VLOOKUP('Données projet'!$B$16,Paramètres!$A$1:$I$89,3,0)*VLOOKUP('Données projet'!$B$16,Paramètres!$A$1:$I$89,5,0)</f>
        <v>129.33648000000005</v>
      </c>
      <c r="FG54" s="14">
        <f t="shared" si="47"/>
        <v>33.84299371090448</v>
      </c>
      <c r="FH54" s="22">
        <f t="shared" si="22"/>
        <v>284.20425004649206</v>
      </c>
      <c r="FI54" s="62">
        <f t="shared" si="23"/>
        <v>577.53758337982538</v>
      </c>
      <c r="FJ54" s="62">
        <f ca="1">AVERAGE(OFFSET($FI$3,0,0,'Données projet'!$E$16+1,1))-AVERAGE(OFFSET($H$3,0,0,'Données projet'!$E$16+1,1))</f>
        <v>263.30962868541337</v>
      </c>
      <c r="FK54" s="62">
        <f t="shared" si="48"/>
        <v>269.61868559913404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8.963661739162605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8.963661739162605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7.5280000000000014</v>
      </c>
      <c r="N55" s="14">
        <f>IF('Données projet'!$A$36&gt;35,N54+M55-V54,IF(A55&lt;'Données projet'!$A$36,$K$205^A55,IF(A55='Données projet'!$A$36,'Données projet'!$B$36,N54+M55-V54)))</f>
        <v>182.38600000000002</v>
      </c>
      <c r="O55" s="14">
        <f>N55*VLOOKUP('Données projet'!$B$9,Paramètres!$A$1:$I$89,3,0)*VLOOKUP('Données projet'!$B$9,Paramètres!$A$1:$I$89,5,0)</f>
        <v>109.06682800000002</v>
      </c>
      <c r="P55" s="14">
        <f t="shared" si="33"/>
        <v>29.111013073259617</v>
      </c>
      <c r="Q55" s="22">
        <f t="shared" si="53"/>
        <v>240.65973986926053</v>
      </c>
      <c r="R55" s="62">
        <f t="shared" si="0"/>
        <v>533.99307320259391</v>
      </c>
      <c r="S55" s="62">
        <f ca="1">AVERAGE(OFFSET($R$3,0,0,'Données projet'!$E$9+1,1))-AVERAGE(OFFSET($H$3,0,0,'Données projet'!$E$9+1,1))</f>
        <v>262.06511368698341</v>
      </c>
      <c r="T55" s="62">
        <f t="shared" si="34"/>
        <v>217.15709240080542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9.1974846928611864</v>
      </c>
      <c r="AA55" s="23">
        <f>EXP(-LN(2)/25)*AA54+(1-EXP(-LN(2)/25))/(LN(2)/25)*Calculateur!V55*Calculateur!X55*VLOOKUP('Données projet'!$B$9,Paramètres!$A$1:$I$89,3,0)*0.475*44/12</f>
        <v>7.3670266623897271</v>
      </c>
      <c r="AB55" s="23">
        <f>EXP(-LN(2)/2)*AB54+(1-EXP(-LN(2)/2))/(LN(2)/2)*V55*Y55*VLOOKUP('Données projet'!$B$9,Paramètres!$A$1:$I$89,3,0)*0.475*44/12</f>
        <v>1.1512724541408623</v>
      </c>
      <c r="AC55" s="24">
        <f t="shared" si="3"/>
        <v>17.715783809391777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12.18916666666667</v>
      </c>
      <c r="AI55" s="14">
        <f>IF('Données projet'!$A$62&gt;35,AI54+AH55-AQ54,IF(A55&lt;'Données projet'!$A$62,$AF$205^A55,IF(A55='Données projet'!$A$62,'Données projet'!$B$62,AI54+AH55-AQ54)))</f>
        <v>235.21916666666664</v>
      </c>
      <c r="AJ55" s="14">
        <f>AI55*VLOOKUP('Données projet'!$B$10,Paramètres!$A$1:$I$89,3,0)*VLOOKUP('Données projet'!$B$10,Paramètres!$A$1:$I$89,5,0)</f>
        <v>110.08256999999999</v>
      </c>
      <c r="AK55" s="14">
        <f t="shared" si="35"/>
        <v>29.350437858925002</v>
      </c>
      <c r="AL55" s="22">
        <f t="shared" si="4"/>
        <v>242.84582202096098</v>
      </c>
      <c r="AM55" s="62">
        <f t="shared" si="5"/>
        <v>536.17915535429427</v>
      </c>
      <c r="AN55" s="62">
        <f ca="1">AVERAGE(OFFSET($AM$3,0,0,'Données projet'!$E$10+1,1))-AVERAGE(OFFSET($H$3,0,0,'Données projet'!$E$10+1,1))</f>
        <v>287.83167869616227</v>
      </c>
      <c r="AO55" s="62">
        <f t="shared" si="36"/>
        <v>233.84231920589906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13.381103217677529</v>
      </c>
      <c r="AV55" s="23">
        <f>EXP(-LN(2)/25)*AV54+(1-EXP(-LN(2)/25))/(LN(2)/25)*Calculateur!AQ55*Calculateur!AS55*VLOOKUP('Données projet'!$B$10,Paramètres!$A$1:$I$89,3,0)*0.475*44/12</f>
        <v>11.239762783354534</v>
      </c>
      <c r="AW55" s="23">
        <f>EXP(-LN(2)/2)*AW54+(1-EXP(-LN(2)/2))/(LN(2)/2)*AQ55*AT55*VLOOKUP('Données projet'!$B$10,Paramètres!$A$1:$I$89,3,0)*0.475*44/12</f>
        <v>9.7349926918976539</v>
      </c>
      <c r="AX55" s="23">
        <f t="shared" si="6"/>
        <v>34.355858692929715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8.8333333333333339</v>
      </c>
      <c r="BD55" s="13">
        <f>IF('Données projet'!$A$88&gt;35,BD54+BC55-BL54,IF(A55&lt;'Données projet'!$A$88,$BA$205^A55,IF(A55='Données projet'!$A$88,'Données projet'!$B$88,BD54+BC55-BL54)))</f>
        <v>270.33333333333331</v>
      </c>
      <c r="BE55" s="14">
        <f>BD55*VLOOKUP('Données projet'!$B$11,Paramètres!$A$1:$I$89,3,0)*VLOOKUP('Données projet'!$B$11,Paramètres!$A$1:$I$89,5,0)</f>
        <v>168.68799999999999</v>
      </c>
      <c r="BF55" s="14">
        <f t="shared" si="37"/>
        <v>42.796046864020248</v>
      </c>
      <c r="BG55" s="22">
        <f t="shared" si="7"/>
        <v>368.33471495483519</v>
      </c>
      <c r="BH55" s="62">
        <f t="shared" si="8"/>
        <v>661.66804828816851</v>
      </c>
      <c r="BI55" s="62">
        <f ca="1">AVERAGE(OFFSET($BH$3,0,0,'Données projet'!$E$11+1,1))-AVERAGE(OFFSET($H$3,0,0,'Données projet'!$E$11+1,1))</f>
        <v>262.36903350767881</v>
      </c>
      <c r="BJ55" s="62">
        <f t="shared" si="38"/>
        <v>331.21009482262417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43.073964441876811</v>
      </c>
      <c r="BQ55" s="23">
        <f>EXP(-LN(2)/25)*BQ54+(1-EXP(-LN(2)/25))/(LN(2)/25)*Calculateur!BL55*Calculateur!BN55*VLOOKUP('Données projet'!$B$11,Paramètres!$A$1:$I$89,3,0)*0.475*44/12</f>
        <v>27.265580610057814</v>
      </c>
      <c r="BR55" s="23">
        <f>EXP(-LN(2)/2)*BR54+(1-EXP(-LN(2)/2))/(LN(2)/2)*BL55*BO55*VLOOKUP('Données projet'!$B$11,Paramètres!$A$1:$I$89,3,0)*0.475*44/12</f>
        <v>0.79266794788862927</v>
      </c>
      <c r="BS55" s="24">
        <f t="shared" si="9"/>
        <v>71.132212999823253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9.5537500000000009</v>
      </c>
      <c r="BY55" s="13">
        <f>IF('Données projet'!$A$114&gt;35,BY54+BX55-CG54,IF(A55&lt;'Données projet'!$A$114,$BV$205^A55,IF(A55='Données projet'!$A$114,'Données projet'!$B$114,BY54+BX55-CG54)))</f>
        <v>178.54750000000016</v>
      </c>
      <c r="BZ55" s="14">
        <f>BY55*VLOOKUP('Données projet'!$B$12,Paramètres!$A$1:$I$89,3,0)*VLOOKUP('Données projet'!$B$12,Paramètres!$A$1:$I$89,5,0)</f>
        <v>172.69114200000016</v>
      </c>
      <c r="CA55" s="14">
        <f t="shared" si="39"/>
        <v>43.69219781086543</v>
      </c>
      <c r="CB55" s="22">
        <f t="shared" si="10"/>
        <v>376.86765017059088</v>
      </c>
      <c r="CC55" s="62">
        <f t="shared" si="11"/>
        <v>670.20098350392414</v>
      </c>
      <c r="CD55" s="62">
        <f ca="1">AVERAGE(OFFSET($CC$3,0,0,'Données projet'!$E$12+1,1))-AVERAGE(OFFSET($H$3,0,0,'Données projet'!$E$12+1,1))</f>
        <v>618.83149423524605</v>
      </c>
      <c r="CE55" s="62">
        <f t="shared" si="40"/>
        <v>285.33582535802435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6.4040039772274984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6.4040039772274984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14.12</v>
      </c>
      <c r="CT55" s="13">
        <f>IF('Données projet'!$A$140&gt;35,CT54+CS55-DB54,IF(A55&lt;'Données projet'!$A$140,$CQ$205^A55,IF(A55='Données projet'!$A$140,'Données projet'!$B$140,CT54+CS55-DB54)))</f>
        <v>327.98000000000019</v>
      </c>
      <c r="CU55" s="18">
        <f>CT55*VLOOKUP('Données projet'!$B$13,Paramètres!$A$1:$I$89,3,0)*VLOOKUP('Données projet'!$B$13,Paramètres!$A$1:$I$89,5,0)</f>
        <v>196.13204000000013</v>
      </c>
      <c r="CV55" s="14">
        <f t="shared" si="41"/>
        <v>48.893143423385645</v>
      </c>
      <c r="CW55" s="22">
        <f t="shared" si="13"/>
        <v>426.75219446239686</v>
      </c>
      <c r="CX55" s="62">
        <f t="shared" si="14"/>
        <v>720.08552779573017</v>
      </c>
      <c r="CY55" s="62">
        <f ca="1">AVERAGE(OFFSET($CX$3,0,0,'Données projet'!$E$13+1,1))-AVERAGE(OFFSET($H$3,0,0,'Données projet'!$E$13+1,1))</f>
        <v>349.5718186624772</v>
      </c>
      <c r="CZ55" s="62">
        <f t="shared" si="42"/>
        <v>258.14152930815959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41.853672413349933</v>
      </c>
      <c r="DG55" s="23">
        <f>EXP(-LN(2)/25)*DG54+(1-EXP(-LN(2)/25))/(LN(2)/25)*Calculateur!DB55*Calculateur!DD55*VLOOKUP('Données projet'!$B$13,Paramètres!$A$1:$I$89,3,0)*0.475*44/12</f>
        <v>16.58821238453082</v>
      </c>
      <c r="DH55" s="23">
        <f>EXP(-LN(2)/2)*DH54+(1-EXP(-LN(2)/2))/(LN(2)/2)*DB55*DE55*VLOOKUP('Données projet'!$B$13,Paramètres!$A$1:$I$89,3,0)*0.475*44/12</f>
        <v>3.2955984289186824</v>
      </c>
      <c r="DI55" s="24">
        <f t="shared" si="15"/>
        <v>61.737483226799434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5.2</v>
      </c>
      <c r="DO55" s="13">
        <f>IF('Données projet'!$A$166&gt;35,DO54+DN55-DW54,IF(A55&lt;'Données projet'!$A$166,$DL$205^A55,IF(A55='Données projet'!$A$166,'Données projet'!$B$166,DO54+DN55-DW54)))</f>
        <v>165.4</v>
      </c>
      <c r="DP55" s="18">
        <f>DO55*VLOOKUP('Données projet'!$B$14,Paramètres!$A$1:$I$89,3,0)*VLOOKUP('Données projet'!$B$14,Paramètres!$A$1:$I$89,5,0)</f>
        <v>144.49344000000002</v>
      </c>
      <c r="DQ55" s="14">
        <f t="shared" si="43"/>
        <v>37.324489208332842</v>
      </c>
      <c r="DR55" s="22">
        <f t="shared" si="16"/>
        <v>316.66622670451306</v>
      </c>
      <c r="DS55" s="62">
        <f t="shared" si="17"/>
        <v>609.99956003784632</v>
      </c>
      <c r="DT55" s="62">
        <f ca="1">AVERAGE(OFFSET($DS$3,0,0,'Données projet'!$E$14+1,1))-AVERAGE(OFFSET($H$3,0,0,'Données projet'!$E$14+1,1))</f>
        <v>300.63505444445104</v>
      </c>
      <c r="DU55" s="62">
        <f t="shared" si="44"/>
        <v>266.32508105927997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9.1596605696615772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9.1596605696615772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7.4</v>
      </c>
      <c r="EJ55" s="13">
        <f>IF('Données projet'!$A$192&gt;35,EJ54+EI55-ER54,IF(A55&lt;'Données projet'!$A$192,$EG$205^A55,IF(A55='Données projet'!$A$192,'Données projet'!$B$192,EJ54+EI55-ER54)))</f>
        <v>256.8</v>
      </c>
      <c r="EK55" s="18">
        <f>EJ55*VLOOKUP('Données projet'!$B$15,Paramètres!$A$1:$I$89,3,0)*VLOOKUP('Données projet'!$B$15,Paramètres!$A$1:$I$89,5,0)</f>
        <v>204.31008000000003</v>
      </c>
      <c r="EL55" s="14">
        <f t="shared" si="45"/>
        <v>50.690214235398379</v>
      </c>
      <c r="EM55" s="22">
        <f t="shared" si="19"/>
        <v>444.12551245998549</v>
      </c>
      <c r="EN55" s="62">
        <f t="shared" si="20"/>
        <v>737.4588457933188</v>
      </c>
      <c r="EO55" s="62">
        <f ca="1">AVERAGE(OFFSET($EN$3,0,0,'Données projet'!$E$15+1,1))-AVERAGE(OFFSET($H$3,0,0,'Données projet'!$E$15+1,1))</f>
        <v>353.37024194969638</v>
      </c>
      <c r="EP55" s="62">
        <f t="shared" si="46"/>
        <v>345.4750813433123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28.130344546000064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28.130344546000064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6.4</v>
      </c>
      <c r="FE55" s="13">
        <f>IF('Données projet'!$A$218&gt;35,FE54+FD55-FM54,IF(A55&lt;'Données projet'!$A$218,$FB$205^A55,IF(A55='Données projet'!$A$218,'Données projet'!$B$218,FE54+FD55-FM54)))</f>
        <v>203.80000000000007</v>
      </c>
      <c r="FF55" s="18">
        <f>FE55*VLOOKUP('Données projet'!$B$16,Paramètres!$A$1:$I$89,3,0)*VLOOKUP('Données projet'!$B$16,Paramètres!$A$1:$I$89,5,0)</f>
        <v>133.52976000000007</v>
      </c>
      <c r="FG55" s="14">
        <f t="shared" si="47"/>
        <v>34.810707184454238</v>
      </c>
      <c r="FH55" s="22">
        <f t="shared" si="22"/>
        <v>293.19298034625791</v>
      </c>
      <c r="FI55" s="62">
        <f t="shared" si="23"/>
        <v>586.52631367959123</v>
      </c>
      <c r="FJ55" s="62">
        <f ca="1">AVERAGE(OFFSET($FI$3,0,0,'Données projet'!$E$16+1,1))-AVERAGE(OFFSET($H$3,0,0,'Données projet'!$E$16+1,1))</f>
        <v>263.30962868541337</v>
      </c>
      <c r="FK55" s="62">
        <f t="shared" si="48"/>
        <v>269.61868559913404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8.7878897997514365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8.7878897997514365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7.5280000000000014</v>
      </c>
      <c r="N56" s="14">
        <f>IF('Données projet'!$A$36&gt;35,N55+M56-V55,IF(A56&lt;'Données projet'!$A$36,$K$205^A56,IF(A56='Données projet'!$A$36,'Données projet'!$B$36,N55+M56-V55)))</f>
        <v>189.91400000000002</v>
      </c>
      <c r="O56" s="14">
        <f>N56*VLOOKUP('Données projet'!$B$9,Paramètres!$A$1:$I$89,3,0)*VLOOKUP('Données projet'!$B$9,Paramètres!$A$1:$I$89,5,0)</f>
        <v>113.56857200000002</v>
      </c>
      <c r="P56" s="14">
        <f t="shared" si="33"/>
        <v>30.170199329859695</v>
      </c>
      <c r="Q56" s="22">
        <f t="shared" si="53"/>
        <v>250.34502673283899</v>
      </c>
      <c r="R56" s="62">
        <f t="shared" si="0"/>
        <v>543.67836006617233</v>
      </c>
      <c r="S56" s="62">
        <f ca="1">AVERAGE(OFFSET($R$3,0,0,'Données projet'!$E$9+1,1))-AVERAGE(OFFSET($H$3,0,0,'Données projet'!$E$9+1,1))</f>
        <v>262.06511368698341</v>
      </c>
      <c r="T56" s="62">
        <f t="shared" si="34"/>
        <v>217.15709240080542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9.0171276279459089</v>
      </c>
      <c r="AA56" s="23">
        <f>EXP(-LN(2)/25)*AA55+(1-EXP(-LN(2)/25))/(LN(2)/25)*Calculateur!V56*Calculateur!X56*VLOOKUP('Données projet'!$B$9,Paramètres!$A$1:$I$89,3,0)*0.475*44/12</f>
        <v>7.1655749308915855</v>
      </c>
      <c r="AB56" s="23">
        <f>EXP(-LN(2)/2)*AB55+(1-EXP(-LN(2)/2))/(LN(2)/2)*V56*Y56*VLOOKUP('Données projet'!$B$9,Paramètres!$A$1:$I$89,3,0)*0.475*44/12</f>
        <v>0.81407255931628231</v>
      </c>
      <c r="AC56" s="24">
        <f t="shared" si="3"/>
        <v>16.996775118153778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12.18916666666667</v>
      </c>
      <c r="AI56" s="14">
        <f>IF('Données projet'!$A$62&gt;35,AI55+AH56-AQ55,IF(A56&lt;'Données projet'!$A$62,$AF$205^A56,IF(A56='Données projet'!$A$62,'Données projet'!$B$62,AI55+AH56-AQ55)))</f>
        <v>247.4083333333333</v>
      </c>
      <c r="AJ56" s="14">
        <f>AI56*VLOOKUP('Données projet'!$B$10,Paramètres!$A$1:$I$89,3,0)*VLOOKUP('Données projet'!$B$10,Paramètres!$A$1:$I$89,5,0)</f>
        <v>115.78709999999998</v>
      </c>
      <c r="AK56" s="14">
        <f t="shared" si="35"/>
        <v>30.690375142051142</v>
      </c>
      <c r="AL56" s="22">
        <f t="shared" si="4"/>
        <v>255.11493587240568</v>
      </c>
      <c r="AM56" s="62">
        <f t="shared" si="5"/>
        <v>548.44826920573905</v>
      </c>
      <c r="AN56" s="62">
        <f ca="1">AVERAGE(OFFSET($AM$3,0,0,'Données projet'!$E$10+1,1))-AVERAGE(OFFSET($H$3,0,0,'Données projet'!$E$10+1,1))</f>
        <v>287.83167869616227</v>
      </c>
      <c r="AO56" s="62">
        <f t="shared" si="36"/>
        <v>233.84231920589906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13.118707945245937</v>
      </c>
      <c r="AV56" s="23">
        <f>EXP(-LN(2)/25)*AV55+(1-EXP(-LN(2)/25))/(LN(2)/25)*Calculateur!AQ56*Calculateur!AS56*VLOOKUP('Données projet'!$B$10,Paramètres!$A$1:$I$89,3,0)*0.475*44/12</f>
        <v>10.932410878970268</v>
      </c>
      <c r="AW56" s="23">
        <f>EXP(-LN(2)/2)*AW55+(1-EXP(-LN(2)/2))/(LN(2)/2)*AQ56*AT56*VLOOKUP('Données projet'!$B$10,Paramètres!$A$1:$I$89,3,0)*0.475*44/12</f>
        <v>6.8836793472423139</v>
      </c>
      <c r="AX56" s="23">
        <f t="shared" si="6"/>
        <v>30.934798171458517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8.8333333333333339</v>
      </c>
      <c r="BD56" s="13">
        <f>IF('Données projet'!$A$88&gt;35,BD55+BC56-BL55,IF(A56&lt;'Données projet'!$A$88,$BA$205^A56,IF(A56='Données projet'!$A$88,'Données projet'!$B$88,BD55+BC56-BL55)))</f>
        <v>279.16666666666663</v>
      </c>
      <c r="BE56" s="14">
        <f>BD56*VLOOKUP('Données projet'!$B$11,Paramètres!$A$1:$I$89,3,0)*VLOOKUP('Données projet'!$B$11,Paramètres!$A$1:$I$89,5,0)</f>
        <v>174.19999999999996</v>
      </c>
      <c r="BF56" s="14">
        <f t="shared" si="37"/>
        <v>44.029343585946933</v>
      </c>
      <c r="BG56" s="22">
        <f t="shared" si="7"/>
        <v>380.08277341219082</v>
      </c>
      <c r="BH56" s="62">
        <f t="shared" si="8"/>
        <v>673.41610674552408</v>
      </c>
      <c r="BI56" s="62">
        <f ca="1">AVERAGE(OFFSET($BH$3,0,0,'Données projet'!$E$11+1,1))-AVERAGE(OFFSET($H$3,0,0,'Données projet'!$E$11+1,1))</f>
        <v>262.36903350767881</v>
      </c>
      <c r="BJ56" s="62">
        <f t="shared" si="38"/>
        <v>331.21009482262417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42.229310271695716</v>
      </c>
      <c r="BQ56" s="23">
        <f>EXP(-LN(2)/25)*BQ55+(1-EXP(-LN(2)/25))/(LN(2)/25)*Calculateur!BL56*Calculateur!BN56*VLOOKUP('Données projet'!$B$11,Paramètres!$A$1:$I$89,3,0)*0.475*44/12</f>
        <v>26.520001874441213</v>
      </c>
      <c r="BR56" s="23">
        <f>EXP(-LN(2)/2)*BR55+(1-EXP(-LN(2)/2))/(LN(2)/2)*BL56*BO56*VLOOKUP('Données projet'!$B$11,Paramètres!$A$1:$I$89,3,0)*0.475*44/12</f>
        <v>0.56050088118127461</v>
      </c>
      <c r="BS56" s="24">
        <f t="shared" si="9"/>
        <v>69.309813027318199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9.5537500000000009</v>
      </c>
      <c r="BY56" s="13">
        <f>IF('Données projet'!$A$114&gt;35,BY55+BX56-CG55,IF(A56&lt;'Données projet'!$A$114,$BV$205^A56,IF(A56='Données projet'!$A$114,'Données projet'!$B$114,BY55+BX56-CG55)))</f>
        <v>188.10125000000016</v>
      </c>
      <c r="BZ56" s="14">
        <f>BY56*VLOOKUP('Données projet'!$B$12,Paramètres!$A$1:$I$89,3,0)*VLOOKUP('Données projet'!$B$12,Paramètres!$A$1:$I$89,5,0)</f>
        <v>181.93152900000015</v>
      </c>
      <c r="CA56" s="14">
        <f t="shared" si="39"/>
        <v>45.751648470358951</v>
      </c>
      <c r="CB56" s="22">
        <f t="shared" si="10"/>
        <v>396.54820076087543</v>
      </c>
      <c r="CC56" s="62">
        <f t="shared" si="11"/>
        <v>689.88153409420875</v>
      </c>
      <c r="CD56" s="62">
        <f ca="1">AVERAGE(OFFSET($CC$3,0,0,'Données projet'!$E$12+1,1))-AVERAGE(OFFSET($H$3,0,0,'Données projet'!$E$12+1,1))</f>
        <v>618.83149423524605</v>
      </c>
      <c r="CE56" s="62">
        <f t="shared" si="40"/>
        <v>285.33582535802435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6.2784253652908024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6.2784253652908024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14.12</v>
      </c>
      <c r="CT56" s="13">
        <f>IF('Données projet'!$A$140&gt;35,CT55+CS56-DB55,IF(A56&lt;'Données projet'!$A$140,$CQ$205^A56,IF(A56='Données projet'!$A$140,'Données projet'!$B$140,CT55+CS56-DB55)))</f>
        <v>342.10000000000019</v>
      </c>
      <c r="CU56" s="18">
        <f>CT56*VLOOKUP('Données projet'!$B$13,Paramètres!$A$1:$I$89,3,0)*VLOOKUP('Données projet'!$B$13,Paramètres!$A$1:$I$89,5,0)</f>
        <v>204.57580000000013</v>
      </c>
      <c r="CV56" s="14">
        <f t="shared" si="41"/>
        <v>50.748462290021173</v>
      </c>
      <c r="CW56" s="22">
        <f t="shared" si="13"/>
        <v>444.68975682178706</v>
      </c>
      <c r="CX56" s="62">
        <f t="shared" si="14"/>
        <v>738.02309015512037</v>
      </c>
      <c r="CY56" s="62">
        <f ca="1">AVERAGE(OFFSET($CX$3,0,0,'Données projet'!$E$13+1,1))-AVERAGE(OFFSET($H$3,0,0,'Données projet'!$E$13+1,1))</f>
        <v>349.5718186624772</v>
      </c>
      <c r="CZ56" s="62">
        <f t="shared" si="42"/>
        <v>258.14152930815959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41.032947425543611</v>
      </c>
      <c r="DG56" s="23">
        <f>EXP(-LN(2)/25)*DG55+(1-EXP(-LN(2)/25))/(LN(2)/25)*Calculateur!DB56*Calculateur!DD56*VLOOKUP('Données projet'!$B$13,Paramètres!$A$1:$I$89,3,0)*0.475*44/12</f>
        <v>16.134606844539647</v>
      </c>
      <c r="DH56" s="23">
        <f>EXP(-LN(2)/2)*DH55+(1-EXP(-LN(2)/2))/(LN(2)/2)*DB56*DE56*VLOOKUP('Données projet'!$B$13,Paramètres!$A$1:$I$89,3,0)*0.475*44/12</f>
        <v>2.3303399971561327</v>
      </c>
      <c r="DI56" s="24">
        <f t="shared" si="15"/>
        <v>59.497894267239388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5.2</v>
      </c>
      <c r="DO56" s="13">
        <f>IF('Données projet'!$A$166&gt;35,DO55+DN56-DW55,IF(A56&lt;'Données projet'!$A$166,$DL$205^A56,IF(A56='Données projet'!$A$166,'Données projet'!$B$166,DO55+DN56-DW55)))</f>
        <v>170.6</v>
      </c>
      <c r="DP56" s="18">
        <f>DO56*VLOOKUP('Données projet'!$B$14,Paramètres!$A$1:$I$89,3,0)*VLOOKUP('Données projet'!$B$14,Paramètres!$A$1:$I$89,5,0)</f>
        <v>149.03616</v>
      </c>
      <c r="DQ56" s="14">
        <f t="shared" si="43"/>
        <v>38.35946741279561</v>
      </c>
      <c r="DR56" s="22">
        <f t="shared" si="16"/>
        <v>326.38071774395229</v>
      </c>
      <c r="DS56" s="62">
        <f t="shared" si="17"/>
        <v>619.7140510772856</v>
      </c>
      <c r="DT56" s="62">
        <f ca="1">AVERAGE(OFFSET($DS$3,0,0,'Données projet'!$E$14+1,1))-AVERAGE(OFFSET($H$3,0,0,'Données projet'!$E$14+1,1))</f>
        <v>300.63505444445104</v>
      </c>
      <c r="DU56" s="62">
        <f t="shared" si="44"/>
        <v>266.32508105927997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8.980045212731806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8.980045212731806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7.4</v>
      </c>
      <c r="EJ56" s="13">
        <f>IF('Données projet'!$A$192&gt;35,EJ55+EI56-ER55,IF(A56&lt;'Données projet'!$A$192,$EG$205^A56,IF(A56='Données projet'!$A$192,'Données projet'!$B$192,EJ55+EI56-ER55)))</f>
        <v>264.2</v>
      </c>
      <c r="EK56" s="18">
        <f>EJ56*VLOOKUP('Données projet'!$B$15,Paramètres!$A$1:$I$89,3,0)*VLOOKUP('Données projet'!$B$15,Paramètres!$A$1:$I$89,5,0)</f>
        <v>210.19752</v>
      </c>
      <c r="EL56" s="14">
        <f t="shared" si="45"/>
        <v>51.978746425856599</v>
      </c>
      <c r="EM56" s="22">
        <f t="shared" si="19"/>
        <v>456.62366402503358</v>
      </c>
      <c r="EN56" s="62">
        <f t="shared" si="20"/>
        <v>749.95699735836683</v>
      </c>
      <c r="EO56" s="62">
        <f ca="1">AVERAGE(OFFSET($EN$3,0,0,'Données projet'!$E$15+1,1))-AVERAGE(OFFSET($H$3,0,0,'Données projet'!$E$15+1,1))</f>
        <v>353.37024194969638</v>
      </c>
      <c r="EP56" s="62">
        <f t="shared" si="46"/>
        <v>345.4750813433123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27.578725647268982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27.578725647268982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6.4</v>
      </c>
      <c r="FE56" s="13">
        <f>IF('Données projet'!$A$218&gt;35,FE55+FD56-FM55,IF(A56&lt;'Données projet'!$A$218,$FB$205^A56,IF(A56='Données projet'!$A$218,'Données projet'!$B$218,FE55+FD56-FM55)))</f>
        <v>210.20000000000007</v>
      </c>
      <c r="FF56" s="18">
        <f>FE56*VLOOKUP('Données projet'!$B$16,Paramètres!$A$1:$I$89,3,0)*VLOOKUP('Données projet'!$B$16,Paramètres!$A$1:$I$89,5,0)</f>
        <v>137.72304000000005</v>
      </c>
      <c r="FG56" s="14">
        <f t="shared" si="47"/>
        <v>35.774889172094717</v>
      </c>
      <c r="FH56" s="22">
        <f t="shared" si="22"/>
        <v>302.1755599747317</v>
      </c>
      <c r="FI56" s="62">
        <f t="shared" si="23"/>
        <v>595.50889330806501</v>
      </c>
      <c r="FJ56" s="62">
        <f ca="1">AVERAGE(OFFSET($FI$3,0,0,'Données projet'!$E$16+1,1))-AVERAGE(OFFSET($H$3,0,0,'Données projet'!$E$16+1,1))</f>
        <v>263.30962868541337</v>
      </c>
      <c r="FK56" s="62">
        <f t="shared" si="48"/>
        <v>269.61868559913404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8.6155646408618249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8.6155646408618249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7.5280000000000014</v>
      </c>
      <c r="N57" s="14">
        <f>IF('Données projet'!$A$36&gt;35,N56+M57-V56,IF(A57&lt;'Données projet'!$A$36,$K$205^A57,IF(A57='Données projet'!$A$36,'Données projet'!$B$36,N56+M57-V56)))</f>
        <v>197.44200000000001</v>
      </c>
      <c r="O57" s="14">
        <f>N57*VLOOKUP('Données projet'!$B$9,Paramètres!$A$1:$I$89,3,0)*VLOOKUP('Données projet'!$B$9,Paramètres!$A$1:$I$89,5,0)</f>
        <v>118.07031600000002</v>
      </c>
      <c r="P57" s="14">
        <f t="shared" si="33"/>
        <v>31.224508431504951</v>
      </c>
      <c r="Q57" s="22">
        <f t="shared" si="53"/>
        <v>260.02181921820448</v>
      </c>
      <c r="R57" s="62">
        <f t="shared" si="0"/>
        <v>553.3551525515378</v>
      </c>
      <c r="S57" s="62">
        <f ca="1">AVERAGE(OFFSET($R$3,0,0,'Données projet'!$E$9+1,1))-AVERAGE(OFFSET($H$3,0,0,'Données projet'!$E$9+1,1))</f>
        <v>262.06511368698341</v>
      </c>
      <c r="T57" s="62">
        <f t="shared" si="34"/>
        <v>217.15709240080542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8.8403072550666728</v>
      </c>
      <c r="AA57" s="23">
        <f>EXP(-LN(2)/25)*AA56+(1-EXP(-LN(2)/25))/(LN(2)/25)*Calculateur!V57*Calculateur!X57*VLOOKUP('Données projet'!$B$9,Paramètres!$A$1:$I$89,3,0)*0.475*44/12</f>
        <v>6.9696319075851463</v>
      </c>
      <c r="AB57" s="23">
        <f>EXP(-LN(2)/2)*AB56+(1-EXP(-LN(2)/2))/(LN(2)/2)*V57*Y57*VLOOKUP('Données projet'!$B$9,Paramètres!$A$1:$I$89,3,0)*0.475*44/12</f>
        <v>0.57563622707043116</v>
      </c>
      <c r="AC57" s="24">
        <f t="shared" si="3"/>
        <v>16.385575389722248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12.18916666666667</v>
      </c>
      <c r="AI57" s="14">
        <f>IF('Données projet'!$A$62&gt;35,AI56+AH57-AQ56,IF(A57&lt;'Données projet'!$A$62,$AF$205^A57,IF(A57='Données projet'!$A$62,'Données projet'!$B$62,AI56+AH57-AQ56)))</f>
        <v>259.59749999999997</v>
      </c>
      <c r="AJ57" s="14">
        <f>AI57*VLOOKUP('Données projet'!$B$10,Paramètres!$A$1:$I$89,3,0)*VLOOKUP('Données projet'!$B$10,Paramètres!$A$1:$I$89,5,0)</f>
        <v>121.49162999999999</v>
      </c>
      <c r="AK57" s="14">
        <f t="shared" si="35"/>
        <v>32.022646969228624</v>
      </c>
      <c r="AL57" s="22">
        <f t="shared" si="4"/>
        <v>267.37069905473982</v>
      </c>
      <c r="AM57" s="62">
        <f t="shared" si="5"/>
        <v>560.70403238807307</v>
      </c>
      <c r="AN57" s="62">
        <f ca="1">AVERAGE(OFFSET($AM$3,0,0,'Données projet'!$E$10+1,1))-AVERAGE(OFFSET($H$3,0,0,'Données projet'!$E$10+1,1))</f>
        <v>287.83167869616227</v>
      </c>
      <c r="AO57" s="62">
        <f t="shared" si="36"/>
        <v>233.84231920589906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12.861458084061416</v>
      </c>
      <c r="AV57" s="23">
        <f>EXP(-LN(2)/25)*AV56+(1-EXP(-LN(2)/25))/(LN(2)/25)*Calculateur!AQ57*Calculateur!AS57*VLOOKUP('Données projet'!$B$10,Paramètres!$A$1:$I$89,3,0)*0.475*44/12</f>
        <v>10.633463528574325</v>
      </c>
      <c r="AW57" s="23">
        <f>EXP(-LN(2)/2)*AW56+(1-EXP(-LN(2)/2))/(LN(2)/2)*AQ57*AT57*VLOOKUP('Données projet'!$B$10,Paramètres!$A$1:$I$89,3,0)*0.475*44/12</f>
        <v>4.8674963459488279</v>
      </c>
      <c r="AX57" s="23">
        <f t="shared" si="6"/>
        <v>28.362417958584572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288</v>
      </c>
      <c r="BB57" s="13">
        <f>VLOOKUP(A57,'Données projet'!$A$87:$I$107,9,0)</f>
        <v>8.8333333333333339</v>
      </c>
      <c r="BC57" s="13">
        <f t="array" ref="BC57">INDEX(BB:BB,MIN(IF(ISNUMBER(BB57:BB253),ROW(BB57:BB253),"")))</f>
        <v>8.8333333333333339</v>
      </c>
      <c r="BD57" s="13">
        <f>IF('Données projet'!$A$88&gt;35,BD56+BC57-BL56,IF(A57&lt;'Données projet'!$A$88,$BA$205^A57,IF(A57='Données projet'!$A$88,'Données projet'!$B$88,BD56+BC57-BL56)))</f>
        <v>287.99999999999994</v>
      </c>
      <c r="BE57" s="14">
        <f>BD57*VLOOKUP('Données projet'!$B$11,Paramètres!$A$1:$I$89,3,0)*VLOOKUP('Données projet'!$B$11,Paramètres!$A$1:$I$89,5,0)</f>
        <v>179.71199999999999</v>
      </c>
      <c r="BF57" s="14">
        <f t="shared" si="37"/>
        <v>45.258105502458051</v>
      </c>
      <c r="BG57" s="22">
        <f t="shared" si="7"/>
        <v>391.82293375011437</v>
      </c>
      <c r="BH57" s="62">
        <f t="shared" si="8"/>
        <v>685.15626708344769</v>
      </c>
      <c r="BI57" s="62">
        <f ca="1">AVERAGE(OFFSET($BH$3,0,0,'Données projet'!$E$11+1,1))-AVERAGE(OFFSET($H$3,0,0,'Données projet'!$E$11+1,1))</f>
        <v>262.36903350767881</v>
      </c>
      <c r="BJ57" s="62">
        <f t="shared" si="38"/>
        <v>331.21009482262417</v>
      </c>
      <c r="BK57" s="16">
        <f>IF(ISNA(VLOOKUP(A57,'Données projet'!$A$87:$I$107,3,0)),0,VLOOKUP(A57,'Données projet'!$A$87:$I$107,3,0))</f>
        <v>8</v>
      </c>
      <c r="BL57" s="16">
        <f>IF(ISNA(VLOOKUP(A57,'Données projet'!$A$87:$I$107,4,0)),0,VLOOKUP(A57,'Données projet'!$A$87:$I$107,4,0))</f>
        <v>36</v>
      </c>
      <c r="BM57" s="17">
        <f>IF(ISNA(VLOOKUP(A57,'Données projet'!$A$87:$I$107,5,0)),0%,VLOOKUP(A57,'Données projet'!$A$87:$I$107,5,0)*VLOOKUP('Données projet'!$B$11,Paramètres!$A$1:$I$89,7,0))</f>
        <v>0.48</v>
      </c>
      <c r="BN57" s="17">
        <f>IF(ISNA(VLOOKUP(A57,'Données projet'!$A$87:$I$107,6,0)),0%,VLOOKUP(A57,'Données projet'!$A$87:$I$107,6,0)*VLOOKUP('Données projet'!$B$11,Paramètres!$A$1:$I$89,7,0))</f>
        <v>6.6000000000000003E-2</v>
      </c>
      <c r="BO57" s="17">
        <f>IF(ISNA(VLOOKUP(A57,'Données projet'!$A$87:$I$107,7,0)),0%,VLOOKUP(A57,'Données projet'!$A$87:$I$107,7,0))</f>
        <v>0.09</v>
      </c>
      <c r="BP57" s="23">
        <f>EXP(-LN(2)/35)*BP56+(1-EXP(-LN(2)/35))/(LN(2)/35)*BL57*BM57*VLOOKUP('Données projet'!$B$11,Paramètres!$A$1:$I$89,3,0)*0.475*44/12</f>
        <v>55.705192339560739</v>
      </c>
      <c r="BQ57" s="23">
        <f>EXP(-LN(2)/25)*BQ56+(1-EXP(-LN(2)/25))/(LN(2)/25)*Calculateur!BL57*Calculateur!BN57*VLOOKUP('Données projet'!$B$11,Paramètres!$A$1:$I$89,3,0)*0.475*44/12</f>
        <v>27.753863301301905</v>
      </c>
      <c r="BR57" s="23">
        <f>EXP(-LN(2)/2)*BR56+(1-EXP(-LN(2)/2))/(LN(2)/2)*BL57*BO57*VLOOKUP('Données projet'!$B$11,Paramètres!$A$1:$I$89,3,0)*0.475*44/12</f>
        <v>2.6854359437914219</v>
      </c>
      <c r="BS57" s="24">
        <f t="shared" si="9"/>
        <v>86.144491584654062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9.5537500000000009</v>
      </c>
      <c r="BY57" s="13">
        <f>IF('Données projet'!$A$114&gt;35,BY56+BX57-CG56,IF(A57&lt;'Données projet'!$A$114,$BV$205^A57,IF(A57='Données projet'!$A$114,'Données projet'!$B$114,BY56+BX57-CG56)))</f>
        <v>197.65500000000017</v>
      </c>
      <c r="BZ57" s="14">
        <f>BY57*VLOOKUP('Données projet'!$B$12,Paramètres!$A$1:$I$89,3,0)*VLOOKUP('Données projet'!$B$12,Paramètres!$A$1:$I$89,5,0)</f>
        <v>191.17191600000018</v>
      </c>
      <c r="CA57" s="14">
        <f t="shared" si="39"/>
        <v>47.798954043882908</v>
      </c>
      <c r="CB57" s="22">
        <f t="shared" si="10"/>
        <v>416.20759865976305</v>
      </c>
      <c r="CC57" s="62">
        <f t="shared" si="11"/>
        <v>709.54093199309636</v>
      </c>
      <c r="CD57" s="62">
        <f ca="1">AVERAGE(OFFSET($CC$3,0,0,'Données projet'!$E$12+1,1))-AVERAGE(OFFSET($H$3,0,0,'Données projet'!$E$12+1,1))</f>
        <v>618.83149423524605</v>
      </c>
      <c r="CE57" s="62">
        <f t="shared" si="40"/>
        <v>285.33582535802435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6.1553092733387951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6.1553092733387951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14.12</v>
      </c>
      <c r="CT57" s="13">
        <f>IF('Données projet'!$A$140&gt;35,CT56+CS57-DB56,IF(A57&lt;'Données projet'!$A$140,$CQ$205^A57,IF(A57='Données projet'!$A$140,'Données projet'!$B$140,CT56+CS57-DB56)))</f>
        <v>356.2200000000002</v>
      </c>
      <c r="CU57" s="18">
        <f>CT57*VLOOKUP('Données projet'!$B$13,Paramètres!$A$1:$I$89,3,0)*VLOOKUP('Données projet'!$B$13,Paramètres!$A$1:$I$89,5,0)</f>
        <v>213.01956000000015</v>
      </c>
      <c r="CV57" s="14">
        <f t="shared" si="41"/>
        <v>52.594886266766075</v>
      </c>
      <c r="CW57" s="22">
        <f t="shared" si="13"/>
        <v>462.61182724795117</v>
      </c>
      <c r="CX57" s="62">
        <f t="shared" si="14"/>
        <v>755.94516058128443</v>
      </c>
      <c r="CY57" s="62">
        <f ca="1">AVERAGE(OFFSET($CX$3,0,0,'Données projet'!$E$13+1,1))-AVERAGE(OFFSET($H$3,0,0,'Données projet'!$E$13+1,1))</f>
        <v>349.5718186624772</v>
      </c>
      <c r="CZ57" s="62">
        <f t="shared" si="42"/>
        <v>258.14152930815959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40.228316354155361</v>
      </c>
      <c r="DG57" s="23">
        <f>EXP(-LN(2)/25)*DG56+(1-EXP(-LN(2)/25))/(LN(2)/25)*Calculateur!DB57*Calculateur!DD57*VLOOKUP('Données projet'!$B$13,Paramètres!$A$1:$I$89,3,0)*0.475*44/12</f>
        <v>15.693405171893613</v>
      </c>
      <c r="DH57" s="23">
        <f>EXP(-LN(2)/2)*DH56+(1-EXP(-LN(2)/2))/(LN(2)/2)*DB57*DE57*VLOOKUP('Données projet'!$B$13,Paramètres!$A$1:$I$89,3,0)*0.475*44/12</f>
        <v>1.6477992144593414</v>
      </c>
      <c r="DI57" s="24">
        <f t="shared" si="15"/>
        <v>57.56952074050831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5.2</v>
      </c>
      <c r="DO57" s="13">
        <f>IF('Données projet'!$A$166&gt;35,DO56+DN57-DW56,IF(A57&lt;'Données projet'!$A$166,$DL$205^A57,IF(A57='Données projet'!$A$166,'Données projet'!$B$166,DO56+DN57-DW56)))</f>
        <v>175.79999999999998</v>
      </c>
      <c r="DP57" s="18">
        <f>DO57*VLOOKUP('Données projet'!$B$14,Paramètres!$A$1:$I$89,3,0)*VLOOKUP('Données projet'!$B$14,Paramètres!$A$1:$I$89,5,0)</f>
        <v>153.57888</v>
      </c>
      <c r="DQ57" s="14">
        <f t="shared" si="43"/>
        <v>39.390779474606148</v>
      </c>
      <c r="DR57" s="22">
        <f t="shared" si="16"/>
        <v>336.08882358493901</v>
      </c>
      <c r="DS57" s="62">
        <f t="shared" si="17"/>
        <v>629.42215691827232</v>
      </c>
      <c r="DT57" s="62">
        <f ca="1">AVERAGE(OFFSET($DS$3,0,0,'Données projet'!$E$14+1,1))-AVERAGE(OFFSET($H$3,0,0,'Données projet'!$E$14+1,1))</f>
        <v>300.63505444445104</v>
      </c>
      <c r="DU57" s="62">
        <f t="shared" si="44"/>
        <v>266.32508105927997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8.8039520033968781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8.8039520033968781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7.4</v>
      </c>
      <c r="EJ57" s="13">
        <f>IF('Données projet'!$A$192&gt;35,EJ56+EI57-ER56,IF(A57&lt;'Données projet'!$A$192,$EG$205^A57,IF(A57='Données projet'!$A$192,'Données projet'!$B$192,EJ56+EI57-ER56)))</f>
        <v>271.59999999999997</v>
      </c>
      <c r="EK57" s="18">
        <f>EJ57*VLOOKUP('Données projet'!$B$15,Paramètres!$A$1:$I$89,3,0)*VLOOKUP('Données projet'!$B$15,Paramètres!$A$1:$I$89,5,0)</f>
        <v>216.08496</v>
      </c>
      <c r="EL57" s="14">
        <f t="shared" si="45"/>
        <v>53.26308393083157</v>
      </c>
      <c r="EM57" s="22">
        <f t="shared" si="19"/>
        <v>469.11450984619825</v>
      </c>
      <c r="EN57" s="62">
        <f t="shared" si="20"/>
        <v>762.44784317953156</v>
      </c>
      <c r="EO57" s="62">
        <f ca="1">AVERAGE(OFFSET($EN$3,0,0,'Données projet'!$E$15+1,1))-AVERAGE(OFFSET($H$3,0,0,'Données projet'!$E$15+1,1))</f>
        <v>353.37024194969638</v>
      </c>
      <c r="EP57" s="62">
        <f t="shared" si="46"/>
        <v>345.4750813433123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27.03792365868771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27.03792365868771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6.4</v>
      </c>
      <c r="FE57" s="13">
        <f>IF('Données projet'!$A$218&gt;35,FE56+FD57-FM56,IF(A57&lt;'Données projet'!$A$218,$FB$205^A57,IF(A57='Données projet'!$A$218,'Données projet'!$B$218,FE56+FD57-FM56)))</f>
        <v>216.60000000000008</v>
      </c>
      <c r="FF57" s="18">
        <f>FE57*VLOOKUP('Données projet'!$B$16,Paramètres!$A$1:$I$89,3,0)*VLOOKUP('Données projet'!$B$16,Paramètres!$A$1:$I$89,5,0)</f>
        <v>141.91632000000007</v>
      </c>
      <c r="FG57" s="14">
        <f t="shared" si="47"/>
        <v>36.735659538535245</v>
      </c>
      <c r="FH57" s="22">
        <f t="shared" si="22"/>
        <v>311.15219769628237</v>
      </c>
      <c r="FI57" s="62">
        <f t="shared" si="23"/>
        <v>604.48553102961569</v>
      </c>
      <c r="FJ57" s="62">
        <f ca="1">AVERAGE(OFFSET($FI$3,0,0,'Données projet'!$E$16+1,1))-AVERAGE(OFFSET($H$3,0,0,'Données projet'!$E$16+1,1))</f>
        <v>263.30962868541337</v>
      </c>
      <c r="FK57" s="62">
        <f t="shared" si="48"/>
        <v>269.61868559913404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8.4466186732300699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8.4466186732300699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7.5280000000000014</v>
      </c>
      <c r="N58" s="14">
        <f>IF('Données projet'!$A$36&gt;35,N57+M58-V57,IF(A58&lt;'Données projet'!$A$36,$K$205^A58,IF(A58='Données projet'!$A$36,'Données projet'!$B$36,N57+M58-V57)))</f>
        <v>204.97</v>
      </c>
      <c r="O58" s="14">
        <f>N58*VLOOKUP('Données projet'!$B$9,Paramètres!$A$1:$I$89,3,0)*VLOOKUP('Données projet'!$B$9,Paramètres!$A$1:$I$89,5,0)</f>
        <v>122.57206000000001</v>
      </c>
      <c r="P58" s="14">
        <f t="shared" si="33"/>
        <v>32.274147620006104</v>
      </c>
      <c r="Q58" s="22">
        <f t="shared" si="53"/>
        <v>269.69047827151059</v>
      </c>
      <c r="R58" s="62">
        <f t="shared" si="0"/>
        <v>563.0238116048439</v>
      </c>
      <c r="S58" s="62">
        <f ca="1">AVERAGE(OFFSET($R$3,0,0,'Données projet'!$E$9+1,1))-AVERAGE(OFFSET($H$3,0,0,'Données projet'!$E$9+1,1))</f>
        <v>262.06511368698341</v>
      </c>
      <c r="T58" s="62">
        <f t="shared" si="34"/>
        <v>217.15709240080542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8.666954221849819</v>
      </c>
      <c r="AA58" s="23">
        <f>EXP(-LN(2)/25)*AA57+(1-EXP(-LN(2)/25))/(LN(2)/25)*Calculateur!V58*Calculateur!X58*VLOOKUP('Données projet'!$B$9,Paramètres!$A$1:$I$89,3,0)*0.475*44/12</f>
        <v>6.7790469565552174</v>
      </c>
      <c r="AB58" s="23">
        <f>EXP(-LN(2)/2)*AB57+(1-EXP(-LN(2)/2))/(LN(2)/2)*V58*Y58*VLOOKUP('Données projet'!$B$9,Paramètres!$A$1:$I$89,3,0)*0.475*44/12</f>
        <v>0.40703627965814115</v>
      </c>
      <c r="AC58" s="24">
        <f t="shared" si="3"/>
        <v>15.853037458063179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12.18916666666667</v>
      </c>
      <c r="AI58" s="14">
        <f>IF('Données projet'!$A$62&gt;35,AI57+AH58-AQ57,IF(A58&lt;'Données projet'!$A$62,$AF$205^A58,IF(A58='Données projet'!$A$62,'Données projet'!$B$62,AI57+AH58-AQ57)))</f>
        <v>271.78666666666663</v>
      </c>
      <c r="AJ58" s="14">
        <f>AI58*VLOOKUP('Données projet'!$B$10,Paramètres!$A$1:$I$89,3,0)*VLOOKUP('Données projet'!$B$10,Paramètres!$A$1:$I$89,5,0)</f>
        <v>127.19615999999998</v>
      </c>
      <c r="AK58" s="14">
        <f t="shared" si="35"/>
        <v>33.347654365530325</v>
      </c>
      <c r="AL58" s="22">
        <f t="shared" si="4"/>
        <v>279.61381001996523</v>
      </c>
      <c r="AM58" s="62">
        <f t="shared" si="5"/>
        <v>572.94714335329854</v>
      </c>
      <c r="AN58" s="62">
        <f ca="1">AVERAGE(OFFSET($AM$3,0,0,'Données projet'!$E$10+1,1))-AVERAGE(OFFSET($H$3,0,0,'Données projet'!$E$10+1,1))</f>
        <v>287.83167869616227</v>
      </c>
      <c r="AO58" s="62">
        <f t="shared" si="36"/>
        <v>233.84231920589906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12.609252735747802</v>
      </c>
      <c r="AV58" s="23">
        <f>EXP(-LN(2)/25)*AV57+(1-EXP(-LN(2)/25))/(LN(2)/25)*Calculateur!AQ58*Calculateur!AS58*VLOOKUP('Données projet'!$B$10,Paramètres!$A$1:$I$89,3,0)*0.475*44/12</f>
        <v>10.342690909195916</v>
      </c>
      <c r="AW58" s="23">
        <f>EXP(-LN(2)/2)*AW57+(1-EXP(-LN(2)/2))/(LN(2)/2)*AQ58*AT58*VLOOKUP('Données projet'!$B$10,Paramètres!$A$1:$I$89,3,0)*0.475*44/12</f>
        <v>3.4418396736211578</v>
      </c>
      <c r="AX58" s="23">
        <f t="shared" si="6"/>
        <v>26.393783318564875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9.3333333333333339</v>
      </c>
      <c r="BD58" s="13">
        <f>IF('Données projet'!$A$88&gt;35,BD57+BC58-BL57,IF(A58&lt;'Données projet'!$A$88,$BA$205^A58,IF(A58='Données projet'!$A$88,'Données projet'!$B$88,BD57+BC58-BL57)))</f>
        <v>261.33333333333326</v>
      </c>
      <c r="BE58" s="14">
        <f>BD58*VLOOKUP('Données projet'!$B$11,Paramètres!$A$1:$I$89,3,0)*VLOOKUP('Données projet'!$B$11,Paramètres!$A$1:$I$89,5,0)</f>
        <v>163.07199999999995</v>
      </c>
      <c r="BF58" s="14">
        <f t="shared" si="37"/>
        <v>41.534644786143375</v>
      </c>
      <c r="BG58" s="22">
        <f t="shared" si="7"/>
        <v>356.35657300253291</v>
      </c>
      <c r="BH58" s="62">
        <f t="shared" si="8"/>
        <v>649.68990633586623</v>
      </c>
      <c r="BI58" s="62">
        <f ca="1">AVERAGE(OFFSET($BH$3,0,0,'Données projet'!$E$11+1,1))-AVERAGE(OFFSET($H$3,0,0,'Données projet'!$E$11+1,1))</f>
        <v>262.36903350767881</v>
      </c>
      <c r="BJ58" s="62">
        <f t="shared" si="38"/>
        <v>331.21009482262417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54.612847494594348</v>
      </c>
      <c r="BQ58" s="23">
        <f>EXP(-LN(2)/25)*BQ57+(1-EXP(-LN(2)/25))/(LN(2)/25)*Calculateur!BL58*Calculateur!BN58*VLOOKUP('Données projet'!$B$11,Paramètres!$A$1:$I$89,3,0)*0.475*44/12</f>
        <v>26.994932449815565</v>
      </c>
      <c r="BR58" s="23">
        <f>EXP(-LN(2)/2)*BR57+(1-EXP(-LN(2)/2))/(LN(2)/2)*BL58*BO58*VLOOKUP('Données projet'!$B$11,Paramètres!$A$1:$I$89,3,0)*0.475*44/12</f>
        <v>1.8988899662970109</v>
      </c>
      <c r="BS58" s="24">
        <f t="shared" si="9"/>
        <v>83.506669910706918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9.5537500000000009</v>
      </c>
      <c r="BY58" s="13">
        <f>IF('Données projet'!$A$114&gt;35,BY57+BX58-CG57,IF(A58&lt;'Données projet'!$A$114,$BV$205^A58,IF(A58='Données projet'!$A$114,'Données projet'!$B$114,BY57+BX58-CG57)))</f>
        <v>207.20875000000018</v>
      </c>
      <c r="BZ58" s="14">
        <f>BY58*VLOOKUP('Données projet'!$B$12,Paramètres!$A$1:$I$89,3,0)*VLOOKUP('Données projet'!$B$12,Paramètres!$A$1:$I$89,5,0)</f>
        <v>200.41230300000018</v>
      </c>
      <c r="CA58" s="14">
        <f t="shared" si="39"/>
        <v>49.834768582334036</v>
      </c>
      <c r="CB58" s="22">
        <f t="shared" si="10"/>
        <v>435.84698300589872</v>
      </c>
      <c r="CC58" s="62">
        <f t="shared" si="11"/>
        <v>729.18031633923204</v>
      </c>
      <c r="CD58" s="62">
        <f ca="1">AVERAGE(OFFSET($CC$3,0,0,'Données projet'!$E$12+1,1))-AVERAGE(OFFSET($H$3,0,0,'Données projet'!$E$12+1,1))</f>
        <v>618.83149423524605</v>
      </c>
      <c r="CE58" s="62">
        <f t="shared" si="40"/>
        <v>285.33582535802435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6.0346074128565652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6.0346074128565652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14.12</v>
      </c>
      <c r="CT58" s="13">
        <f>IF('Données projet'!$A$140&gt;35,CT57+CS58-DB57,IF(A58&lt;'Données projet'!$A$140,$CQ$205^A58,IF(A58='Données projet'!$A$140,'Données projet'!$B$140,CT57+CS58-DB57)))</f>
        <v>370.3400000000002</v>
      </c>
      <c r="CU58" s="18">
        <f>CT58*VLOOKUP('Données projet'!$B$13,Paramètres!$A$1:$I$89,3,0)*VLOOKUP('Données projet'!$B$13,Paramètres!$A$1:$I$89,5,0)</f>
        <v>221.46332000000012</v>
      </c>
      <c r="CV58" s="14">
        <f t="shared" si="41"/>
        <v>54.432808276273747</v>
      </c>
      <c r="CW58" s="22">
        <f t="shared" si="13"/>
        <v>480.51909008117696</v>
      </c>
      <c r="CX58" s="62">
        <f t="shared" si="14"/>
        <v>773.85242341451021</v>
      </c>
      <c r="CY58" s="62">
        <f ca="1">AVERAGE(OFFSET($CX$3,0,0,'Données projet'!$E$13+1,1))-AVERAGE(OFFSET($H$3,0,0,'Données projet'!$E$13+1,1))</f>
        <v>349.5718186624772</v>
      </c>
      <c r="CZ58" s="62">
        <f t="shared" si="42"/>
        <v>258.14152930815959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39.439463607300539</v>
      </c>
      <c r="DG58" s="23">
        <f>EXP(-LN(2)/25)*DG57+(1-EXP(-LN(2)/25))/(LN(2)/25)*Calculateur!DB58*Calculateur!DD58*VLOOKUP('Données projet'!$B$13,Paramètres!$A$1:$I$89,3,0)*0.475*44/12</f>
        <v>15.264268182187871</v>
      </c>
      <c r="DH58" s="23">
        <f>EXP(-LN(2)/2)*DH57+(1-EXP(-LN(2)/2))/(LN(2)/2)*DB58*DE58*VLOOKUP('Données projet'!$B$13,Paramètres!$A$1:$I$89,3,0)*0.475*44/12</f>
        <v>1.1651699985780666</v>
      </c>
      <c r="DI58" s="24">
        <f t="shared" si="15"/>
        <v>55.868901788066474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181</v>
      </c>
      <c r="DM58" s="13">
        <f>VLOOKUP(A58,'Données projet'!$A$165:$I$185,9,0)</f>
        <v>5.2</v>
      </c>
      <c r="DN58" s="13">
        <f t="array" ref="DN58">INDEX(DM:DM,MIN(IF(ISNUMBER(DM58:DM254),ROW(DM58:DM254),"")))</f>
        <v>5.2</v>
      </c>
      <c r="DO58" s="13">
        <f>IF('Données projet'!$A$166&gt;35,DO57+DN58-DW57,IF(A58&lt;'Données projet'!$A$166,$DL$205^A58,IF(A58='Données projet'!$A$166,'Données projet'!$B$166,DO57+DN58-DW57)))</f>
        <v>180.99999999999997</v>
      </c>
      <c r="DP58" s="18">
        <f>DO58*VLOOKUP('Données projet'!$B$14,Paramètres!$A$1:$I$89,3,0)*VLOOKUP('Données projet'!$B$14,Paramètres!$A$1:$I$89,5,0)</f>
        <v>158.1216</v>
      </c>
      <c r="DQ58" s="14">
        <f t="shared" si="43"/>
        <v>40.418546284954211</v>
      </c>
      <c r="DR58" s="22">
        <f t="shared" si="16"/>
        <v>345.79075477962851</v>
      </c>
      <c r="DS58" s="62">
        <f t="shared" si="17"/>
        <v>639.12408811296177</v>
      </c>
      <c r="DT58" s="62">
        <f ca="1">AVERAGE(OFFSET($DS$3,0,0,'Données projet'!$E$14+1,1))-AVERAGE(OFFSET($H$3,0,0,'Données projet'!$E$14+1,1))</f>
        <v>300.63505444445104</v>
      </c>
      <c r="DU58" s="62">
        <f t="shared" si="44"/>
        <v>266.32508105927997</v>
      </c>
      <c r="DV58" s="16">
        <f>IF(ISNA(VLOOKUP(A58,'Données projet'!$A$165:$I$185,3,0)),0,VLOOKUP(A58,'Données projet'!$A$165:$I$185,3,0))</f>
        <v>10</v>
      </c>
      <c r="DW58" s="16">
        <f>IF(ISNA(VLOOKUP(A58,'Données projet'!$A$165:$I$185,4,0)),0,VLOOKUP(A58,'Données projet'!$A$165:$I$185,4,0))</f>
        <v>17</v>
      </c>
      <c r="DX58" s="17">
        <f>IF(ISNA(VLOOKUP(A58,'Données projet'!$A$165:$I$185,5,0)),0%,VLOOKUP(A58,'Données projet'!$A$165:$I$185,5,0)*VLOOKUP('Données projet'!$B$14,Paramètres!$A$1:$I$89,7,0))</f>
        <v>0.17200000000000001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11.455132486980153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11.455132486980153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279</v>
      </c>
      <c r="EH58" s="13">
        <f>VLOOKUP(A58,'Données projet'!$A$191:$I$211,9,0)</f>
        <v>7.4</v>
      </c>
      <c r="EI58" s="13">
        <f t="array" ref="EI58">INDEX(EH:EH,MIN(IF(ISNUMBER(EH58:EH254),ROW(EH58:EH254),"")))</f>
        <v>7.4</v>
      </c>
      <c r="EJ58" s="13">
        <f>IF('Données projet'!$A$192&gt;35,EJ57+EI58-ER57,IF(A58&lt;'Données projet'!$A$192,$EG$205^A58,IF(A58='Données projet'!$A$192,'Données projet'!$B$192,EJ57+EI58-ER57)))</f>
        <v>278.99999999999994</v>
      </c>
      <c r="EK58" s="18">
        <f>EJ58*VLOOKUP('Données projet'!$B$15,Paramètres!$A$1:$I$89,3,0)*VLOOKUP('Données projet'!$B$15,Paramètres!$A$1:$I$89,5,0)</f>
        <v>221.97239999999996</v>
      </c>
      <c r="EL58" s="14">
        <f t="shared" si="45"/>
        <v>54.543354171476821</v>
      </c>
      <c r="EM58" s="22">
        <f t="shared" si="19"/>
        <v>481.59827184865543</v>
      </c>
      <c r="EN58" s="62">
        <f t="shared" si="20"/>
        <v>774.93160518198874</v>
      </c>
      <c r="EO58" s="62">
        <f ca="1">AVERAGE(OFFSET($EN$3,0,0,'Données projet'!$E$15+1,1))-AVERAGE(OFFSET($H$3,0,0,'Données projet'!$E$15+1,1))</f>
        <v>353.37024194969638</v>
      </c>
      <c r="EP58" s="62">
        <f t="shared" si="46"/>
        <v>345.4750813433123</v>
      </c>
      <c r="EQ58" s="16">
        <f>IF(ISNA(VLOOKUP(A58,'Données projet'!$A$191:$I$211,3,0)),0,VLOOKUP(A58,'Données projet'!$A$191:$I$211,3,0))</f>
        <v>10</v>
      </c>
      <c r="ER58" s="16">
        <f>IF(ISNA(VLOOKUP(A58,'Données projet'!$A$191:$I$211,4,0)),0,VLOOKUP(A58,'Données projet'!$A$191:$I$211,4,0))</f>
        <v>16</v>
      </c>
      <c r="ES58" s="17">
        <f>IF(ISNA(VLOOKUP(A58,'Données projet'!$A$191:$I$211,5,0)),0%,VLOOKUP(A58,'Données projet'!$A$191:$I$211,5,0)*VLOOKUP('Données projet'!$B$15,Paramètres!$A$1:$I$89,7,0))</f>
        <v>0.318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30.982684713616116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30.982684713616116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223</v>
      </c>
      <c r="FC58" s="13">
        <f>VLOOKUP(A58,'Données projet'!$A$217:$I$237,9,0)</f>
        <v>6.4</v>
      </c>
      <c r="FD58" s="13">
        <f t="array" ref="FD58">INDEX(FC:FC,MIN(IF(ISNUMBER(FC58:FC254),ROW(FC58:FC254),"")))</f>
        <v>6.4</v>
      </c>
      <c r="FE58" s="13">
        <f>IF('Données projet'!$A$218&gt;35,FE57+FD58-FM57,IF(A58&lt;'Données projet'!$A$218,$FB$205^A58,IF(A58='Données projet'!$A$218,'Données projet'!$B$218,FE57+FD58-FM57)))</f>
        <v>223.00000000000009</v>
      </c>
      <c r="FF58" s="18">
        <f>FE58*VLOOKUP('Données projet'!$B$16,Paramètres!$A$1:$I$89,3,0)*VLOOKUP('Données projet'!$B$16,Paramètres!$A$1:$I$89,5,0)</f>
        <v>146.10960000000006</v>
      </c>
      <c r="FG58" s="14">
        <f t="shared" si="47"/>
        <v>37.693130662388469</v>
      </c>
      <c r="FH58" s="22">
        <f t="shared" si="22"/>
        <v>320.12308923699328</v>
      </c>
      <c r="FI58" s="62">
        <f t="shared" si="23"/>
        <v>613.45642257032659</v>
      </c>
      <c r="FJ58" s="62">
        <f ca="1">AVERAGE(OFFSET($FI$3,0,0,'Données projet'!$E$16+1,1))-AVERAGE(OFFSET($H$3,0,0,'Données projet'!$E$16+1,1))</f>
        <v>263.30962868541337</v>
      </c>
      <c r="FK58" s="62">
        <f t="shared" si="48"/>
        <v>269.61868559913404</v>
      </c>
      <c r="FL58" s="16">
        <f>IF(ISNA(VLOOKUP(A58,'Données projet'!$A$217:$I$237,3,0)),0,VLOOKUP(A58,'Données projet'!$A$217:$I$237,3,0))</f>
        <v>10</v>
      </c>
      <c r="FM58" s="16">
        <f>IF(ISNA(VLOOKUP(A58,'Données projet'!$A$217:$I$237,4,0)),0,VLOOKUP(A58,'Données projet'!$A$217:$I$237,4,0))</f>
        <v>23</v>
      </c>
      <c r="FN58" s="17">
        <f>IF(ISNA(VLOOKUP(A58,'Données projet'!$A$217:$I$237,5,0)),0%,VLOOKUP(A58,'Données projet'!$A$217:$I$237,5,0)*VLOOKUP('Données projet'!$B$16,Paramètres!$A$1:$I$89,7,0))</f>
        <v>0.17200000000000001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11.146333019179185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11.146333019179185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7.5280000000000014</v>
      </c>
      <c r="N59" s="14">
        <f>IF('Données projet'!$A$36&gt;35,N58+M59-V58,IF(A59&lt;'Données projet'!$A$36,$K$205^A59,IF(A59='Données projet'!$A$36,'Données projet'!$B$36,N58+M59-V58)))</f>
        <v>212.49799999999999</v>
      </c>
      <c r="O59" s="14">
        <f>N59*VLOOKUP('Données projet'!$B$9,Paramètres!$A$1:$I$89,3,0)*VLOOKUP('Données projet'!$B$9,Paramètres!$A$1:$I$89,5,0)</f>
        <v>127.07380400000001</v>
      </c>
      <c r="P59" s="14">
        <f t="shared" si="33"/>
        <v>33.319308051675726</v>
      </c>
      <c r="Q59" s="22">
        <f t="shared" si="53"/>
        <v>279.3513368233352</v>
      </c>
      <c r="R59" s="62">
        <f t="shared" si="0"/>
        <v>572.68467015666852</v>
      </c>
      <c r="S59" s="62">
        <f ca="1">AVERAGE(OFFSET($R$3,0,0,'Données projet'!$E$9+1,1))-AVERAGE(OFFSET($H$3,0,0,'Données projet'!$E$9+1,1))</f>
        <v>262.06511368698341</v>
      </c>
      <c r="T59" s="62">
        <f t="shared" si="34"/>
        <v>217.15709240080542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8.4970005358794385</v>
      </c>
      <c r="AA59" s="23">
        <f>EXP(-LN(2)/25)*AA58+(1-EXP(-LN(2)/25))/(LN(2)/25)*Calculateur!V59*Calculateur!X59*VLOOKUP('Données projet'!$B$9,Paramètres!$A$1:$I$89,3,0)*0.475*44/12</f>
        <v>6.5936735610336292</v>
      </c>
      <c r="AB59" s="23">
        <f>EXP(-LN(2)/2)*AB58+(1-EXP(-LN(2)/2))/(LN(2)/2)*V59*Y59*VLOOKUP('Données projet'!$B$9,Paramètres!$A$1:$I$89,3,0)*0.475*44/12</f>
        <v>0.28781811353521558</v>
      </c>
      <c r="AC59" s="24">
        <f t="shared" si="3"/>
        <v>15.378492210448282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12.18916666666667</v>
      </c>
      <c r="AI59" s="14">
        <f>IF('Données projet'!$A$62&gt;35,AI58+AH59-AQ58,IF(A59&lt;'Données projet'!$A$62,$AF$205^A59,IF(A59='Données projet'!$A$62,'Données projet'!$B$62,AI58+AH59-AQ58)))</f>
        <v>283.9758333333333</v>
      </c>
      <c r="AJ59" s="14">
        <f>AI59*VLOOKUP('Données projet'!$B$10,Paramètres!$A$1:$I$89,3,0)*VLOOKUP('Données projet'!$B$10,Paramètres!$A$1:$I$89,5,0)</f>
        <v>132.90069</v>
      </c>
      <c r="AK59" s="14">
        <f t="shared" si="35"/>
        <v>34.665760351926387</v>
      </c>
      <c r="AL59" s="22">
        <f t="shared" si="4"/>
        <v>291.84490102960513</v>
      </c>
      <c r="AM59" s="62">
        <f t="shared" si="5"/>
        <v>585.17823436293838</v>
      </c>
      <c r="AN59" s="62">
        <f ca="1">AVERAGE(OFFSET($AM$3,0,0,'Données projet'!$E$10+1,1))-AVERAGE(OFFSET($H$3,0,0,'Données projet'!$E$10+1,1))</f>
        <v>287.83167869616227</v>
      </c>
      <c r="AO59" s="62">
        <f t="shared" si="36"/>
        <v>233.84231920589906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12.361992980484544</v>
      </c>
      <c r="AV59" s="23">
        <f>EXP(-LN(2)/25)*AV58+(1-EXP(-LN(2)/25))/(LN(2)/25)*Calculateur!AQ59*Calculateur!AS59*VLOOKUP('Données projet'!$B$10,Paramètres!$A$1:$I$89,3,0)*0.475*44/12</f>
        <v>10.059869482385478</v>
      </c>
      <c r="AW59" s="23">
        <f>EXP(-LN(2)/2)*AW58+(1-EXP(-LN(2)/2))/(LN(2)/2)*AQ59*AT59*VLOOKUP('Données projet'!$B$10,Paramètres!$A$1:$I$89,3,0)*0.475*44/12</f>
        <v>2.4337481729744144</v>
      </c>
      <c r="AX59" s="23">
        <f t="shared" si="6"/>
        <v>24.855610635844439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9.3333333333333339</v>
      </c>
      <c r="BD59" s="13">
        <f>IF('Données projet'!$A$88&gt;35,BD58+BC59-BL58,IF(A59&lt;'Données projet'!$A$88,$BA$205^A59,IF(A59='Données projet'!$A$88,'Données projet'!$B$88,BD58+BC59-BL58)))</f>
        <v>270.66666666666657</v>
      </c>
      <c r="BE59" s="14">
        <f>BD59*VLOOKUP('Données projet'!$B$11,Paramètres!$A$1:$I$89,3,0)*VLOOKUP('Données projet'!$B$11,Paramètres!$A$1:$I$89,5,0)</f>
        <v>168.89599999999996</v>
      </c>
      <c r="BF59" s="14">
        <f t="shared" si="37"/>
        <v>42.842670630426674</v>
      </c>
      <c r="BG59" s="22">
        <f t="shared" si="7"/>
        <v>368.77818468132637</v>
      </c>
      <c r="BH59" s="62">
        <f t="shared" si="8"/>
        <v>662.11151801465962</v>
      </c>
      <c r="BI59" s="62">
        <f ca="1">AVERAGE(OFFSET($BH$3,0,0,'Données projet'!$E$11+1,1))-AVERAGE(OFFSET($H$3,0,0,'Données projet'!$E$11+1,1))</f>
        <v>262.36903350767881</v>
      </c>
      <c r="BJ59" s="62">
        <f t="shared" si="38"/>
        <v>331.21009482262417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53.541922865773181</v>
      </c>
      <c r="BQ59" s="23">
        <f>EXP(-LN(2)/25)*BQ58+(1-EXP(-LN(2)/25))/(LN(2)/25)*Calculateur!BL59*Calculateur!BN59*VLOOKUP('Données projet'!$B$11,Paramètres!$A$1:$I$89,3,0)*0.475*44/12</f>
        <v>26.256754602373558</v>
      </c>
      <c r="BR59" s="23">
        <f>EXP(-LN(2)/2)*BR58+(1-EXP(-LN(2)/2))/(LN(2)/2)*BL59*BO59*VLOOKUP('Données projet'!$B$11,Paramètres!$A$1:$I$89,3,0)*0.475*44/12</f>
        <v>1.3427179718957112</v>
      </c>
      <c r="BS59" s="24">
        <f t="shared" si="9"/>
        <v>81.141395440042444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9.5537500000000009</v>
      </c>
      <c r="BY59" s="13">
        <f>IF('Données projet'!$A$114&gt;35,BY58+BX59-CG58,IF(A59&lt;'Données projet'!$A$114,$BV$205^A59,IF(A59='Données projet'!$A$114,'Données projet'!$B$114,BY58+BX59-CG58)))</f>
        <v>216.76250000000019</v>
      </c>
      <c r="BZ59" s="14">
        <f>BY59*VLOOKUP('Données projet'!$B$12,Paramètres!$A$1:$I$89,3,0)*VLOOKUP('Données projet'!$B$12,Paramètres!$A$1:$I$89,5,0)</f>
        <v>209.65269000000021</v>
      </c>
      <c r="CA59" s="14">
        <f t="shared" si="39"/>
        <v>51.859682415280766</v>
      </c>
      <c r="CB59" s="22">
        <f t="shared" si="10"/>
        <v>455.46738195661436</v>
      </c>
      <c r="CC59" s="62">
        <f t="shared" si="11"/>
        <v>748.80071528994768</v>
      </c>
      <c r="CD59" s="62">
        <f ca="1">AVERAGE(OFFSET($CC$3,0,0,'Données projet'!$E$12+1,1))-AVERAGE(OFFSET($H$3,0,0,'Données projet'!$E$12+1,1))</f>
        <v>618.83149423524605</v>
      </c>
      <c r="CE59" s="62">
        <f t="shared" si="40"/>
        <v>285.33582535802435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5.9162724422375259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5.9162724422375259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14.12</v>
      </c>
      <c r="CT59" s="13">
        <f>IF('Données projet'!$A$140&gt;35,CT58+CS59-DB58,IF(A59&lt;'Données projet'!$A$140,$CQ$205^A59,IF(A59='Données projet'!$A$140,'Données projet'!$B$140,CT58+CS59-DB58)))</f>
        <v>384.46000000000021</v>
      </c>
      <c r="CU59" s="18">
        <f>CT59*VLOOKUP('Données projet'!$B$13,Paramètres!$A$1:$I$89,3,0)*VLOOKUP('Données projet'!$B$13,Paramètres!$A$1:$I$89,5,0)</f>
        <v>229.90708000000015</v>
      </c>
      <c r="CV59" s="14">
        <f t="shared" si="41"/>
        <v>56.262589582193186</v>
      </c>
      <c r="CW59" s="22">
        <f t="shared" si="13"/>
        <v>498.41217452232013</v>
      </c>
      <c r="CX59" s="62">
        <f t="shared" si="14"/>
        <v>791.74550785565339</v>
      </c>
      <c r="CY59" s="62">
        <f ca="1">AVERAGE(OFFSET($CX$3,0,0,'Données projet'!$E$13+1,1))-AVERAGE(OFFSET($H$3,0,0,'Données projet'!$E$13+1,1))</f>
        <v>349.5718186624772</v>
      </c>
      <c r="CZ59" s="62">
        <f t="shared" si="42"/>
        <v>258.14152930815959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38.666079781658873</v>
      </c>
      <c r="DG59" s="23">
        <f>EXP(-LN(2)/25)*DG58+(1-EXP(-LN(2)/25))/(LN(2)/25)*Calculateur!DB59*Calculateur!DD59*VLOOKUP('Données projet'!$B$13,Paramètres!$A$1:$I$89,3,0)*0.475*44/12</f>
        <v>14.846865966032967</v>
      </c>
      <c r="DH59" s="23">
        <f>EXP(-LN(2)/2)*DH58+(1-EXP(-LN(2)/2))/(LN(2)/2)*DB59*DE59*VLOOKUP('Données projet'!$B$13,Paramètres!$A$1:$I$89,3,0)*0.475*44/12</f>
        <v>0.82389960722967082</v>
      </c>
      <c r="DI59" s="24">
        <f t="shared" si="15"/>
        <v>54.336845354921508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</v>
      </c>
      <c r="DO59" s="13">
        <f>IF('Données projet'!$A$166&gt;35,DO58+DN59-DW58,IF(A59&lt;'Données projet'!$A$166,$DL$205^A59,IF(A59='Données projet'!$A$166,'Données projet'!$B$166,DO58+DN59-DW58)))</f>
        <v>168.99999999999997</v>
      </c>
      <c r="DP59" s="18">
        <f>DO59*VLOOKUP('Données projet'!$B$14,Paramètres!$A$1:$I$89,3,0)*VLOOKUP('Données projet'!$B$14,Paramètres!$A$1:$I$89,5,0)</f>
        <v>147.63839999999999</v>
      </c>
      <c r="DQ59" s="14">
        <f t="shared" si="43"/>
        <v>38.041408878951295</v>
      </c>
      <c r="DR59" s="22">
        <f t="shared" si="16"/>
        <v>323.39233379750681</v>
      </c>
      <c r="DS59" s="62">
        <f t="shared" si="17"/>
        <v>616.72566713084007</v>
      </c>
      <c r="DT59" s="62">
        <f ca="1">AVERAGE(OFFSET($DS$3,0,0,'Données projet'!$E$14+1,1))-AVERAGE(OFFSET($H$3,0,0,'Données projet'!$E$14+1,1))</f>
        <v>300.63505444445104</v>
      </c>
      <c r="DU59" s="62">
        <f t="shared" si="44"/>
        <v>266.32508105927997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11.230504325851387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11.230504325851387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6.2</v>
      </c>
      <c r="EJ59" s="13">
        <f>IF('Données projet'!$A$192&gt;35,EJ58+EI59-ER58,IF(A59&lt;'Données projet'!$A$192,$EG$205^A59,IF(A59='Données projet'!$A$192,'Données projet'!$B$192,EJ58+EI59-ER58)))</f>
        <v>269.19999999999993</v>
      </c>
      <c r="EK59" s="18">
        <f>EJ59*VLOOKUP('Données projet'!$B$15,Paramètres!$A$1:$I$89,3,0)*VLOOKUP('Données projet'!$B$15,Paramètres!$A$1:$I$89,5,0)</f>
        <v>214.17551999999998</v>
      </c>
      <c r="EL59" s="14">
        <f t="shared" si="45"/>
        <v>52.846993696165399</v>
      </c>
      <c r="EM59" s="22">
        <f t="shared" si="19"/>
        <v>465.06421135415468</v>
      </c>
      <c r="EN59" s="62">
        <f t="shared" si="20"/>
        <v>758.39754468748799</v>
      </c>
      <c r="EO59" s="62">
        <f ca="1">AVERAGE(OFFSET($EN$3,0,0,'Données projet'!$E$15+1,1))-AVERAGE(OFFSET($H$3,0,0,'Données projet'!$E$15+1,1))</f>
        <v>353.37024194969638</v>
      </c>
      <c r="EP59" s="62">
        <f t="shared" si="46"/>
        <v>345.4750813433123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30.375133163953798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30.375133163953798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5.8</v>
      </c>
      <c r="FE59" s="13">
        <f>IF('Données projet'!$A$218&gt;35,FE58+FD59-FM58,IF(A59&lt;'Données projet'!$A$218,$FB$205^A59,IF(A59='Données projet'!$A$218,'Données projet'!$B$218,FE58+FD59-FM58)))</f>
        <v>205.8000000000001</v>
      </c>
      <c r="FF59" s="18">
        <f>FE59*VLOOKUP('Données projet'!$B$16,Paramètres!$A$1:$I$89,3,0)*VLOOKUP('Données projet'!$B$16,Paramètres!$A$1:$I$89,5,0)</f>
        <v>134.84016000000005</v>
      </c>
      <c r="FG59" s="14">
        <f t="shared" si="47"/>
        <v>35.112387625030664</v>
      </c>
      <c r="FH59" s="22">
        <f t="shared" si="22"/>
        <v>296.00068711359518</v>
      </c>
      <c r="FI59" s="62">
        <f t="shared" si="23"/>
        <v>589.33402044692843</v>
      </c>
      <c r="FJ59" s="62">
        <f ca="1">AVERAGE(OFFSET($FI$3,0,0,'Données projet'!$E$16+1,1))-AVERAGE(OFFSET($H$3,0,0,'Données projet'!$E$16+1,1))</f>
        <v>263.30962868541337</v>
      </c>
      <c r="FK59" s="62">
        <f t="shared" si="48"/>
        <v>269.61868559913404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10.927760227264917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10.927760227264917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7.5280000000000014</v>
      </c>
      <c r="N60" s="14">
        <f>IF('Données projet'!$A$36&gt;35,N59+M60-V59,IF(A60&lt;'Données projet'!$A$36,$K$205^A60,IF(A60='Données projet'!$A$36,'Données projet'!$B$36,N59+M60-V59)))</f>
        <v>220.02599999999998</v>
      </c>
      <c r="O60" s="14">
        <f>N60*VLOOKUP('Données projet'!$B$9,Paramètres!$A$1:$I$89,3,0)*VLOOKUP('Données projet'!$B$9,Paramètres!$A$1:$I$89,5,0)</f>
        <v>131.575548</v>
      </c>
      <c r="P60" s="14">
        <f t="shared" si="33"/>
        <v>34.360166571069136</v>
      </c>
      <c r="Q60" s="22">
        <f t="shared" si="53"/>
        <v>289.00470287794536</v>
      </c>
      <c r="R60" s="62">
        <f t="shared" si="0"/>
        <v>582.33803621127868</v>
      </c>
      <c r="S60" s="62">
        <f ca="1">AVERAGE(OFFSET($R$3,0,0,'Données projet'!$E$9+1,1))-AVERAGE(OFFSET($H$3,0,0,'Données projet'!$E$9+1,1))</f>
        <v>262.06511368698341</v>
      </c>
      <c r="T60" s="62">
        <f t="shared" si="34"/>
        <v>217.15709240080542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8.3303795380294243</v>
      </c>
      <c r="AA60" s="23">
        <f>EXP(-LN(2)/25)*AA59+(1-EXP(-LN(2)/25))/(LN(2)/25)*Calculateur!V60*Calculateur!X60*VLOOKUP('Données projet'!$B$9,Paramètres!$A$1:$I$89,3,0)*0.475*44/12</f>
        <v>6.4133692107609424</v>
      </c>
      <c r="AB60" s="23">
        <f>EXP(-LN(2)/2)*AB59+(1-EXP(-LN(2)/2))/(LN(2)/2)*V60*Y60*VLOOKUP('Données projet'!$B$9,Paramètres!$A$1:$I$89,3,0)*0.475*44/12</f>
        <v>0.20351813982907058</v>
      </c>
      <c r="AC60" s="24">
        <f t="shared" si="3"/>
        <v>14.947266888619437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12.18916666666667</v>
      </c>
      <c r="AI60" s="14">
        <f>IF('Données projet'!$A$62&gt;35,AI59+AH60-AQ59,IF(A60&lt;'Données projet'!$A$62,$AF$205^A60,IF(A60='Données projet'!$A$62,'Données projet'!$B$62,AI59+AH60-AQ59)))</f>
        <v>296.16499999999996</v>
      </c>
      <c r="AJ60" s="14">
        <f>AI60*VLOOKUP('Données projet'!$B$10,Paramètres!$A$1:$I$89,3,0)*VLOOKUP('Données projet'!$B$10,Paramètres!$A$1:$I$89,5,0)</f>
        <v>138.60521999999997</v>
      </c>
      <c r="AK60" s="14">
        <f t="shared" si="35"/>
        <v>35.977295022740158</v>
      </c>
      <c r="AL60" s="22">
        <f t="shared" si="4"/>
        <v>304.06454699793903</v>
      </c>
      <c r="AM60" s="62">
        <f t="shared" si="5"/>
        <v>597.39788033127229</v>
      </c>
      <c r="AN60" s="62">
        <f ca="1">AVERAGE(OFFSET($AM$3,0,0,'Données projet'!$E$10+1,1))-AVERAGE(OFFSET($H$3,0,0,'Données projet'!$E$10+1,1))</f>
        <v>287.83167869616227</v>
      </c>
      <c r="AO60" s="62">
        <f t="shared" si="36"/>
        <v>233.84231920589906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12.11958183820844</v>
      </c>
      <c r="AV60" s="23">
        <f>EXP(-LN(2)/25)*AV59+(1-EXP(-LN(2)/25))/(LN(2)/25)*Calculateur!AQ60*Calculateur!AS60*VLOOKUP('Données projet'!$B$10,Paramètres!$A$1:$I$89,3,0)*0.475*44/12</f>
        <v>9.7847818223641028</v>
      </c>
      <c r="AW60" s="23">
        <f>EXP(-LN(2)/2)*AW59+(1-EXP(-LN(2)/2))/(LN(2)/2)*AQ60*AT60*VLOOKUP('Données projet'!$B$10,Paramètres!$A$1:$I$89,3,0)*0.475*44/12</f>
        <v>1.7209198368105791</v>
      </c>
      <c r="AX60" s="23">
        <f t="shared" si="6"/>
        <v>23.625283497383123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9.3333333333333339</v>
      </c>
      <c r="BD60" s="13">
        <f>IF('Données projet'!$A$88&gt;35,BD59+BC60-BL59,IF(A60&lt;'Données projet'!$A$88,$BA$205^A60,IF(A60='Données projet'!$A$88,'Données projet'!$B$88,BD59+BC60-BL59)))</f>
        <v>279.99999999999989</v>
      </c>
      <c r="BE60" s="14">
        <f>BD60*VLOOKUP('Données projet'!$B$11,Paramètres!$A$1:$I$89,3,0)*VLOOKUP('Données projet'!$B$11,Paramètres!$A$1:$I$89,5,0)</f>
        <v>174.71999999999994</v>
      </c>
      <c r="BF60" s="14">
        <f t="shared" si="37"/>
        <v>44.145455754865203</v>
      </c>
      <c r="BG60" s="22">
        <f t="shared" si="7"/>
        <v>381.19066877305676</v>
      </c>
      <c r="BH60" s="62">
        <f t="shared" si="8"/>
        <v>674.52400210639007</v>
      </c>
      <c r="BI60" s="62">
        <f ca="1">AVERAGE(OFFSET($BH$3,0,0,'Données projet'!$E$11+1,1))-AVERAGE(OFFSET($H$3,0,0,'Données projet'!$E$11+1,1))</f>
        <v>262.36903350767881</v>
      </c>
      <c r="BJ60" s="62">
        <f t="shared" si="38"/>
        <v>331.21009482262417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52.491998415723671</v>
      </c>
      <c r="BQ60" s="23">
        <f>EXP(-LN(2)/25)*BQ59+(1-EXP(-LN(2)/25))/(LN(2)/25)*Calculateur!BL60*Calculateur!BN60*VLOOKUP('Données projet'!$B$11,Paramètres!$A$1:$I$89,3,0)*0.475*44/12</f>
        <v>25.53876226698894</v>
      </c>
      <c r="BR60" s="23">
        <f>EXP(-LN(2)/2)*BR59+(1-EXP(-LN(2)/2))/(LN(2)/2)*BL60*BO60*VLOOKUP('Données projet'!$B$11,Paramètres!$A$1:$I$89,3,0)*0.475*44/12</f>
        <v>0.94944498314850556</v>
      </c>
      <c r="BS60" s="24">
        <f t="shared" si="9"/>
        <v>78.980205665861121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9.5537500000000009</v>
      </c>
      <c r="BY60" s="13">
        <f>IF('Données projet'!$A$114&gt;35,BY59+BX60-CG59,IF(A60&lt;'Données projet'!$A$114,$BV$205^A60,IF(A60='Données projet'!$A$114,'Données projet'!$B$114,BY59+BX60-CG59)))</f>
        <v>226.3162500000002</v>
      </c>
      <c r="BZ60" s="14">
        <f>BY60*VLOOKUP('Données projet'!$B$12,Paramètres!$A$1:$I$89,3,0)*VLOOKUP('Données projet'!$B$12,Paramètres!$A$1:$I$89,5,0)</f>
        <v>218.8930770000002</v>
      </c>
      <c r="CA60" s="14">
        <f t="shared" si="39"/>
        <v>53.874230892742354</v>
      </c>
      <c r="CB60" s="22">
        <f t="shared" si="10"/>
        <v>475.06972791319322</v>
      </c>
      <c r="CC60" s="62">
        <f t="shared" si="11"/>
        <v>768.40306124652648</v>
      </c>
      <c r="CD60" s="62">
        <f ca="1">AVERAGE(OFFSET($CC$3,0,0,'Données projet'!$E$12+1,1))-AVERAGE(OFFSET($H$3,0,0,'Données projet'!$E$12+1,1))</f>
        <v>618.83149423524605</v>
      </c>
      <c r="CE60" s="62">
        <f t="shared" si="40"/>
        <v>285.33582535802435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5.8002579482151209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5.8002579482151209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14.12</v>
      </c>
      <c r="CT60" s="13">
        <f>IF('Données projet'!$A$140&gt;35,CT59+CS60-DB59,IF(A60&lt;'Données projet'!$A$140,$CQ$205^A60,IF(A60='Données projet'!$A$140,'Données projet'!$B$140,CT59+CS60-DB59)))</f>
        <v>398.58000000000021</v>
      </c>
      <c r="CU60" s="18">
        <f>CT60*VLOOKUP('Données projet'!$B$13,Paramètres!$A$1:$I$89,3,0)*VLOOKUP('Données projet'!$B$13,Paramètres!$A$1:$I$89,5,0)</f>
        <v>238.35084000000015</v>
      </c>
      <c r="CV60" s="14">
        <f t="shared" si="41"/>
        <v>58.084563408326787</v>
      </c>
      <c r="CW60" s="22">
        <f t="shared" si="13"/>
        <v>516.29166093616936</v>
      </c>
      <c r="CX60" s="62">
        <f t="shared" si="14"/>
        <v>809.62499426950262</v>
      </c>
      <c r="CY60" s="62">
        <f ca="1">AVERAGE(OFFSET($CX$3,0,0,'Données projet'!$E$13+1,1))-AVERAGE(OFFSET($H$3,0,0,'Données projet'!$E$13+1,1))</f>
        <v>349.5718186624772</v>
      </c>
      <c r="CZ60" s="62">
        <f t="shared" si="42"/>
        <v>258.14152930815959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37.907861541120482</v>
      </c>
      <c r="DG60" s="23">
        <f>EXP(-LN(2)/25)*DG59+(1-EXP(-LN(2)/25))/(LN(2)/25)*Calculateur!DB60*Calculateur!DD60*VLOOKUP('Données projet'!$B$13,Paramètres!$A$1:$I$89,3,0)*0.475*44/12</f>
        <v>14.440877635429047</v>
      </c>
      <c r="DH60" s="23">
        <f>EXP(-LN(2)/2)*DH59+(1-EXP(-LN(2)/2))/(LN(2)/2)*DB60*DE60*VLOOKUP('Données projet'!$B$13,Paramètres!$A$1:$I$89,3,0)*0.475*44/12</f>
        <v>0.58258499928903329</v>
      </c>
      <c r="DI60" s="24">
        <f t="shared" si="15"/>
        <v>52.931324175838562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</v>
      </c>
      <c r="DO60" s="13">
        <f>IF('Données projet'!$A$166&gt;35,DO59+DN60-DW59,IF(A60&lt;'Données projet'!$A$166,$DL$205^A60,IF(A60='Données projet'!$A$166,'Données projet'!$B$166,DO59+DN60-DW59)))</f>
        <v>173.99999999999997</v>
      </c>
      <c r="DP60" s="18">
        <f>DO60*VLOOKUP('Données projet'!$B$14,Paramètres!$A$1:$I$89,3,0)*VLOOKUP('Données projet'!$B$14,Paramètres!$A$1:$I$89,5,0)</f>
        <v>152.00640000000001</v>
      </c>
      <c r="DQ60" s="14">
        <f t="shared" si="43"/>
        <v>39.03419401656145</v>
      </c>
      <c r="DR60" s="22">
        <f t="shared" si="16"/>
        <v>332.72903457884451</v>
      </c>
      <c r="DS60" s="62">
        <f t="shared" si="17"/>
        <v>626.06236791217782</v>
      </c>
      <c r="DT60" s="62">
        <f ca="1">AVERAGE(OFFSET($DS$3,0,0,'Données projet'!$E$14+1,1))-AVERAGE(OFFSET($H$3,0,0,'Données projet'!$E$14+1,1))</f>
        <v>300.63505444445104</v>
      </c>
      <c r="DU60" s="62">
        <f t="shared" si="44"/>
        <v>266.32508105927997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11.010280985952706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11.010280985952706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6.2</v>
      </c>
      <c r="EJ60" s="13">
        <f>IF('Données projet'!$A$192&gt;35,EJ59+EI60-ER59,IF(A60&lt;'Données projet'!$A$192,$EG$205^A60,IF(A60='Données projet'!$A$192,'Données projet'!$B$192,EJ59+EI60-ER59)))</f>
        <v>275.39999999999992</v>
      </c>
      <c r="EK60" s="18">
        <f>EJ60*VLOOKUP('Données projet'!$B$15,Paramètres!$A$1:$I$89,3,0)*VLOOKUP('Données projet'!$B$15,Paramètres!$A$1:$I$89,5,0)</f>
        <v>219.10823999999994</v>
      </c>
      <c r="EL60" s="14">
        <f t="shared" si="45"/>
        <v>53.921020297295854</v>
      </c>
      <c r="EM60" s="22">
        <f t="shared" si="19"/>
        <v>475.52596168445672</v>
      </c>
      <c r="EN60" s="62">
        <f t="shared" si="20"/>
        <v>768.85929501779003</v>
      </c>
      <c r="EO60" s="62">
        <f ca="1">AVERAGE(OFFSET($EN$3,0,0,'Données projet'!$E$15+1,1))-AVERAGE(OFFSET($H$3,0,0,'Données projet'!$E$15+1,1))</f>
        <v>353.37024194969638</v>
      </c>
      <c r="EP60" s="62">
        <f t="shared" si="46"/>
        <v>345.4750813433123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29.779495329610505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29.779495329610505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5.8</v>
      </c>
      <c r="FE60" s="13">
        <f>IF('Données projet'!$A$218&gt;35,FE59+FD60-FM59,IF(A60&lt;'Données projet'!$A$218,$FB$205^A60,IF(A60='Données projet'!$A$218,'Données projet'!$B$218,FE59+FD60-FM59)))</f>
        <v>211.60000000000011</v>
      </c>
      <c r="FF60" s="18">
        <f>FE60*VLOOKUP('Données projet'!$B$16,Paramètres!$A$1:$I$89,3,0)*VLOOKUP('Données projet'!$B$16,Paramètres!$A$1:$I$89,5,0)</f>
        <v>138.64032000000006</v>
      </c>
      <c r="FG60" s="14">
        <f t="shared" si="47"/>
        <v>35.985345198165817</v>
      </c>
      <c r="FH60" s="22">
        <f t="shared" si="22"/>
        <v>304.13970022013888</v>
      </c>
      <c r="FI60" s="62">
        <f t="shared" si="23"/>
        <v>597.47303355347219</v>
      </c>
      <c r="FJ60" s="62">
        <f ca="1">AVERAGE(OFFSET($FI$3,0,0,'Données projet'!$E$16+1,1))-AVERAGE(OFFSET($H$3,0,0,'Données projet'!$E$16+1,1))</f>
        <v>263.30962868541337</v>
      </c>
      <c r="FK60" s="62">
        <f t="shared" si="48"/>
        <v>269.61868559913404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10.71347351448385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10.71347351448385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7.5280000000000014</v>
      </c>
      <c r="N61" s="14">
        <f>IF('Données projet'!$A$36&gt;35,N60+M61-V60,IF(A61&lt;'Données projet'!$A$36,$K$205^A61,IF(A61='Données projet'!$A$36,'Données projet'!$B$36,N60+M61-V60)))</f>
        <v>227.55399999999997</v>
      </c>
      <c r="O61" s="14">
        <f>N61*VLOOKUP('Données projet'!$B$9,Paramètres!$A$1:$I$89,3,0)*VLOOKUP('Données projet'!$B$9,Paramètres!$A$1:$I$89,5,0)</f>
        <v>136.077292</v>
      </c>
      <c r="P61" s="14">
        <f t="shared" si="33"/>
        <v>35.396887235157124</v>
      </c>
      <c r="Q61" s="22">
        <f t="shared" si="53"/>
        <v>298.65086216789865</v>
      </c>
      <c r="R61" s="62">
        <f t="shared" si="0"/>
        <v>591.98419550123197</v>
      </c>
      <c r="S61" s="62">
        <f ca="1">AVERAGE(OFFSET($R$3,0,0,'Données projet'!$E$9+1,1))-AVERAGE(OFFSET($H$3,0,0,'Données projet'!$E$9+1,1))</f>
        <v>262.06511368698341</v>
      </c>
      <c r="T61" s="62">
        <f t="shared" si="34"/>
        <v>217.15709240080542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8.1670258763184762</v>
      </c>
      <c r="AA61" s="23">
        <f>EXP(-LN(2)/25)*AA60+(1-EXP(-LN(2)/25))/(LN(2)/25)*Calculateur!V61*Calculateur!X61*VLOOKUP('Données projet'!$B$9,Paramètres!$A$1:$I$89,3,0)*0.475*44/12</f>
        <v>6.2379952924282556</v>
      </c>
      <c r="AB61" s="23">
        <f>EXP(-LN(2)/2)*AB60+(1-EXP(-LN(2)/2))/(LN(2)/2)*V61*Y61*VLOOKUP('Données projet'!$B$9,Paramètres!$A$1:$I$89,3,0)*0.475*44/12</f>
        <v>0.14390905676760779</v>
      </c>
      <c r="AC61" s="24">
        <f t="shared" si="3"/>
        <v>14.54893022551434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12.18916666666667</v>
      </c>
      <c r="AI61" s="14">
        <f>IF('Données projet'!$A$62&gt;35,AI60+AH61-AQ60,IF(A61&lt;'Données projet'!$A$62,$AF$205^A61,IF(A61='Données projet'!$A$62,'Données projet'!$B$62,AI60+AH61-AQ60)))</f>
        <v>308.35416666666663</v>
      </c>
      <c r="AJ61" s="14">
        <f>AI61*VLOOKUP('Données projet'!$B$10,Paramètres!$A$1:$I$89,3,0)*VLOOKUP('Données projet'!$B$10,Paramètres!$A$1:$I$89,5,0)</f>
        <v>144.30974999999998</v>
      </c>
      <c r="AK61" s="14">
        <f t="shared" si="35"/>
        <v>37.282559763674065</v>
      </c>
      <c r="AL61" s="22">
        <f t="shared" si="4"/>
        <v>316.27327283839895</v>
      </c>
      <c r="AM61" s="62">
        <f t="shared" si="5"/>
        <v>609.60660617173221</v>
      </c>
      <c r="AN61" s="62">
        <f ca="1">AVERAGE(OFFSET($AM$3,0,0,'Données projet'!$E$10+1,1))-AVERAGE(OFFSET($H$3,0,0,'Données projet'!$E$10+1,1))</f>
        <v>287.83167869616227</v>
      </c>
      <c r="AO61" s="62">
        <f t="shared" si="36"/>
        <v>233.84231920589906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11.881924230576173</v>
      </c>
      <c r="AV61" s="23">
        <f>EXP(-LN(2)/25)*AV60+(1-EXP(-LN(2)/25))/(LN(2)/25)*Calculateur!AQ61*Calculateur!AS61*VLOOKUP('Données projet'!$B$10,Paramètres!$A$1:$I$89,3,0)*0.475*44/12</f>
        <v>9.5172164488722437</v>
      </c>
      <c r="AW61" s="23">
        <f>EXP(-LN(2)/2)*AW60+(1-EXP(-LN(2)/2))/(LN(2)/2)*AQ61*AT61*VLOOKUP('Données projet'!$B$10,Paramètres!$A$1:$I$89,3,0)*0.475*44/12</f>
        <v>1.2168740864872074</v>
      </c>
      <c r="AX61" s="23">
        <f t="shared" si="6"/>
        <v>22.616014765935624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9.3333333333333339</v>
      </c>
      <c r="BD61" s="13">
        <f>IF('Données projet'!$A$88&gt;35,BD60+BC61-BL60,IF(A61&lt;'Données projet'!$A$88,$BA$205^A61,IF(A61='Données projet'!$A$88,'Données projet'!$B$88,BD60+BC61-BL60)))</f>
        <v>289.3333333333332</v>
      </c>
      <c r="BE61" s="14">
        <f>BD61*VLOOKUP('Données projet'!$B$11,Paramètres!$A$1:$I$89,3,0)*VLOOKUP('Données projet'!$B$11,Paramètres!$A$1:$I$89,5,0)</f>
        <v>180.54399999999993</v>
      </c>
      <c r="BF61" s="14">
        <f t="shared" si="37"/>
        <v>45.443194879496723</v>
      </c>
      <c r="BG61" s="22">
        <f t="shared" si="7"/>
        <v>393.59436441512338</v>
      </c>
      <c r="BH61" s="62">
        <f t="shared" si="8"/>
        <v>686.92769774845669</v>
      </c>
      <c r="BI61" s="62">
        <f ca="1">AVERAGE(OFFSET($BH$3,0,0,'Données projet'!$E$11+1,1))-AVERAGE(OFFSET($H$3,0,0,'Données projet'!$E$11+1,1))</f>
        <v>262.36903350767881</v>
      </c>
      <c r="BJ61" s="62">
        <f t="shared" si="38"/>
        <v>331.21009482262417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51.462662343748953</v>
      </c>
      <c r="BQ61" s="23">
        <f>EXP(-LN(2)/25)*BQ60+(1-EXP(-LN(2)/25))/(LN(2)/25)*Calculateur!BL61*Calculateur!BN61*VLOOKUP('Données projet'!$B$11,Paramètres!$A$1:$I$89,3,0)*0.475*44/12</f>
        <v>24.840403469772991</v>
      </c>
      <c r="BR61" s="23">
        <f>EXP(-LN(2)/2)*BR60+(1-EXP(-LN(2)/2))/(LN(2)/2)*BL61*BO61*VLOOKUP('Données projet'!$B$11,Paramètres!$A$1:$I$89,3,0)*0.475*44/12</f>
        <v>0.6713589859478557</v>
      </c>
      <c r="BS61" s="24">
        <f t="shared" si="9"/>
        <v>76.974424799469801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235.87</v>
      </c>
      <c r="BW61" s="13">
        <f>VLOOKUP(A61,'Données projet'!$A$113:$I$133,9,0)</f>
        <v>9.5537500000000009</v>
      </c>
      <c r="BX61" s="13">
        <f t="array" ref="BX61">INDEX(BW:BW,MIN(IF(ISNUMBER(BW61:BW257),ROW(BW61:BW257),"")))</f>
        <v>9.5537500000000009</v>
      </c>
      <c r="BY61" s="13">
        <f>IF('Données projet'!$A$114&gt;35,BY60+BX61-CG60,IF(A61&lt;'Données projet'!$A$114,$BV$205^A61,IF(A61='Données projet'!$A$114,'Données projet'!$B$114,BY60+BX61-CG60)))</f>
        <v>235.8700000000002</v>
      </c>
      <c r="BZ61" s="14">
        <f>BY61*VLOOKUP('Données projet'!$B$12,Paramètres!$A$1:$I$89,3,0)*VLOOKUP('Données projet'!$B$12,Paramètres!$A$1:$I$89,5,0)</f>
        <v>228.1334640000002</v>
      </c>
      <c r="CA61" s="14">
        <f t="shared" si="39"/>
        <v>55.87890160925069</v>
      </c>
      <c r="CB61" s="22">
        <f t="shared" si="10"/>
        <v>494.6548701027786</v>
      </c>
      <c r="CC61" s="62">
        <f t="shared" si="11"/>
        <v>787.98820343611192</v>
      </c>
      <c r="CD61" s="62">
        <f ca="1">AVERAGE(OFFSET($CC$3,0,0,'Données projet'!$E$12+1,1))-AVERAGE(OFFSET($H$3,0,0,'Données projet'!$E$12+1,1))</f>
        <v>618.83149423524605</v>
      </c>
      <c r="CE61" s="62">
        <f t="shared" si="40"/>
        <v>285.33582535802435</v>
      </c>
      <c r="CF61" s="16">
        <f>IF(ISNA(VLOOKUP(A61,'Données projet'!$A$113:$I$133,3,0)),0,VLOOKUP(A61,'Données projet'!$A$113:$I$133,3,0))</f>
        <v>3</v>
      </c>
      <c r="CG61" s="16">
        <f>IF(ISNA(VLOOKUP(A61,'Données projet'!$A$113:$I$133,4,0)),0,VLOOKUP(A61,'Données projet'!$A$113:$I$133,4,0))</f>
        <v>44.93</v>
      </c>
      <c r="CH61" s="17">
        <f>IF(ISNA(VLOOKUP(A61,'Données projet'!$A$113:$I$133,5,0)),0%,VLOOKUP(A61,'Données projet'!$A$113:$I$133,5,0)*VLOOKUP('Données projet'!$B$12,Paramètres!$A$1:$I$89,7,0))</f>
        <v>8.6000000000000007E-2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9.8179281584292362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9.8179281584292362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14.12</v>
      </c>
      <c r="CT61" s="13">
        <f>IF('Données projet'!$A$140&gt;35,CT60+CS61-DB60,IF(A61&lt;'Données projet'!$A$140,$CQ$205^A61,IF(A61='Données projet'!$A$140,'Données projet'!$B$140,CT60+CS61-DB60)))</f>
        <v>412.70000000000022</v>
      </c>
      <c r="CU61" s="18">
        <f>CT61*VLOOKUP('Données projet'!$B$13,Paramètres!$A$1:$I$89,3,0)*VLOOKUP('Données projet'!$B$13,Paramètres!$A$1:$I$89,5,0)</f>
        <v>246.79460000000014</v>
      </c>
      <c r="CV61" s="14">
        <f t="shared" si="41"/>
        <v>59.899038030532552</v>
      </c>
      <c r="CW61" s="22">
        <f t="shared" si="13"/>
        <v>534.15808623651117</v>
      </c>
      <c r="CX61" s="62">
        <f t="shared" si="14"/>
        <v>827.49141956984454</v>
      </c>
      <c r="CY61" s="62">
        <f ca="1">AVERAGE(OFFSET($CX$3,0,0,'Données projet'!$E$13+1,1))-AVERAGE(OFFSET($H$3,0,0,'Données projet'!$E$13+1,1))</f>
        <v>349.5718186624772</v>
      </c>
      <c r="CZ61" s="62">
        <f t="shared" si="42"/>
        <v>258.14152930815959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37.164511497811588</v>
      </c>
      <c r="DG61" s="23">
        <f>EXP(-LN(2)/25)*DG60+(1-EXP(-LN(2)/25))/(LN(2)/25)*Calculateur!DB61*Calculateur!DD61*VLOOKUP('Données projet'!$B$13,Paramètres!$A$1:$I$89,3,0)*0.475*44/12</f>
        <v>14.04599107707549</v>
      </c>
      <c r="DH61" s="23">
        <f>EXP(-LN(2)/2)*DH60+(1-EXP(-LN(2)/2))/(LN(2)/2)*DB61*DE61*VLOOKUP('Données projet'!$B$13,Paramètres!$A$1:$I$89,3,0)*0.475*44/12</f>
        <v>0.41194980361483541</v>
      </c>
      <c r="DI61" s="24">
        <f t="shared" si="15"/>
        <v>51.622452378501919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</v>
      </c>
      <c r="DO61" s="13">
        <f>IF('Données projet'!$A$166&gt;35,DO60+DN61-DW60,IF(A61&lt;'Données projet'!$A$166,$DL$205^A61,IF(A61='Données projet'!$A$166,'Données projet'!$B$166,DO60+DN61-DW60)))</f>
        <v>178.99999999999997</v>
      </c>
      <c r="DP61" s="18">
        <f>DO61*VLOOKUP('Données projet'!$B$14,Paramètres!$A$1:$I$89,3,0)*VLOOKUP('Données projet'!$B$14,Paramètres!$A$1:$I$89,5,0)</f>
        <v>156.37440000000001</v>
      </c>
      <c r="DQ61" s="14">
        <f t="shared" si="43"/>
        <v>40.023663524293205</v>
      </c>
      <c r="DR61" s="22">
        <f t="shared" si="16"/>
        <v>342.05996063814399</v>
      </c>
      <c r="DS61" s="62">
        <f t="shared" si="17"/>
        <v>635.39329397147731</v>
      </c>
      <c r="DT61" s="62">
        <f ca="1">AVERAGE(OFFSET($DS$3,0,0,'Données projet'!$E$14+1,1))-AVERAGE(OFFSET($H$3,0,0,'Données projet'!$E$14+1,1))</f>
        <v>300.63505444445104</v>
      </c>
      <c r="DU61" s="62">
        <f t="shared" si="44"/>
        <v>266.32508105927997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10.794376091426464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10.794376091426464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6.2</v>
      </c>
      <c r="EJ61" s="13">
        <f>IF('Données projet'!$A$192&gt;35,EJ60+EI61-ER60,IF(A61&lt;'Données projet'!$A$192,$EG$205^A61,IF(A61='Données projet'!$A$192,'Données projet'!$B$192,EJ60+EI61-ER60)))</f>
        <v>281.59999999999991</v>
      </c>
      <c r="EK61" s="18">
        <f>EJ61*VLOOKUP('Données projet'!$B$15,Paramètres!$A$1:$I$89,3,0)*VLOOKUP('Données projet'!$B$15,Paramètres!$A$1:$I$89,5,0)</f>
        <v>224.04095999999993</v>
      </c>
      <c r="EL61" s="14">
        <f t="shared" si="45"/>
        <v>54.992235867381233</v>
      </c>
      <c r="EM61" s="22">
        <f t="shared" si="19"/>
        <v>485.98281613568884</v>
      </c>
      <c r="EN61" s="62">
        <f t="shared" si="20"/>
        <v>779.31614946902209</v>
      </c>
      <c r="EO61" s="62">
        <f ca="1">AVERAGE(OFFSET($EN$3,0,0,'Données projet'!$E$15+1,1))-AVERAGE(OFFSET($H$3,0,0,'Données projet'!$E$15+1,1))</f>
        <v>353.37024194969638</v>
      </c>
      <c r="EP61" s="62">
        <f t="shared" si="46"/>
        <v>345.4750813433123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29.195537589895476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29.195537589895476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5.8</v>
      </c>
      <c r="FE61" s="13">
        <f>IF('Données projet'!$A$218&gt;35,FE60+FD61-FM60,IF(A61&lt;'Données projet'!$A$218,$FB$205^A61,IF(A61='Données projet'!$A$218,'Données projet'!$B$218,FE60+FD61-FM60)))</f>
        <v>217.40000000000012</v>
      </c>
      <c r="FF61" s="18">
        <f>FE61*VLOOKUP('Données projet'!$B$16,Paramètres!$A$1:$I$89,3,0)*VLOOKUP('Données projet'!$B$16,Paramètres!$A$1:$I$89,5,0)</f>
        <v>142.44048000000009</v>
      </c>
      <c r="FG61" s="14">
        <f t="shared" si="47"/>
        <v>36.855521628538284</v>
      </c>
      <c r="FH61" s="22">
        <f t="shared" si="22"/>
        <v>312.27386950303764</v>
      </c>
      <c r="FI61" s="62">
        <f t="shared" si="23"/>
        <v>605.60720283637102</v>
      </c>
      <c r="FJ61" s="62">
        <f ca="1">AVERAGE(OFFSET($FI$3,0,0,'Données projet'!$E$16+1,1))-AVERAGE(OFFSET($H$3,0,0,'Données projet'!$E$16+1,1))</f>
        <v>263.30962868541337</v>
      </c>
      <c r="FK61" s="62">
        <f t="shared" si="48"/>
        <v>269.61868559913404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10.50338883343843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10.50338883343843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7.5280000000000014</v>
      </c>
      <c r="N62" s="14">
        <f>IF('Données projet'!$A$36&gt;35,N61+M62-V61,IF(A62&lt;'Données projet'!$A$36,$K$205^A62,IF(A62='Données projet'!$A$36,'Données projet'!$B$36,N61+M62-V61)))</f>
        <v>235.08199999999997</v>
      </c>
      <c r="O62" s="14">
        <f>N62*VLOOKUP('Données projet'!$B$9,Paramètres!$A$1:$I$89,3,0)*VLOOKUP('Données projet'!$B$9,Paramètres!$A$1:$I$89,5,0)</f>
        <v>140.579036</v>
      </c>
      <c r="P62" s="14">
        <f t="shared" si="33"/>
        <v>36.429622630141161</v>
      </c>
      <c r="Q62" s="22">
        <f t="shared" si="53"/>
        <v>308.29008044749582</v>
      </c>
      <c r="R62" s="62">
        <f t="shared" si="0"/>
        <v>601.6234137808292</v>
      </c>
      <c r="S62" s="62">
        <f ca="1">AVERAGE(OFFSET($R$3,0,0,'Données projet'!$E$9+1,1))-AVERAGE(OFFSET($H$3,0,0,'Données projet'!$E$9+1,1))</f>
        <v>262.06511368698341</v>
      </c>
      <c r="T62" s="62">
        <f t="shared" si="34"/>
        <v>217.15709240080542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8.0068754802777828</v>
      </c>
      <c r="AA62" s="23">
        <f>EXP(-LN(2)/25)*AA61+(1-EXP(-LN(2)/25))/(LN(2)/25)*Calculateur!V62*Calculateur!X62*VLOOKUP('Données projet'!$B$9,Paramètres!$A$1:$I$89,3,0)*0.475*44/12</f>
        <v>6.0674169831148896</v>
      </c>
      <c r="AB62" s="23">
        <f>EXP(-LN(2)/2)*AB61+(1-EXP(-LN(2)/2))/(LN(2)/2)*V62*Y62*VLOOKUP('Données projet'!$B$9,Paramètres!$A$1:$I$89,3,0)*0.475*44/12</f>
        <v>0.10175906991453529</v>
      </c>
      <c r="AC62" s="24">
        <f t="shared" si="3"/>
        <v>14.176051533307209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12.18916666666667</v>
      </c>
      <c r="AI62" s="14">
        <f>IF('Données projet'!$A$62&gt;35,AI61+AH62-AQ61,IF(A62&lt;'Données projet'!$A$62,$AF$205^A62,IF(A62='Données projet'!$A$62,'Données projet'!$B$62,AI61+AH62-AQ61)))</f>
        <v>320.54333333333329</v>
      </c>
      <c r="AJ62" s="14">
        <f>AI62*VLOOKUP('Données projet'!$B$10,Paramètres!$A$1:$I$89,3,0)*VLOOKUP('Données projet'!$B$10,Paramètres!$A$1:$I$89,5,0)</f>
        <v>150.01427999999999</v>
      </c>
      <c r="AK62" s="14">
        <f t="shared" si="35"/>
        <v>38.581830784115766</v>
      </c>
      <c r="AL62" s="22">
        <f t="shared" si="4"/>
        <v>328.47155961566824</v>
      </c>
      <c r="AM62" s="62">
        <f t="shared" si="5"/>
        <v>621.80489294900156</v>
      </c>
      <c r="AN62" s="62">
        <f ca="1">AVERAGE(OFFSET($AM$3,0,0,'Données projet'!$E$10+1,1))-AVERAGE(OFFSET($H$3,0,0,'Données projet'!$E$10+1,1))</f>
        <v>287.83167869616227</v>
      </c>
      <c r="AO62" s="62">
        <f t="shared" si="36"/>
        <v>233.84231920589906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11.648926943672748</v>
      </c>
      <c r="AV62" s="23">
        <f>EXP(-LN(2)/25)*AV61+(1-EXP(-LN(2)/25))/(LN(2)/25)*Calculateur!AQ62*Calculateur!AS62*VLOOKUP('Données projet'!$B$10,Paramètres!$A$1:$I$89,3,0)*0.475*44/12</f>
        <v>9.2569676645891708</v>
      </c>
      <c r="AW62" s="23">
        <f>EXP(-LN(2)/2)*AW61+(1-EXP(-LN(2)/2))/(LN(2)/2)*AQ62*AT62*VLOOKUP('Données projet'!$B$10,Paramètres!$A$1:$I$89,3,0)*0.475*44/12</f>
        <v>0.86045991840528968</v>
      </c>
      <c r="AX62" s="23">
        <f t="shared" si="6"/>
        <v>21.766354526667207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9.3333333333333339</v>
      </c>
      <c r="BD62" s="13">
        <f>IF('Données projet'!$A$88&gt;35,BD61+BC62-BL61,IF(A62&lt;'Données projet'!$A$88,$BA$205^A62,IF(A62='Données projet'!$A$88,'Données projet'!$B$88,BD61+BC62-BL61)))</f>
        <v>298.66666666666652</v>
      </c>
      <c r="BE62" s="14">
        <f>BD62*VLOOKUP('Données projet'!$B$11,Paramètres!$A$1:$I$89,3,0)*VLOOKUP('Données projet'!$B$11,Paramètres!$A$1:$I$89,5,0)</f>
        <v>186.36799999999991</v>
      </c>
      <c r="BF62" s="14">
        <f t="shared" si="37"/>
        <v>46.736069448566646</v>
      </c>
      <c r="BG62" s="22">
        <f t="shared" si="7"/>
        <v>405.98958762292006</v>
      </c>
      <c r="BH62" s="62">
        <f t="shared" si="8"/>
        <v>699.32292095625337</v>
      </c>
      <c r="BI62" s="62">
        <f ca="1">AVERAGE(OFFSET($BH$3,0,0,'Données projet'!$E$11+1,1))-AVERAGE(OFFSET($H$3,0,0,'Données projet'!$E$11+1,1))</f>
        <v>262.36903350767881</v>
      </c>
      <c r="BJ62" s="62">
        <f t="shared" si="38"/>
        <v>331.21009482262417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50.453510924312646</v>
      </c>
      <c r="BQ62" s="23">
        <f>EXP(-LN(2)/25)*BQ61+(1-EXP(-LN(2)/25))/(LN(2)/25)*Calculateur!BL62*Calculateur!BN62*VLOOKUP('Données projet'!$B$11,Paramètres!$A$1:$I$89,3,0)*0.475*44/12</f>
        <v>24.161141330592002</v>
      </c>
      <c r="BR62" s="23">
        <f>EXP(-LN(2)/2)*BR61+(1-EXP(-LN(2)/2))/(LN(2)/2)*BL62*BO62*VLOOKUP('Données projet'!$B$11,Paramètres!$A$1:$I$89,3,0)*0.475*44/12</f>
        <v>0.47472249157425289</v>
      </c>
      <c r="BS62" s="24">
        <f t="shared" si="9"/>
        <v>75.08937474647891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9.2524999999999977</v>
      </c>
      <c r="BY62" s="13">
        <f>IF('Données projet'!$A$114&gt;35,BY61+BX62-CG61,IF(A62&lt;'Données projet'!$A$114,$BV$205^A62,IF(A62='Données projet'!$A$114,'Données projet'!$B$114,BY61+BX62-CG61)))</f>
        <v>200.19250000000019</v>
      </c>
      <c r="BZ62" s="14">
        <f>BY62*VLOOKUP('Données projet'!$B$12,Paramètres!$A$1:$I$89,3,0)*VLOOKUP('Données projet'!$B$12,Paramètres!$A$1:$I$89,5,0)</f>
        <v>193.62618600000019</v>
      </c>
      <c r="CA62" s="14">
        <f t="shared" si="39"/>
        <v>48.340766859082926</v>
      </c>
      <c r="CB62" s="22">
        <f t="shared" si="10"/>
        <v>421.42577622956969</v>
      </c>
      <c r="CC62" s="62">
        <f t="shared" si="11"/>
        <v>714.75910956290295</v>
      </c>
      <c r="CD62" s="62">
        <f ca="1">AVERAGE(OFFSET($CC$3,0,0,'Données projet'!$E$12+1,1))-AVERAGE(OFFSET($H$3,0,0,'Données projet'!$E$12+1,1))</f>
        <v>618.83149423524605</v>
      </c>
      <c r="CE62" s="62">
        <f t="shared" si="40"/>
        <v>285.33582535802435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9.6254045755873161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9.6254045755873161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14.12</v>
      </c>
      <c r="CT62" s="13">
        <f>IF('Données projet'!$A$140&gt;35,CT61+CS62-DB61,IF(A62&lt;'Données projet'!$A$140,$CQ$205^A62,IF(A62='Données projet'!$A$140,'Données projet'!$B$140,CT61+CS62-DB61)))</f>
        <v>426.82000000000022</v>
      </c>
      <c r="CU62" s="18">
        <f>CT62*VLOOKUP('Données projet'!$B$13,Paramètres!$A$1:$I$89,3,0)*VLOOKUP('Données projet'!$B$13,Paramètres!$A$1:$I$89,5,0)</f>
        <v>255.23836000000014</v>
      </c>
      <c r="CV62" s="14">
        <f t="shared" si="41"/>
        <v>61.706299433596136</v>
      </c>
      <c r="CW62" s="22">
        <f t="shared" si="13"/>
        <v>552.0119485135134</v>
      </c>
      <c r="CX62" s="62">
        <f t="shared" si="14"/>
        <v>845.34528184684677</v>
      </c>
      <c r="CY62" s="62">
        <f ca="1">AVERAGE(OFFSET($CX$3,0,0,'Données projet'!$E$13+1,1))-AVERAGE(OFFSET($H$3,0,0,'Données projet'!$E$13+1,1))</f>
        <v>349.5718186624772</v>
      </c>
      <c r="CZ62" s="62">
        <f t="shared" si="42"/>
        <v>258.14152930815959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36.435738095453225</v>
      </c>
      <c r="DG62" s="23">
        <f>EXP(-LN(2)/25)*DG61+(1-EXP(-LN(2)/25))/(LN(2)/25)*Calculateur!DB62*Calculateur!DD62*VLOOKUP('Données projet'!$B$13,Paramètres!$A$1:$I$89,3,0)*0.475*44/12</f>
        <v>13.661902712426292</v>
      </c>
      <c r="DH62" s="23">
        <f>EXP(-LN(2)/2)*DH61+(1-EXP(-LN(2)/2))/(LN(2)/2)*DB62*DE62*VLOOKUP('Données projet'!$B$13,Paramètres!$A$1:$I$89,3,0)*0.475*44/12</f>
        <v>0.29129249964451664</v>
      </c>
      <c r="DI62" s="24">
        <f t="shared" si="15"/>
        <v>50.388933307524034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</v>
      </c>
      <c r="DO62" s="13">
        <f>IF('Données projet'!$A$166&gt;35,DO61+DN62-DW61,IF(A62&lt;'Données projet'!$A$166,$DL$205^A62,IF(A62='Données projet'!$A$166,'Données projet'!$B$166,DO61+DN62-DW61)))</f>
        <v>183.99999999999997</v>
      </c>
      <c r="DP62" s="18">
        <f>DO62*VLOOKUP('Données projet'!$B$14,Paramètres!$A$1:$I$89,3,0)*VLOOKUP('Données projet'!$B$14,Paramètres!$A$1:$I$89,5,0)</f>
        <v>160.7424</v>
      </c>
      <c r="DQ62" s="14">
        <f t="shared" si="43"/>
        <v>41.009920657227809</v>
      </c>
      <c r="DR62" s="22">
        <f t="shared" si="16"/>
        <v>351.38529181133845</v>
      </c>
      <c r="DS62" s="62">
        <f t="shared" si="17"/>
        <v>644.71862514467171</v>
      </c>
      <c r="DT62" s="62">
        <f ca="1">AVERAGE(OFFSET($DS$3,0,0,'Données projet'!$E$14+1,1))-AVERAGE(OFFSET($H$3,0,0,'Données projet'!$E$14+1,1))</f>
        <v>300.63505444445104</v>
      </c>
      <c r="DU62" s="62">
        <f t="shared" si="44"/>
        <v>266.32508105927997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10.582704960192899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10.582704960192899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6.2</v>
      </c>
      <c r="EJ62" s="13">
        <f>IF('Données projet'!$A$192&gt;35,EJ61+EI62-ER61,IF(A62&lt;'Données projet'!$A$192,$EG$205^A62,IF(A62='Données projet'!$A$192,'Données projet'!$B$192,EJ61+EI62-ER61)))</f>
        <v>287.7999999999999</v>
      </c>
      <c r="EK62" s="18">
        <f>EJ62*VLOOKUP('Données projet'!$B$15,Paramètres!$A$1:$I$89,3,0)*VLOOKUP('Données projet'!$B$15,Paramètres!$A$1:$I$89,5,0)</f>
        <v>228.97367999999994</v>
      </c>
      <c r="EL62" s="14">
        <f t="shared" si="45"/>
        <v>56.060709423888284</v>
      </c>
      <c r="EM62" s="22">
        <f t="shared" si="19"/>
        <v>496.43489491327199</v>
      </c>
      <c r="EN62" s="62">
        <f t="shared" si="20"/>
        <v>789.7682282466053</v>
      </c>
      <c r="EO62" s="62">
        <f ca="1">AVERAGE(OFFSET($EN$3,0,0,'Données projet'!$E$15+1,1))-AVERAGE(OFFSET($H$3,0,0,'Données projet'!$E$15+1,1))</f>
        <v>353.37024194969638</v>
      </c>
      <c r="EP62" s="62">
        <f t="shared" si="46"/>
        <v>345.4750813433123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28.623030905277208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28.623030905277208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5.8</v>
      </c>
      <c r="FE62" s="13">
        <f>IF('Données projet'!$A$218&gt;35,FE61+FD62-FM61,IF(A62&lt;'Données projet'!$A$218,$FB$205^A62,IF(A62='Données projet'!$A$218,'Données projet'!$B$218,FE61+FD62-FM61)))</f>
        <v>223.20000000000013</v>
      </c>
      <c r="FF62" s="18">
        <f>FE62*VLOOKUP('Données projet'!$B$16,Paramètres!$A$1:$I$89,3,0)*VLOOKUP('Données projet'!$B$16,Paramètres!$A$1:$I$89,5,0)</f>
        <v>146.2406400000001</v>
      </c>
      <c r="FG62" s="14">
        <f t="shared" si="47"/>
        <v>37.722999642090628</v>
      </c>
      <c r="FH62" s="22">
        <f t="shared" si="22"/>
        <v>320.40333904330799</v>
      </c>
      <c r="FI62" s="62">
        <f t="shared" si="23"/>
        <v>613.73667237664131</v>
      </c>
      <c r="FJ62" s="62">
        <f ca="1">AVERAGE(OFFSET($FI$3,0,0,'Données projet'!$E$16+1,1))-AVERAGE(OFFSET($H$3,0,0,'Données projet'!$E$16+1,1))</f>
        <v>263.30962868541337</v>
      </c>
      <c r="FK62" s="62">
        <f t="shared" si="48"/>
        <v>269.61868559913404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10.297423784849308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10.297423784849308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242.61</v>
      </c>
      <c r="L63" s="13">
        <f>VLOOKUP(A63,'Données projet'!$A$35:$I$55,9,0)</f>
        <v>7.5280000000000014</v>
      </c>
      <c r="M63" s="13">
        <f t="array" ref="M63">INDEX(L:L,MIN(IF(ISNUMBER(L63:L259),ROW(L63:L259),"")))</f>
        <v>7.5280000000000014</v>
      </c>
      <c r="N63" s="14">
        <f>IF('Données projet'!$A$36&gt;35,N62+M63-V62,IF(A63&lt;'Données projet'!$A$36,$K$205^A63,IF(A63='Données projet'!$A$36,'Données projet'!$B$36,N62+M63-V62)))</f>
        <v>242.60999999999996</v>
      </c>
      <c r="O63" s="14">
        <f>N63*VLOOKUP('Données projet'!$B$9,Paramètres!$A$1:$I$89,3,0)*VLOOKUP('Données projet'!$B$9,Paramètres!$A$1:$I$89,5,0)</f>
        <v>145.08077999999998</v>
      </c>
      <c r="P63" s="14">
        <f t="shared" si="33"/>
        <v>37.458515014857234</v>
      </c>
      <c r="Q63" s="22">
        <f t="shared" si="53"/>
        <v>317.92260548420961</v>
      </c>
      <c r="R63" s="62">
        <f t="shared" si="0"/>
        <v>611.25593881754298</v>
      </c>
      <c r="S63" s="62">
        <f ca="1">AVERAGE(OFFSET($R$3,0,0,'Données projet'!$E$9+1,1))-AVERAGE(OFFSET($H$3,0,0,'Données projet'!$E$9+1,1))</f>
        <v>262.06511368698341</v>
      </c>
      <c r="T63" s="62">
        <f t="shared" si="34"/>
        <v>217.15709240080542</v>
      </c>
      <c r="U63" s="16">
        <f>IF(ISNA(VLOOKUP(A63,'Données projet'!$A$35:$I$55,3,0)),0,VLOOKUP(A63,'Données projet'!$A$35:$I$55,3,0))</f>
        <v>2</v>
      </c>
      <c r="V63" s="16">
        <f>IF(ISNA(VLOOKUP(A63,'Données projet'!$A$35:$I$55,4,0)),0,VLOOKUP(A63,'Données projet'!$A$35:$I$55,4,0))</f>
        <v>71.69</v>
      </c>
      <c r="W63" s="17">
        <f>IF(ISNA(VLOOKUP(A63,'Données projet'!$A$35:$I$55,5,0)),0%,VLOOKUP(A63,'Données projet'!$A$35:$I$55,5,0)*VLOOKUP('Données projet'!$B$9,Paramètres!$A$1:$I$89,7,0))</f>
        <v>0.27</v>
      </c>
      <c r="X63" s="17">
        <f>IF(ISNA(VLOOKUP(A63,'Données projet'!$A$35:$I$55,6,0)),0%,VLOOKUP(A63,'Données projet'!$A$35:$I$55,6,0)*VLOOKUP('Données projet'!$B$9,Paramètres!$A$1:$I$89,7,0))</f>
        <v>9.9000000000000005E-2</v>
      </c>
      <c r="Y63" s="17">
        <f>IF(ISNA(VLOOKUP(A63,'Données projet'!$A$35:$I$55,7,0)),0%,VLOOKUP(A63,'Données projet'!$A$35:$I$55,7,0))</f>
        <v>0.18</v>
      </c>
      <c r="Z63" s="23">
        <f>EXP(-LN(2)/35)*Z62+(1-EXP(-LN(2)/35))/(LN(2)/35)*V63*W63*VLOOKUP('Données projet'!$B$9,Paramètres!$A$1:$I$89,3,0)*0.475*44/12</f>
        <v>23.204938517978327</v>
      </c>
      <c r="AA63" s="23">
        <f>EXP(-LN(2)/25)*AA62+(1-EXP(-LN(2)/25))/(LN(2)/25)*Calculateur!V63*Calculateur!X63*VLOOKUP('Données projet'!$B$9,Paramètres!$A$1:$I$89,3,0)*0.475*44/12</f>
        <v>11.509528356637755</v>
      </c>
      <c r="AB63" s="23">
        <f>EXP(-LN(2)/2)*AB62+(1-EXP(-LN(2)/2))/(LN(2)/2)*V63*Y63*VLOOKUP('Données projet'!$B$9,Paramètres!$A$1:$I$89,3,0)*0.475*44/12</f>
        <v>8.8090646326009363</v>
      </c>
      <c r="AC63" s="24">
        <f t="shared" si="3"/>
        <v>43.523531507217015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12.18916666666667</v>
      </c>
      <c r="AI63" s="14">
        <f>IF('Données projet'!$A$62&gt;35,AI62+AH63-AQ62,IF(A63&lt;'Données projet'!$A$62,$AF$205^A63,IF(A63='Données projet'!$A$62,'Données projet'!$B$62,AI62+AH63-AQ62)))</f>
        <v>332.73249999999996</v>
      </c>
      <c r="AJ63" s="14">
        <f>AI63*VLOOKUP('Données projet'!$B$10,Paramètres!$A$1:$I$89,3,0)*VLOOKUP('Données projet'!$B$10,Paramètres!$A$1:$I$89,5,0)</f>
        <v>155.71880999999999</v>
      </c>
      <c r="AK63" s="14">
        <f t="shared" si="35"/>
        <v>39.875362097048765</v>
      </c>
      <c r="AL63" s="22">
        <f t="shared" si="4"/>
        <v>340.65984973569317</v>
      </c>
      <c r="AM63" s="62">
        <f t="shared" si="5"/>
        <v>633.99318306902649</v>
      </c>
      <c r="AN63" s="62">
        <f ca="1">AVERAGE(OFFSET($AM$3,0,0,'Données projet'!$E$10+1,1))-AVERAGE(OFFSET($H$3,0,0,'Données projet'!$E$10+1,1))</f>
        <v>287.83167869616227</v>
      </c>
      <c r="AO63" s="62">
        <f t="shared" si="36"/>
        <v>233.84231920589906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11.420498591451187</v>
      </c>
      <c r="AV63" s="23">
        <f>EXP(-LN(2)/25)*AV62+(1-EXP(-LN(2)/25))/(LN(2)/25)*Calculateur!AQ63*Calculateur!AS63*VLOOKUP('Données projet'!$B$10,Paramètres!$A$1:$I$89,3,0)*0.475*44/12</f>
        <v>9.0038353969982072</v>
      </c>
      <c r="AW63" s="23">
        <f>EXP(-LN(2)/2)*AW62+(1-EXP(-LN(2)/2))/(LN(2)/2)*AQ63*AT63*VLOOKUP('Données projet'!$B$10,Paramètres!$A$1:$I$89,3,0)*0.475*44/12</f>
        <v>0.6084370432436037</v>
      </c>
      <c r="AX63" s="23">
        <f t="shared" si="6"/>
        <v>21.032771031692999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308</v>
      </c>
      <c r="BB63" s="13">
        <f>VLOOKUP(A63,'Données projet'!$A$87:$I$107,9,0)</f>
        <v>9.3333333333333339</v>
      </c>
      <c r="BC63" s="13">
        <f t="array" ref="BC63">INDEX(BB:BB,MIN(IF(ISNUMBER(BB63:BB259),ROW(BB63:BB259),"")))</f>
        <v>9.3333333333333339</v>
      </c>
      <c r="BD63" s="13">
        <f>IF('Données projet'!$A$88&gt;35,BD62+BC63-BL62,IF(A63&lt;'Données projet'!$A$88,$BA$205^A63,IF(A63='Données projet'!$A$88,'Données projet'!$B$88,BD62+BC63-BL62)))</f>
        <v>307.99999999999983</v>
      </c>
      <c r="BE63" s="14">
        <f>BD63*VLOOKUP('Données projet'!$B$11,Paramètres!$A$1:$I$89,3,0)*VLOOKUP('Données projet'!$B$11,Paramètres!$A$1:$I$89,5,0)</f>
        <v>192.19199999999989</v>
      </c>
      <c r="BF63" s="14">
        <f t="shared" si="37"/>
        <v>48.024248921932397</v>
      </c>
      <c r="BG63" s="22">
        <f t="shared" si="7"/>
        <v>418.37663353903207</v>
      </c>
      <c r="BH63" s="62">
        <f t="shared" si="8"/>
        <v>711.70996687236538</v>
      </c>
      <c r="BI63" s="62">
        <f ca="1">AVERAGE(OFFSET($BH$3,0,0,'Données projet'!$E$11+1,1))-AVERAGE(OFFSET($H$3,0,0,'Données projet'!$E$11+1,1))</f>
        <v>262.36903350767881</v>
      </c>
      <c r="BJ63" s="62">
        <f t="shared" si="38"/>
        <v>331.21009482262417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308</v>
      </c>
      <c r="BM63" s="17">
        <f>IF(ISNA(VLOOKUP(A63,'Données projet'!$A$87:$I$107,5,0)),0%,VLOOKUP(A63,'Données projet'!$A$87:$I$107,5,0)*VLOOKUP('Données projet'!$B$11,Paramètres!$A$1:$I$89,7,0))</f>
        <v>0.48</v>
      </c>
      <c r="BN63" s="17">
        <f>IF(ISNA(VLOOKUP(A63,'Données projet'!$A$87:$I$107,6,0)),0%,VLOOKUP(A63,'Données projet'!$A$87:$I$107,6,0)*VLOOKUP('Données projet'!$B$11,Paramètres!$A$1:$I$89,7,0))</f>
        <v>6.6000000000000003E-2</v>
      </c>
      <c r="BO63" s="17">
        <f>IF(ISNA(VLOOKUP(A63,'Données projet'!$A$87:$I$107,7,0)),0%,VLOOKUP(A63,'Données projet'!$A$87:$I$107,7,0))</f>
        <v>0.09</v>
      </c>
      <c r="BP63" s="23">
        <f>EXP(-LN(2)/35)*BP62+(1-EXP(-LN(2)/35))/(LN(2)/35)*BL63*BM63*VLOOKUP('Données projet'!$B$11,Paramètres!$A$1:$I$89,3,0)*0.475*44/12</f>
        <v>171.84258474221122</v>
      </c>
      <c r="BQ63" s="23">
        <f>EXP(-LN(2)/25)*BQ62+(1-EXP(-LN(2)/25))/(LN(2)/25)*Calculateur!BL63*Calculateur!BN63*VLOOKUP('Données projet'!$B$11,Paramètres!$A$1:$I$89,3,0)*0.475*44/12</f>
        <v>40.261234206022777</v>
      </c>
      <c r="BR63" s="23">
        <f>EXP(-LN(2)/2)*BR62+(1-EXP(-LN(2)/2))/(LN(2)/2)*BL63*BO63*VLOOKUP('Données projet'!$B$11,Paramètres!$A$1:$I$89,3,0)*0.475*44/12</f>
        <v>19.920218568332515</v>
      </c>
      <c r="BS63" s="24">
        <f t="shared" si="9"/>
        <v>232.02403751656652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9.2524999999999977</v>
      </c>
      <c r="BY63" s="13">
        <f>IF('Données projet'!$A$114&gt;35,BY62+BX63-CG62,IF(A63&lt;'Données projet'!$A$114,$BV$205^A63,IF(A63='Données projet'!$A$114,'Données projet'!$B$114,BY62+BX63-CG62)))</f>
        <v>209.44500000000019</v>
      </c>
      <c r="BZ63" s="14">
        <f>BY63*VLOOKUP('Données projet'!$B$12,Paramètres!$A$1:$I$89,3,0)*VLOOKUP('Données projet'!$B$12,Paramètres!$A$1:$I$89,5,0)</f>
        <v>202.57520400000018</v>
      </c>
      <c r="CA63" s="14">
        <f t="shared" si="39"/>
        <v>50.309697523865829</v>
      </c>
      <c r="CB63" s="22">
        <f t="shared" si="10"/>
        <v>440.44120348739995</v>
      </c>
      <c r="CC63" s="62">
        <f t="shared" si="11"/>
        <v>733.77453682073326</v>
      </c>
      <c r="CD63" s="62">
        <f ca="1">AVERAGE(OFFSET($CC$3,0,0,'Données projet'!$E$12+1,1))-AVERAGE(OFFSET($H$3,0,0,'Données projet'!$E$12+1,1))</f>
        <v>618.83149423524605</v>
      </c>
      <c r="CE63" s="62">
        <f t="shared" si="40"/>
        <v>285.33582535802435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9.4366562627771344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9.4366562627771344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440.94</v>
      </c>
      <c r="CR63" s="13">
        <f>VLOOKUP(A63,'Données projet'!$A$139:$I$159,9,0)</f>
        <v>14.12</v>
      </c>
      <c r="CS63" s="13">
        <f t="array" ref="CS63">INDEX(CR:CR,MIN(IF(ISNUMBER(CR63:CR259),ROW(CR63:CR259),"")))</f>
        <v>14.12</v>
      </c>
      <c r="CT63" s="13">
        <f>IF('Données projet'!$A$140&gt;35,CT62+CS63-DB62,IF(A63&lt;'Données projet'!$A$140,$CQ$205^A63,IF(A63='Données projet'!$A$140,'Données projet'!$B$140,CT62+CS63-DB62)))</f>
        <v>440.94000000000023</v>
      </c>
      <c r="CU63" s="18">
        <f>CT63*VLOOKUP('Données projet'!$B$13,Paramètres!$A$1:$I$89,3,0)*VLOOKUP('Données projet'!$B$13,Paramètres!$A$1:$I$89,5,0)</f>
        <v>263.68212000000017</v>
      </c>
      <c r="CV63" s="14">
        <f t="shared" si="41"/>
        <v>63.506613606650063</v>
      </c>
      <c r="CW63" s="22">
        <f t="shared" si="13"/>
        <v>569.85371103158241</v>
      </c>
      <c r="CX63" s="62">
        <f t="shared" si="14"/>
        <v>863.18704436491566</v>
      </c>
      <c r="CY63" s="62">
        <f ca="1">AVERAGE(OFFSET($CX$3,0,0,'Données projet'!$E$13+1,1))-AVERAGE(OFFSET($H$3,0,0,'Données projet'!$E$13+1,1))</f>
        <v>349.5718186624772</v>
      </c>
      <c r="CZ63" s="62">
        <f t="shared" si="42"/>
        <v>258.14152930815959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69.849999999999994</v>
      </c>
      <c r="DC63" s="17">
        <f>IF(ISNA(VLOOKUP(A63,'Données projet'!$A$139:$I$159,5,0)),0%,VLOOKUP(A63,'Données projet'!$A$139:$I$159,5,0)*VLOOKUP('Données projet'!$B$13,Paramètres!$A$1:$I$89,7,0))</f>
        <v>0.36000000000000004</v>
      </c>
      <c r="DD63" s="17">
        <f>IF(ISNA(VLOOKUP(A63,'Données projet'!$A$139:$I$159,6,0)),0%,VLOOKUP(A63,'Données projet'!$A$139:$I$159,6,0)*VLOOKUP('Données projet'!$B$13,Paramètres!$A$1:$I$89,7,0))</f>
        <v>4.9500000000000002E-2</v>
      </c>
      <c r="DE63" s="17">
        <f>IF(ISNA(VLOOKUP(A63,'Données projet'!$A$139:$I$159,7,0)),0%,VLOOKUP(A63,'Données projet'!$A$139:$I$159,7,0))</f>
        <v>0.09</v>
      </c>
      <c r="DF63" s="23">
        <f>EXP(-LN(2)/35)*DF62+(1-EXP(-LN(2)/35))/(LN(2)/35)*DB63*DC63*VLOOKUP('Données projet'!$B$13,Paramètres!$A$1:$I$89,3,0)*0.475*44/12</f>
        <v>55.669213793303868</v>
      </c>
      <c r="DG63" s="23">
        <f>EXP(-LN(2)/25)*DG62+(1-EXP(-LN(2)/25))/(LN(2)/25)*Calculateur!DB63*Calculateur!DD63*VLOOKUP('Données projet'!$B$13,Paramètres!$A$1:$I$89,3,0)*0.475*44/12</f>
        <v>16.020361907341638</v>
      </c>
      <c r="DH63" s="23">
        <f>EXP(-LN(2)/2)*DH62+(1-EXP(-LN(2)/2))/(LN(2)/2)*DB63*DE63*VLOOKUP('Données projet'!$B$13,Paramètres!$A$1:$I$89,3,0)*0.475*44/12</f>
        <v>4.4624063481706937</v>
      </c>
      <c r="DI63" s="24">
        <f t="shared" si="15"/>
        <v>76.151982048816194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189</v>
      </c>
      <c r="DM63" s="13">
        <f>VLOOKUP(A63,'Données projet'!$A$165:$I$185,9,0)</f>
        <v>5</v>
      </c>
      <c r="DN63" s="13">
        <f t="array" ref="DN63">INDEX(DM:DM,MIN(IF(ISNUMBER(DM63:DM259),ROW(DM63:DM259),"")))</f>
        <v>5</v>
      </c>
      <c r="DO63" s="13">
        <f>IF('Données projet'!$A$166&gt;35,DO62+DN63-DW62,IF(A63&lt;'Données projet'!$A$166,$DL$205^A63,IF(A63='Données projet'!$A$166,'Données projet'!$B$166,DO62+DN63-DW62)))</f>
        <v>188.99999999999997</v>
      </c>
      <c r="DP63" s="18">
        <f>DO63*VLOOKUP('Données projet'!$B$14,Paramètres!$A$1:$I$89,3,0)*VLOOKUP('Données projet'!$B$14,Paramètres!$A$1:$I$89,5,0)</f>
        <v>165.1104</v>
      </c>
      <c r="DQ63" s="14">
        <f t="shared" si="43"/>
        <v>41.993062739333446</v>
      </c>
      <c r="DR63" s="22">
        <f t="shared" si="16"/>
        <v>360.70519760433905</v>
      </c>
      <c r="DS63" s="62">
        <f t="shared" si="17"/>
        <v>654.03853093767236</v>
      </c>
      <c r="DT63" s="62">
        <f ca="1">AVERAGE(OFFSET($DS$3,0,0,'Données projet'!$E$14+1,1))-AVERAGE(OFFSET($H$3,0,0,'Données projet'!$E$14+1,1))</f>
        <v>300.63505444445104</v>
      </c>
      <c r="DU63" s="62">
        <f t="shared" si="44"/>
        <v>266.32508105927997</v>
      </c>
      <c r="DV63" s="16">
        <f>IF(ISNA(VLOOKUP(A63,'Données projet'!$A$165:$I$185,3,0)),0,VLOOKUP(A63,'Données projet'!$A$165:$I$185,3,0))</f>
        <v>11</v>
      </c>
      <c r="DW63" s="16">
        <f>IF(ISNA(VLOOKUP(A63,'Données projet'!$A$165:$I$185,4,0)),0,VLOOKUP(A63,'Données projet'!$A$165:$I$185,4,0))</f>
        <v>16</v>
      </c>
      <c r="DX63" s="17">
        <f>IF(ISNA(VLOOKUP(A63,'Données projet'!$A$165:$I$185,5,0)),0%,VLOOKUP(A63,'Données projet'!$A$165:$I$185,5,0)*VLOOKUP('Données projet'!$B$14,Paramètres!$A$1:$I$89,7,0))</f>
        <v>0.215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13.697326467782531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13.697326467782531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294</v>
      </c>
      <c r="EH63" s="13">
        <f>VLOOKUP(A63,'Données projet'!$A$191:$I$211,9,0)</f>
        <v>6.2</v>
      </c>
      <c r="EI63" s="13">
        <f t="array" ref="EI63">INDEX(EH:EH,MIN(IF(ISNUMBER(EH63:EH259),ROW(EH63:EH259),"")))</f>
        <v>6.2</v>
      </c>
      <c r="EJ63" s="13">
        <f>IF('Données projet'!$A$192&gt;35,EJ62+EI63-ER62,IF(A63&lt;'Données projet'!$A$192,$EG$205^A63,IF(A63='Données projet'!$A$192,'Données projet'!$B$192,EJ62+EI63-ER62)))</f>
        <v>293.99999999999989</v>
      </c>
      <c r="EK63" s="18">
        <f>EJ63*VLOOKUP('Données projet'!$B$15,Paramètres!$A$1:$I$89,3,0)*VLOOKUP('Données projet'!$B$15,Paramètres!$A$1:$I$89,5,0)</f>
        <v>233.90639999999991</v>
      </c>
      <c r="EL63" s="14">
        <f t="shared" si="45"/>
        <v>57.126506840778347</v>
      </c>
      <c r="EM63" s="22">
        <f t="shared" si="19"/>
        <v>506.88231274768879</v>
      </c>
      <c r="EN63" s="62">
        <f t="shared" si="20"/>
        <v>800.2156460810221</v>
      </c>
      <c r="EO63" s="62">
        <f ca="1">AVERAGE(OFFSET($EN$3,0,0,'Données projet'!$E$15+1,1))-AVERAGE(OFFSET($H$3,0,0,'Données projet'!$E$15+1,1))</f>
        <v>353.37024194969638</v>
      </c>
      <c r="EP63" s="62">
        <f t="shared" si="46"/>
        <v>345.4750813433123</v>
      </c>
      <c r="EQ63" s="16">
        <f>IF(ISNA(VLOOKUP(A63,'Données projet'!$A$191:$I$211,3,0)),0,VLOOKUP(A63,'Données projet'!$A$191:$I$211,3,0))</f>
        <v>11</v>
      </c>
      <c r="ER63" s="16">
        <f>IF(ISNA(VLOOKUP(A63,'Données projet'!$A$191:$I$211,4,0)),0,VLOOKUP(A63,'Données projet'!$A$191:$I$211,4,0))</f>
        <v>14</v>
      </c>
      <c r="ES63" s="17">
        <f>IF(ISNA(VLOOKUP(A63,'Données projet'!$A$191:$I$211,5,0)),0%,VLOOKUP(A63,'Données projet'!$A$191:$I$211,5,0)*VLOOKUP('Données projet'!$B$15,Paramètres!$A$1:$I$89,7,0))</f>
        <v>0.318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31.977339193123669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31.977339193123669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229</v>
      </c>
      <c r="FC63" s="13">
        <f>VLOOKUP(A63,'Données projet'!$A$217:$I$237,9,0)</f>
        <v>5.8</v>
      </c>
      <c r="FD63" s="13">
        <f t="array" ref="FD63">INDEX(FC:FC,MIN(IF(ISNUMBER(FC63:FC259),ROW(FC63:FC259),"")))</f>
        <v>5.8</v>
      </c>
      <c r="FE63" s="13">
        <f>IF('Données projet'!$A$218&gt;35,FE62+FD63-FM62,IF(A63&lt;'Données projet'!$A$218,$FB$205^A63,IF(A63='Données projet'!$A$218,'Données projet'!$B$218,FE62+FD63-FM62)))</f>
        <v>229.00000000000014</v>
      </c>
      <c r="FF63" s="18">
        <f>FE63*VLOOKUP('Données projet'!$B$16,Paramètres!$A$1:$I$89,3,0)*VLOOKUP('Données projet'!$B$16,Paramètres!$A$1:$I$89,5,0)</f>
        <v>150.04080000000008</v>
      </c>
      <c r="FG63" s="14">
        <f t="shared" si="47"/>
        <v>38.587857420495212</v>
      </c>
      <c r="FH63" s="22">
        <f t="shared" si="22"/>
        <v>328.52824500736261</v>
      </c>
      <c r="FI63" s="62">
        <f t="shared" si="23"/>
        <v>621.86157834069593</v>
      </c>
      <c r="FJ63" s="62">
        <f ca="1">AVERAGE(OFFSET($FI$3,0,0,'Données projet'!$E$16+1,1))-AVERAGE(OFFSET($H$3,0,0,'Données projet'!$E$16+1,1))</f>
        <v>263.30962868541337</v>
      </c>
      <c r="FK63" s="62">
        <f t="shared" si="48"/>
        <v>269.61868559913404</v>
      </c>
      <c r="FL63" s="16">
        <f>IF(ISNA(VLOOKUP(A63,'Données projet'!$A$217:$I$237,3,0)),0,VLOOKUP(A63,'Données projet'!$A$217:$I$237,3,0))</f>
        <v>11</v>
      </c>
      <c r="FM63" s="16">
        <f>IF(ISNA(VLOOKUP(A63,'Données projet'!$A$217:$I$237,4,0)),0,VLOOKUP(A63,'Données projet'!$A$217:$I$237,4,0))</f>
        <v>22</v>
      </c>
      <c r="FN63" s="17">
        <f>IF(ISNA(VLOOKUP(A63,'Données projet'!$A$217:$I$237,5,0)),0%,VLOOKUP(A63,'Données projet'!$A$217:$I$237,5,0)*VLOOKUP('Données projet'!$B$16,Paramètres!$A$1:$I$89,7,0))</f>
        <v>0.215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13.52145641656579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13.52145641656579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6.7866666666666671</v>
      </c>
      <c r="N64" s="14">
        <f>IF('Données projet'!$A$36&gt;35,N63+M64-V63,IF(A64&lt;'Données projet'!$A$36,$K$205^A64,IF(A64='Données projet'!$A$36,'Données projet'!$B$36,N63+M64-V63)))</f>
        <v>177.70666666666662</v>
      </c>
      <c r="O64" s="14">
        <f>N64*VLOOKUP('Données projet'!$B$9,Paramètres!$A$1:$I$89,3,0)*VLOOKUP('Données projet'!$B$9,Paramètres!$A$1:$I$89,5,0)</f>
        <v>106.26858666666664</v>
      </c>
      <c r="P64" s="14">
        <f t="shared" si="33"/>
        <v>28.45007650724062</v>
      </c>
      <c r="Q64" s="22">
        <f t="shared" si="53"/>
        <v>234.63500502788847</v>
      </c>
      <c r="R64" s="62">
        <f t="shared" si="0"/>
        <v>527.96833836122175</v>
      </c>
      <c r="S64" s="62">
        <f ca="1">AVERAGE(OFFSET($R$3,0,0,'Données projet'!$E$9+1,1))-AVERAGE(OFFSET($H$3,0,0,'Données projet'!$E$9+1,1))</f>
        <v>262.06511368698341</v>
      </c>
      <c r="T64" s="62">
        <f t="shared" si="34"/>
        <v>217.15709240080542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22.749903827255714</v>
      </c>
      <c r="AA64" s="23">
        <f>EXP(-LN(2)/25)*AA63+(1-EXP(-LN(2)/25))/(LN(2)/25)*Calculateur!V64*Calculateur!X64*VLOOKUP('Données projet'!$B$9,Paramètres!$A$1:$I$89,3,0)*0.475*44/12</f>
        <v>11.194799698465705</v>
      </c>
      <c r="AB64" s="23">
        <f>EXP(-LN(2)/2)*AB63+(1-EXP(-LN(2)/2))/(LN(2)/2)*V64*Y64*VLOOKUP('Données projet'!$B$9,Paramètres!$A$1:$I$89,3,0)*0.475*44/12</f>
        <v>6.228949337622705</v>
      </c>
      <c r="AC64" s="24">
        <f t="shared" si="3"/>
        <v>40.173652863344131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12.18916666666667</v>
      </c>
      <c r="AI64" s="14">
        <f>IF('Données projet'!$A$62&gt;35,AI63+AH64-AQ63,IF(A64&lt;'Données projet'!$A$62,$AF$205^A64,IF(A64='Données projet'!$A$62,'Données projet'!$B$62,AI63+AH64-AQ63)))</f>
        <v>344.92166666666662</v>
      </c>
      <c r="AJ64" s="14">
        <f>AI64*VLOOKUP('Données projet'!$B$10,Paramètres!$A$1:$I$89,3,0)*VLOOKUP('Données projet'!$B$10,Paramètres!$A$1:$I$89,5,0)</f>
        <v>161.42333999999997</v>
      </c>
      <c r="AK64" s="14">
        <f t="shared" si="35"/>
        <v>41.163388050030811</v>
      </c>
      <c r="AL64" s="22">
        <f t="shared" si="4"/>
        <v>352.83855135380367</v>
      </c>
      <c r="AM64" s="62">
        <f t="shared" si="5"/>
        <v>646.17188468713698</v>
      </c>
      <c r="AN64" s="62">
        <f ca="1">AVERAGE(OFFSET($AM$3,0,0,'Données projet'!$E$10+1,1))-AVERAGE(OFFSET($H$3,0,0,'Données projet'!$E$10+1,1))</f>
        <v>287.83167869616227</v>
      </c>
      <c r="AO64" s="62">
        <f t="shared" si="36"/>
        <v>233.84231920589906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11.196549579889153</v>
      </c>
      <c r="AV64" s="23">
        <f>EXP(-LN(2)/25)*AV63+(1-EXP(-LN(2)/25))/(LN(2)/25)*Calculateur!AQ64*Calculateur!AS64*VLOOKUP('Données projet'!$B$10,Paramètres!$A$1:$I$89,3,0)*0.475*44/12</f>
        <v>8.7576250445761659</v>
      </c>
      <c r="AW64" s="23">
        <f>EXP(-LN(2)/2)*AW63+(1-EXP(-LN(2)/2))/(LN(2)/2)*AQ64*AT64*VLOOKUP('Données projet'!$B$10,Paramètres!$A$1:$I$89,3,0)*0.475*44/12</f>
        <v>0.43022995920264484</v>
      </c>
      <c r="AX64" s="23">
        <f t="shared" si="6"/>
        <v>20.384404583667962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-1.7053025658242404E-13</v>
      </c>
      <c r="BE64" s="14">
        <f>BD64*VLOOKUP('Données projet'!$B$11,Paramètres!$A$1:$I$89,3,0)*VLOOKUP('Données projet'!$B$11,Paramètres!$A$1:$I$89,5,0)</f>
        <v>-1.064108801074326E-13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262.36903350767881</v>
      </c>
      <c r="BJ64" s="62">
        <f t="shared" si="38"/>
        <v>331.21009482262417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168.47285646904365</v>
      </c>
      <c r="BQ64" s="23">
        <f>EXP(-LN(2)/25)*BQ63+(1-EXP(-LN(2)/25))/(LN(2)/25)*Calculateur!BL64*Calculateur!BN64*VLOOKUP('Données projet'!$B$11,Paramètres!$A$1:$I$89,3,0)*0.475*44/12</f>
        <v>39.160288639412798</v>
      </c>
      <c r="BR64" s="23">
        <f>EXP(-LN(2)/2)*BR63+(1-EXP(-LN(2)/2))/(LN(2)/2)*BL64*BO64*VLOOKUP('Données projet'!$B$11,Paramètres!$A$1:$I$89,3,0)*0.475*44/12</f>
        <v>14.085721632386102</v>
      </c>
      <c r="BS64" s="24">
        <f t="shared" si="9"/>
        <v>221.71886674084257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9.2524999999999977</v>
      </c>
      <c r="BY64" s="13">
        <f>IF('Données projet'!$A$114&gt;35,BY63+BX64-CG63,IF(A64&lt;'Données projet'!$A$114,$BV$205^A64,IF(A64='Données projet'!$A$114,'Données projet'!$B$114,BY63+BX64-CG63)))</f>
        <v>218.69750000000019</v>
      </c>
      <c r="BZ64" s="14">
        <f>BY64*VLOOKUP('Données projet'!$B$12,Paramètres!$A$1:$I$89,3,0)*VLOOKUP('Données projet'!$B$12,Paramètres!$A$1:$I$89,5,0)</f>
        <v>211.52422200000021</v>
      </c>
      <c r="CA64" s="14">
        <f t="shared" si="39"/>
        <v>52.268526230328021</v>
      </c>
      <c r="CB64" s="22">
        <f t="shared" si="10"/>
        <v>459.43903650115499</v>
      </c>
      <c r="CC64" s="62">
        <f t="shared" si="11"/>
        <v>752.77236983448825</v>
      </c>
      <c r="CD64" s="62">
        <f ca="1">AVERAGE(OFFSET($CC$3,0,0,'Données projet'!$E$12+1,1))-AVERAGE(OFFSET($H$3,0,0,'Données projet'!$E$12+1,1))</f>
        <v>618.83149423524605</v>
      </c>
      <c r="CE64" s="62">
        <f t="shared" si="40"/>
        <v>285.33582535802435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9.2516091892560581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9.2516091892560581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11.896999999999997</v>
      </c>
      <c r="CT64" s="13">
        <f>IF('Données projet'!$A$140&gt;35,CT63+CS64-DB63,IF(A64&lt;'Données projet'!$A$140,$CQ$205^A64,IF(A64='Données projet'!$A$140,'Données projet'!$B$140,CT63+CS64-DB63)))</f>
        <v>382.98700000000019</v>
      </c>
      <c r="CU64" s="18">
        <f>CT64*VLOOKUP('Données projet'!$B$13,Paramètres!$A$1:$I$89,3,0)*VLOOKUP('Données projet'!$B$13,Paramètres!$A$1:$I$89,5,0)</f>
        <v>229.02622600000012</v>
      </c>
      <c r="CV64" s="14">
        <f t="shared" si="41"/>
        <v>56.072076861881605</v>
      </c>
      <c r="CW64" s="22">
        <f t="shared" si="13"/>
        <v>496.54621081777736</v>
      </c>
      <c r="CX64" s="62">
        <f t="shared" si="14"/>
        <v>789.87954415111062</v>
      </c>
      <c r="CY64" s="62">
        <f ca="1">AVERAGE(OFFSET($CX$3,0,0,'Données projet'!$E$13+1,1))-AVERAGE(OFFSET($H$3,0,0,'Données projet'!$E$13+1,1))</f>
        <v>349.5718186624772</v>
      </c>
      <c r="CZ64" s="62">
        <f t="shared" si="42"/>
        <v>258.14152930815959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54.577574465684826</v>
      </c>
      <c r="DG64" s="23">
        <f>EXP(-LN(2)/25)*DG63+(1-EXP(-LN(2)/25))/(LN(2)/25)*Calculateur!DB64*Calculateur!DD64*VLOOKUP('Données projet'!$B$13,Paramètres!$A$1:$I$89,3,0)*0.475*44/12</f>
        <v>15.582284268511163</v>
      </c>
      <c r="DH64" s="23">
        <f>EXP(-LN(2)/2)*DH63+(1-EXP(-LN(2)/2))/(LN(2)/2)*DB64*DE64*VLOOKUP('Données projet'!$B$13,Paramètres!$A$1:$I$89,3,0)*0.475*44/12</f>
        <v>3.1553977892013956</v>
      </c>
      <c r="DI64" s="24">
        <f t="shared" si="15"/>
        <v>73.315256523397395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4.4000000000000004</v>
      </c>
      <c r="DO64" s="13">
        <f>IF('Données projet'!$A$166&gt;35,DO63+DN64-DW63,IF(A64&lt;'Données projet'!$A$166,$DL$205^A64,IF(A64='Données projet'!$A$166,'Données projet'!$B$166,DO63+DN64-DW63)))</f>
        <v>177.39999999999998</v>
      </c>
      <c r="DP64" s="18">
        <f>DO64*VLOOKUP('Données projet'!$B$14,Paramètres!$A$1:$I$89,3,0)*VLOOKUP('Données projet'!$B$14,Paramètres!$A$1:$I$89,5,0)</f>
        <v>154.97664</v>
      </c>
      <c r="DQ64" s="14">
        <f t="shared" si="43"/>
        <v>39.707387607123913</v>
      </c>
      <c r="DR64" s="22">
        <f t="shared" si="16"/>
        <v>339.07468141574077</v>
      </c>
      <c r="DS64" s="62">
        <f t="shared" si="17"/>
        <v>632.40801474907403</v>
      </c>
      <c r="DT64" s="62">
        <f ca="1">AVERAGE(OFFSET($DS$3,0,0,'Données projet'!$E$14+1,1))-AVERAGE(OFFSET($H$3,0,0,'Données projet'!$E$14+1,1))</f>
        <v>300.63505444445104</v>
      </c>
      <c r="DU64" s="62">
        <f t="shared" si="44"/>
        <v>266.32508105927997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13.428730250293519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13.428730250293519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5.2</v>
      </c>
      <c r="EJ64" s="13">
        <f>IF('Données projet'!$A$192&gt;35,EJ63+EI64-ER63,IF(A64&lt;'Données projet'!$A$192,$EG$205^A64,IF(A64='Données projet'!$A$192,'Données projet'!$B$192,EJ63+EI64-ER63)))</f>
        <v>285.19999999999987</v>
      </c>
      <c r="EK64" s="18">
        <f>EJ64*VLOOKUP('Données projet'!$B$15,Paramètres!$A$1:$I$89,3,0)*VLOOKUP('Données projet'!$B$15,Paramètres!$A$1:$I$89,5,0)</f>
        <v>226.90511999999993</v>
      </c>
      <c r="EL64" s="14">
        <f t="shared" si="45"/>
        <v>55.612969408444364</v>
      </c>
      <c r="EM64" s="22">
        <f t="shared" si="19"/>
        <v>492.05233905304044</v>
      </c>
      <c r="EN64" s="62">
        <f t="shared" si="20"/>
        <v>785.3856723863737</v>
      </c>
      <c r="EO64" s="62">
        <f ca="1">AVERAGE(OFFSET($EN$3,0,0,'Données projet'!$E$15+1,1))-AVERAGE(OFFSET($H$3,0,0,'Données projet'!$E$15+1,1))</f>
        <v>353.37024194969638</v>
      </c>
      <c r="EP64" s="62">
        <f t="shared" si="46"/>
        <v>345.4750813433123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31.350283075797538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31.350283075797538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5.2</v>
      </c>
      <c r="FE64" s="13">
        <f>IF('Données projet'!$A$218&gt;35,FE63+FD64-FM63,IF(A64&lt;'Données projet'!$A$218,$FB$205^A64,IF(A64='Données projet'!$A$218,'Données projet'!$B$218,FE63+FD64-FM63)))</f>
        <v>212.20000000000013</v>
      </c>
      <c r="FF64" s="18">
        <f>FE64*VLOOKUP('Données projet'!$B$16,Paramètres!$A$1:$I$89,3,0)*VLOOKUP('Données projet'!$B$16,Paramètres!$A$1:$I$89,5,0)</f>
        <v>139.0334400000001</v>
      </c>
      <c r="FG64" s="14">
        <f t="shared" si="47"/>
        <v>36.07549097093554</v>
      </c>
      <c r="FH64" s="22">
        <f t="shared" si="22"/>
        <v>304.98138810771292</v>
      </c>
      <c r="FI64" s="62">
        <f t="shared" si="23"/>
        <v>598.31472144104623</v>
      </c>
      <c r="FJ64" s="62">
        <f ca="1">AVERAGE(OFFSET($FI$3,0,0,'Données projet'!$E$16+1,1))-AVERAGE(OFFSET($H$3,0,0,'Données projet'!$E$16+1,1))</f>
        <v>263.30962868541337</v>
      </c>
      <c r="FK64" s="62">
        <f t="shared" si="48"/>
        <v>269.61868559913404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13.256308903510998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13.256308903510998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6.7866666666666671</v>
      </c>
      <c r="N65" s="14">
        <f>IF('Données projet'!$A$36&gt;35,N64+M65-V64,IF(A65&lt;'Données projet'!$A$36,$K$205^A65,IF(A65='Données projet'!$A$36,'Données projet'!$B$36,N64+M65-V64)))</f>
        <v>184.49333333333328</v>
      </c>
      <c r="O65" s="14">
        <f>N65*VLOOKUP('Données projet'!$B$9,Paramètres!$A$1:$I$89,3,0)*VLOOKUP('Données projet'!$B$9,Paramètres!$A$1:$I$89,5,0)</f>
        <v>110.3270133333333</v>
      </c>
      <c r="P65" s="14">
        <f t="shared" si="33"/>
        <v>29.408018148590212</v>
      </c>
      <c r="Q65" s="22">
        <f t="shared" si="53"/>
        <v>243.37184649768338</v>
      </c>
      <c r="R65" s="62">
        <f t="shared" si="0"/>
        <v>536.70517983101672</v>
      </c>
      <c r="S65" s="62">
        <f ca="1">AVERAGE(OFFSET($R$3,0,0,'Données projet'!$E$9+1,1))-AVERAGE(OFFSET($H$3,0,0,'Données projet'!$E$9+1,1))</f>
        <v>262.06511368698341</v>
      </c>
      <c r="T65" s="62">
        <f t="shared" si="34"/>
        <v>217.15709240080542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22.303792089274417</v>
      </c>
      <c r="AA65" s="23">
        <f>EXP(-LN(2)/25)*AA64+(1-EXP(-LN(2)/25))/(LN(2)/25)*Calculateur!V65*Calculateur!X65*VLOOKUP('Données projet'!$B$9,Paramètres!$A$1:$I$89,3,0)*0.475*44/12</f>
        <v>10.88867731200223</v>
      </c>
      <c r="AB65" s="23">
        <f>EXP(-LN(2)/2)*AB64+(1-EXP(-LN(2)/2))/(LN(2)/2)*V65*Y65*VLOOKUP('Données projet'!$B$9,Paramètres!$A$1:$I$89,3,0)*0.475*44/12</f>
        <v>4.4045323163004682</v>
      </c>
      <c r="AC65" s="24">
        <f t="shared" si="3"/>
        <v>37.597001717577115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12.18916666666667</v>
      </c>
      <c r="AI65" s="14">
        <f>IF('Données projet'!$A$62&gt;35,AI64+AH65-AQ64,IF(A65&lt;'Données projet'!$A$62,$AF$205^A65,IF(A65='Données projet'!$A$62,'Données projet'!$B$62,AI64+AH65-AQ64)))</f>
        <v>357.11083333333329</v>
      </c>
      <c r="AJ65" s="14">
        <f>AI65*VLOOKUP('Données projet'!$B$10,Paramètres!$A$1:$I$89,3,0)*VLOOKUP('Données projet'!$B$10,Paramètres!$A$1:$I$89,5,0)</f>
        <v>167.12786999999997</v>
      </c>
      <c r="AK65" s="14">
        <f t="shared" si="35"/>
        <v>42.446125488351107</v>
      </c>
      <c r="AL65" s="22">
        <f t="shared" si="4"/>
        <v>365.00804214221148</v>
      </c>
      <c r="AM65" s="62">
        <f t="shared" si="5"/>
        <v>658.34137547554474</v>
      </c>
      <c r="AN65" s="62">
        <f ca="1">AVERAGE(OFFSET($AM$3,0,0,'Données projet'!$E$10+1,1))-AVERAGE(OFFSET($H$3,0,0,'Données projet'!$E$10+1,1))</f>
        <v>287.83167869616227</v>
      </c>
      <c r="AO65" s="62">
        <f t="shared" si="36"/>
        <v>233.84231920589906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10.976992071848441</v>
      </c>
      <c r="AV65" s="23">
        <f>EXP(-LN(2)/25)*AV64+(1-EXP(-LN(2)/25))/(LN(2)/25)*Calculateur!AQ65*Calculateur!AS65*VLOOKUP('Données projet'!$B$10,Paramètres!$A$1:$I$89,3,0)*0.475*44/12</f>
        <v>8.5181473271887445</v>
      </c>
      <c r="AW65" s="23">
        <f>EXP(-LN(2)/2)*AW64+(1-EXP(-LN(2)/2))/(LN(2)/2)*AQ65*AT65*VLOOKUP('Données projet'!$B$10,Paramètres!$A$1:$I$89,3,0)*0.475*44/12</f>
        <v>0.30421852162180185</v>
      </c>
      <c r="AX65" s="23">
        <f t="shared" si="6"/>
        <v>19.799357920658988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-1.7053025658242404E-13</v>
      </c>
      <c r="BE65" s="14">
        <f>BD65*VLOOKUP('Données projet'!$B$11,Paramètres!$A$1:$I$89,3,0)*VLOOKUP('Données projet'!$B$11,Paramètres!$A$1:$I$89,5,0)</f>
        <v>-1.064108801074326E-13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262.36903350767881</v>
      </c>
      <c r="BJ65" s="62">
        <f t="shared" si="38"/>
        <v>331.21009482262417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165.1692065119816</v>
      </c>
      <c r="BQ65" s="23">
        <f>EXP(-LN(2)/25)*BQ64+(1-EXP(-LN(2)/25))/(LN(2)/25)*Calculateur!BL65*Calculateur!BN65*VLOOKUP('Données projet'!$B$11,Paramètres!$A$1:$I$89,3,0)*0.475*44/12</f>
        <v>38.089448487217979</v>
      </c>
      <c r="BR65" s="23">
        <f>EXP(-LN(2)/2)*BR64+(1-EXP(-LN(2)/2))/(LN(2)/2)*BL65*BO65*VLOOKUP('Données projet'!$B$11,Paramètres!$A$1:$I$89,3,0)*0.475*44/12</f>
        <v>9.9601092841662595</v>
      </c>
      <c r="BS65" s="24">
        <f t="shared" si="9"/>
        <v>213.21876428336583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9.2524999999999977</v>
      </c>
      <c r="BY65" s="13">
        <f>IF('Données projet'!$A$114&gt;35,BY64+BX65-CG64,IF(A65&lt;'Données projet'!$A$114,$BV$205^A65,IF(A65='Données projet'!$A$114,'Données projet'!$B$114,BY64+BX65-CG64)))</f>
        <v>227.95000000000019</v>
      </c>
      <c r="BZ65" s="14">
        <f>BY65*VLOOKUP('Données projet'!$B$12,Paramètres!$A$1:$I$89,3,0)*VLOOKUP('Données projet'!$B$12,Paramètres!$A$1:$I$89,5,0)</f>
        <v>220.4732400000002</v>
      </c>
      <c r="CA65" s="14">
        <f t="shared" si="39"/>
        <v>54.2177292297565</v>
      </c>
      <c r="CB65" s="22">
        <f t="shared" si="10"/>
        <v>478.42010474182621</v>
      </c>
      <c r="CC65" s="62">
        <f t="shared" si="11"/>
        <v>771.75343807515947</v>
      </c>
      <c r="CD65" s="62">
        <f ca="1">AVERAGE(OFFSET($CC$3,0,0,'Données projet'!$E$12+1,1))-AVERAGE(OFFSET($H$3,0,0,'Données projet'!$E$12+1,1))</f>
        <v>618.83149423524605</v>
      </c>
      <c r="CE65" s="62">
        <f t="shared" si="40"/>
        <v>285.33582535802435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9.0701907759791602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9.0701907759791602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11.896999999999997</v>
      </c>
      <c r="CT65" s="13">
        <f>IF('Données projet'!$A$140&gt;35,CT64+CS65-DB64,IF(A65&lt;'Données projet'!$A$140,$CQ$205^A65,IF(A65='Données projet'!$A$140,'Données projet'!$B$140,CT64+CS65-DB64)))</f>
        <v>394.88400000000019</v>
      </c>
      <c r="CU65" s="18">
        <f>CT65*VLOOKUP('Données projet'!$B$13,Paramètres!$A$1:$I$89,3,0)*VLOOKUP('Données projet'!$B$13,Paramètres!$A$1:$I$89,5,0)</f>
        <v>236.14063200000015</v>
      </c>
      <c r="CV65" s="14">
        <f t="shared" si="41"/>
        <v>57.608386833134347</v>
      </c>
      <c r="CW65" s="22">
        <f t="shared" si="13"/>
        <v>511.61287446770933</v>
      </c>
      <c r="CX65" s="62">
        <f t="shared" si="14"/>
        <v>804.94620780104265</v>
      </c>
      <c r="CY65" s="62">
        <f ca="1">AVERAGE(OFFSET($CX$3,0,0,'Données projet'!$E$13+1,1))-AVERAGE(OFFSET($H$3,0,0,'Données projet'!$E$13+1,1))</f>
        <v>349.5718186624772</v>
      </c>
      <c r="CZ65" s="62">
        <f t="shared" si="42"/>
        <v>258.14152930815959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53.50734151944615</v>
      </c>
      <c r="DG65" s="23">
        <f>EXP(-LN(2)/25)*DG64+(1-EXP(-LN(2)/25))/(LN(2)/25)*Calculateur!DB65*Calculateur!DD65*VLOOKUP('Données projet'!$B$13,Paramètres!$A$1:$I$89,3,0)*0.475*44/12</f>
        <v>15.156185885752009</v>
      </c>
      <c r="DH65" s="23">
        <f>EXP(-LN(2)/2)*DH64+(1-EXP(-LN(2)/2))/(LN(2)/2)*DB65*DE65*VLOOKUP('Données projet'!$B$13,Paramètres!$A$1:$I$89,3,0)*0.475*44/12</f>
        <v>2.2312031740853473</v>
      </c>
      <c r="DI65" s="24">
        <f t="shared" si="15"/>
        <v>70.894730579283504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4.4000000000000004</v>
      </c>
      <c r="DO65" s="13">
        <f>IF('Données projet'!$A$166&gt;35,DO64+DN65-DW64,IF(A65&lt;'Données projet'!$A$166,$DL$205^A65,IF(A65='Données projet'!$A$166,'Données projet'!$B$166,DO64+DN65-DW64)))</f>
        <v>181.79999999999998</v>
      </c>
      <c r="DP65" s="18">
        <f>DO65*VLOOKUP('Données projet'!$B$14,Paramètres!$A$1:$I$89,3,0)*VLOOKUP('Données projet'!$B$14,Paramètres!$A$1:$I$89,5,0)</f>
        <v>158.82048</v>
      </c>
      <c r="DQ65" s="14">
        <f t="shared" si="43"/>
        <v>40.57635691759311</v>
      </c>
      <c r="DR65" s="22">
        <f t="shared" si="16"/>
        <v>347.28282429814129</v>
      </c>
      <c r="DS65" s="62">
        <f t="shared" si="17"/>
        <v>640.61615763147461</v>
      </c>
      <c r="DT65" s="62">
        <f ca="1">AVERAGE(OFFSET($DS$3,0,0,'Données projet'!$E$14+1,1))-AVERAGE(OFFSET($H$3,0,0,'Données projet'!$E$14+1,1))</f>
        <v>300.63505444445104</v>
      </c>
      <c r="DU65" s="62">
        <f t="shared" si="44"/>
        <v>266.32508105927997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13.16540104080195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13.16540104080195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5.2</v>
      </c>
      <c r="EJ65" s="13">
        <f>IF('Données projet'!$A$192&gt;35,EJ64+EI65-ER64,IF(A65&lt;'Données projet'!$A$192,$EG$205^A65,IF(A65='Données projet'!$A$192,'Données projet'!$B$192,EJ64+EI65-ER64)))</f>
        <v>290.39999999999986</v>
      </c>
      <c r="EK65" s="18">
        <f>EJ65*VLOOKUP('Données projet'!$B$15,Paramètres!$A$1:$I$89,3,0)*VLOOKUP('Données projet'!$B$15,Paramètres!$A$1:$I$89,5,0)</f>
        <v>231.04223999999991</v>
      </c>
      <c r="EL65" s="14">
        <f t="shared" si="45"/>
        <v>56.507978852931409</v>
      </c>
      <c r="EM65" s="22">
        <f t="shared" si="19"/>
        <v>500.81663116885539</v>
      </c>
      <c r="EN65" s="62">
        <f t="shared" si="20"/>
        <v>794.14996450218871</v>
      </c>
      <c r="EO65" s="62">
        <f ca="1">AVERAGE(OFFSET($EN$3,0,0,'Données projet'!$E$15+1,1))-AVERAGE(OFFSET($H$3,0,0,'Données projet'!$E$15+1,1))</f>
        <v>353.37024194969638</v>
      </c>
      <c r="EP65" s="62">
        <f t="shared" si="46"/>
        <v>345.4750813433123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30.735523146465706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30.735523146465706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5.2</v>
      </c>
      <c r="FE65" s="13">
        <f>IF('Données projet'!$A$218&gt;35,FE64+FD65-FM64,IF(A65&lt;'Données projet'!$A$218,$FB$205^A65,IF(A65='Données projet'!$A$218,'Données projet'!$B$218,FE64+FD65-FM64)))</f>
        <v>217.40000000000012</v>
      </c>
      <c r="FF65" s="18">
        <f>FE65*VLOOKUP('Données projet'!$B$16,Paramètres!$A$1:$I$89,3,0)*VLOOKUP('Données projet'!$B$16,Paramètres!$A$1:$I$89,5,0)</f>
        <v>142.44048000000009</v>
      </c>
      <c r="FG65" s="14">
        <f t="shared" si="47"/>
        <v>36.855521628538284</v>
      </c>
      <c r="FH65" s="22">
        <f t="shared" si="22"/>
        <v>312.27386950303764</v>
      </c>
      <c r="FI65" s="62">
        <f t="shared" si="23"/>
        <v>605.60720283637102</v>
      </c>
      <c r="FJ65" s="62">
        <f ca="1">AVERAGE(OFFSET($FI$3,0,0,'Données projet'!$E$16+1,1))-AVERAGE(OFFSET($H$3,0,0,'Données projet'!$E$16+1,1))</f>
        <v>263.30962868541337</v>
      </c>
      <c r="FK65" s="62">
        <f t="shared" si="48"/>
        <v>269.61868559913404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12.996360771463197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12.996360771463197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6.7866666666666671</v>
      </c>
      <c r="N66" s="14">
        <f>IF('Données projet'!$A$36&gt;35,N65+M66-V65,IF(A66&lt;'Données projet'!$A$36,$K$205^A66,IF(A66='Données projet'!$A$36,'Données projet'!$B$36,N65+M66-V65)))</f>
        <v>191.27999999999994</v>
      </c>
      <c r="O66" s="14">
        <f>N66*VLOOKUP('Données projet'!$B$9,Paramètres!$A$1:$I$89,3,0)*VLOOKUP('Données projet'!$B$9,Paramètres!$A$1:$I$89,5,0)</f>
        <v>114.38543999999999</v>
      </c>
      <c r="P66" s="14">
        <f t="shared" si="33"/>
        <v>30.361865846013131</v>
      </c>
      <c r="Q66" s="22">
        <f t="shared" si="53"/>
        <v>252.10155768180616</v>
      </c>
      <c r="R66" s="62">
        <f t="shared" si="0"/>
        <v>545.43489101513944</v>
      </c>
      <c r="S66" s="62">
        <f ca="1">AVERAGE(OFFSET($R$3,0,0,'Données projet'!$E$9+1,1))-AVERAGE(OFFSET($H$3,0,0,'Données projet'!$E$9+1,1))</f>
        <v>262.06511368698341</v>
      </c>
      <c r="T66" s="62">
        <f t="shared" si="34"/>
        <v>217.15709240080542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21.86642833037364</v>
      </c>
      <c r="AA66" s="23">
        <f>EXP(-LN(2)/25)*AA65+(1-EXP(-LN(2)/25))/(LN(2)/25)*Calculateur!V66*Calculateur!X66*VLOOKUP('Données projet'!$B$9,Paramètres!$A$1:$I$89,3,0)*0.475*44/12</f>
        <v>10.590925858294876</v>
      </c>
      <c r="AB66" s="23">
        <f>EXP(-LN(2)/2)*AB65+(1-EXP(-LN(2)/2))/(LN(2)/2)*V66*Y66*VLOOKUP('Données projet'!$B$9,Paramètres!$A$1:$I$89,3,0)*0.475*44/12</f>
        <v>3.1144746688113525</v>
      </c>
      <c r="AC66" s="24">
        <f t="shared" si="3"/>
        <v>35.571828857479872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369.3</v>
      </c>
      <c r="AG66" s="13">
        <f>VLOOKUP(A66,'Données projet'!$A$61:$I$81,9,0)</f>
        <v>12.18916666666667</v>
      </c>
      <c r="AH66" s="13">
        <f t="array" ref="AH66">INDEX(AG:AG,MIN(IF(ISNUMBER(AG66:AG262),ROW(AG66:AG262),"")))</f>
        <v>12.18916666666667</v>
      </c>
      <c r="AI66" s="14">
        <f>IF('Données projet'!$A$62&gt;35,AI65+AH66-AQ65,IF(A66&lt;'Données projet'!$A$62,$AF$205^A66,IF(A66='Données projet'!$A$62,'Données projet'!$B$62,AI65+AH66-AQ65)))</f>
        <v>369.29999999999995</v>
      </c>
      <c r="AJ66" s="14">
        <f>AI66*VLOOKUP('Données projet'!$B$10,Paramètres!$A$1:$I$89,3,0)*VLOOKUP('Données projet'!$B$10,Paramètres!$A$1:$I$89,5,0)</f>
        <v>172.83239999999998</v>
      </c>
      <c r="AK66" s="14">
        <f t="shared" si="35"/>
        <v>43.723775614552544</v>
      </c>
      <c r="AL66" s="22">
        <f t="shared" si="4"/>
        <v>377.168672528679</v>
      </c>
      <c r="AM66" s="62">
        <f t="shared" si="5"/>
        <v>670.50200586201231</v>
      </c>
      <c r="AN66" s="62">
        <f ca="1">AVERAGE(OFFSET($AM$3,0,0,'Données projet'!$E$10+1,1))-AVERAGE(OFFSET($H$3,0,0,'Données projet'!$E$10+1,1))</f>
        <v>287.83167869616227</v>
      </c>
      <c r="AO66" s="62">
        <f t="shared" si="36"/>
        <v>233.84231920589906</v>
      </c>
      <c r="AP66" s="16">
        <f>IF(ISNA(VLOOKUP(A66,'Données projet'!$A$61:$I$81,3,0)),0,VLOOKUP(A66,'Données projet'!$A$61:$I$81,3,0))</f>
        <v>2</v>
      </c>
      <c r="AQ66" s="16">
        <f>IF(ISNA(VLOOKUP(A66,'Données projet'!$A$61:$I$81,4,0)),0,VLOOKUP(A66,'Données projet'!$A$61:$I$81,4,0))</f>
        <v>113.87</v>
      </c>
      <c r="AR66" s="17">
        <f>IF(ISNA(VLOOKUP(A66,'Données projet'!$A$61:$I$81,5,0)),0%,VLOOKUP(A66,'Données projet'!$A$61:$I$81,5,0)*VLOOKUP('Données projet'!$B$10,Paramètres!$A$1:$I$89,7,0))</f>
        <v>0.27500000000000002</v>
      </c>
      <c r="AS66" s="17">
        <f>IF(ISNA(VLOOKUP(A66,'Données projet'!$A$61:$I$81,6,0)),0%,VLOOKUP(A66,'Données projet'!$A$61:$I$81,6,0)*VLOOKUP('Données projet'!$B$10,Paramètres!$A$1:$I$89,7,0))</f>
        <v>0.15400000000000003</v>
      </c>
      <c r="AT66" s="17">
        <f>IF(ISNA(VLOOKUP(A66,'Données projet'!$A$61:$I$81,7,0)),0%,VLOOKUP(A66,'Données projet'!$A$61:$I$81,7,0))</f>
        <v>0.22</v>
      </c>
      <c r="AU66" s="23">
        <f>EXP(-LN(2)/35)*AU65+(1-EXP(-LN(2)/35))/(LN(2)/35)*AQ66*AR66*VLOOKUP('Données projet'!$B$10,Paramètres!$A$1:$I$89,3,0)*0.475*44/12</f>
        <v>30.202633580037439</v>
      </c>
      <c r="AV66" s="23">
        <f>EXP(-LN(2)/25)*AV65+(1-EXP(-LN(2)/25))/(LN(2)/25)*Calculateur!AQ66*Calculateur!AS66*VLOOKUP('Données projet'!$B$10,Paramètres!$A$1:$I$89,3,0)*0.475*44/12</f>
        <v>19.129252696696135</v>
      </c>
      <c r="AW66" s="23">
        <f>EXP(-LN(2)/2)*AW65+(1-EXP(-LN(2)/2))/(LN(2)/2)*AQ66*AT66*VLOOKUP('Données projet'!$B$10,Paramètres!$A$1:$I$89,3,0)*0.475*44/12</f>
        <v>13.489468935024432</v>
      </c>
      <c r="AX66" s="23">
        <f t="shared" si="6"/>
        <v>62.821355211758004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-1.7053025658242404E-13</v>
      </c>
      <c r="BE66" s="14">
        <f>BD66*VLOOKUP('Données projet'!$B$11,Paramètres!$A$1:$I$89,3,0)*VLOOKUP('Données projet'!$B$11,Paramètres!$A$1:$I$89,5,0)</f>
        <v>-1.064108801074326E-13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262.36903350767881</v>
      </c>
      <c r="BJ66" s="62">
        <f t="shared" si="38"/>
        <v>331.21009482262417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161.93033911555005</v>
      </c>
      <c r="BQ66" s="23">
        <f>EXP(-LN(2)/25)*BQ65+(1-EXP(-LN(2)/25))/(LN(2)/25)*Calculateur!BL66*Calculateur!BN66*VLOOKUP('Données projet'!$B$11,Paramètres!$A$1:$I$89,3,0)*0.475*44/12</f>
        <v>37.047890515297965</v>
      </c>
      <c r="BR66" s="23">
        <f>EXP(-LN(2)/2)*BR65+(1-EXP(-LN(2)/2))/(LN(2)/2)*BL66*BO66*VLOOKUP('Données projet'!$B$11,Paramètres!$A$1:$I$89,3,0)*0.475*44/12</f>
        <v>7.0428608161930519</v>
      </c>
      <c r="BS66" s="24">
        <f t="shared" si="9"/>
        <v>206.02109044704108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9.2524999999999977</v>
      </c>
      <c r="BY66" s="13">
        <f>IF('Données projet'!$A$114&gt;35,BY65+BX66-CG65,IF(A66&lt;'Données projet'!$A$114,$BV$205^A66,IF(A66='Données projet'!$A$114,'Données projet'!$B$114,BY65+BX66-CG65)))</f>
        <v>237.20250000000019</v>
      </c>
      <c r="BZ66" s="14">
        <f>BY66*VLOOKUP('Données projet'!$B$12,Paramètres!$A$1:$I$89,3,0)*VLOOKUP('Données projet'!$B$12,Paramètres!$A$1:$I$89,5,0)</f>
        <v>229.4222580000002</v>
      </c>
      <c r="CA66" s="14">
        <f t="shared" si="39"/>
        <v>56.157741923307334</v>
      </c>
      <c r="CB66" s="22">
        <f t="shared" si="10"/>
        <v>497.38516653309392</v>
      </c>
      <c r="CC66" s="62">
        <f t="shared" si="11"/>
        <v>790.71849986642724</v>
      </c>
      <c r="CD66" s="62">
        <f ca="1">AVERAGE(OFFSET($CC$3,0,0,'Données projet'!$E$12+1,1))-AVERAGE(OFFSET($H$3,0,0,'Données projet'!$E$12+1,1))</f>
        <v>618.83149423524605</v>
      </c>
      <c r="CE66" s="62">
        <f t="shared" si="40"/>
        <v>285.33582535802435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8.8923298671323163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8.8923298671323163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11.896999999999997</v>
      </c>
      <c r="CT66" s="13">
        <f>IF('Données projet'!$A$140&gt;35,CT65+CS66-DB65,IF(A66&lt;'Données projet'!$A$140,$CQ$205^A66,IF(A66='Données projet'!$A$140,'Données projet'!$B$140,CT65+CS66-DB65)))</f>
        <v>406.78100000000018</v>
      </c>
      <c r="CU66" s="18">
        <f>CT66*VLOOKUP('Données projet'!$B$13,Paramètres!$A$1:$I$89,3,0)*VLOOKUP('Données projet'!$B$13,Paramètres!$A$1:$I$89,5,0)</f>
        <v>243.25503800000013</v>
      </c>
      <c r="CV66" s="14">
        <f t="shared" si="41"/>
        <v>59.139317725784991</v>
      </c>
      <c r="CW66" s="22">
        <f t="shared" si="13"/>
        <v>526.6701695557424</v>
      </c>
      <c r="CX66" s="62">
        <f t="shared" si="14"/>
        <v>820.00350288907566</v>
      </c>
      <c r="CY66" s="62">
        <f ca="1">AVERAGE(OFFSET($CX$3,0,0,'Données projet'!$E$13+1,1))-AVERAGE(OFFSET($H$3,0,0,'Données projet'!$E$13+1,1))</f>
        <v>349.5718186624772</v>
      </c>
      <c r="CZ66" s="62">
        <f t="shared" si="42"/>
        <v>258.14152930815959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52.458095188505574</v>
      </c>
      <c r="DG66" s="23">
        <f>EXP(-LN(2)/25)*DG65+(1-EXP(-LN(2)/25))/(LN(2)/25)*Calculateur!DB66*Calculateur!DD66*VLOOKUP('Données projet'!$B$13,Paramètres!$A$1:$I$89,3,0)*0.475*44/12</f>
        <v>14.741739185676945</v>
      </c>
      <c r="DH66" s="23">
        <f>EXP(-LN(2)/2)*DH65+(1-EXP(-LN(2)/2))/(LN(2)/2)*DB66*DE66*VLOOKUP('Données projet'!$B$13,Paramètres!$A$1:$I$89,3,0)*0.475*44/12</f>
        <v>1.577698894600698</v>
      </c>
      <c r="DI66" s="24">
        <f t="shared" si="15"/>
        <v>68.777533268783216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4.4000000000000004</v>
      </c>
      <c r="DO66" s="13">
        <f>IF('Données projet'!$A$166&gt;35,DO65+DN66-DW65,IF(A66&lt;'Données projet'!$A$166,$DL$205^A66,IF(A66='Données projet'!$A$166,'Données projet'!$B$166,DO65+DN66-DW65)))</f>
        <v>186.2</v>
      </c>
      <c r="DP66" s="18">
        <f>DO66*VLOOKUP('Données projet'!$B$14,Paramètres!$A$1:$I$89,3,0)*VLOOKUP('Données projet'!$B$14,Paramètres!$A$1:$I$89,5,0)</f>
        <v>162.66432</v>
      </c>
      <c r="DQ66" s="14">
        <f t="shared" si="43"/>
        <v>41.442881393745317</v>
      </c>
      <c r="DR66" s="22">
        <f t="shared" si="16"/>
        <v>355.4867090941064</v>
      </c>
      <c r="DS66" s="62">
        <f t="shared" si="17"/>
        <v>648.82004242743972</v>
      </c>
      <c r="DT66" s="62">
        <f ca="1">AVERAGE(OFFSET($DS$3,0,0,'Données projet'!$E$14+1,1))-AVERAGE(OFFSET($H$3,0,0,'Données projet'!$E$14+1,1))</f>
        <v>300.63505444445104</v>
      </c>
      <c r="DU66" s="62">
        <f t="shared" si="44"/>
        <v>266.32508105927997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12.907235556493552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12.907235556493552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5.2</v>
      </c>
      <c r="EJ66" s="13">
        <f>IF('Données projet'!$A$192&gt;35,EJ65+EI66-ER65,IF(A66&lt;'Données projet'!$A$192,$EG$205^A66,IF(A66='Données projet'!$A$192,'Données projet'!$B$192,EJ65+EI66-ER65)))</f>
        <v>295.59999999999985</v>
      </c>
      <c r="EK66" s="18">
        <f>EJ66*VLOOKUP('Données projet'!$B$15,Paramètres!$A$1:$I$89,3,0)*VLOOKUP('Données projet'!$B$15,Paramètres!$A$1:$I$89,5,0)</f>
        <v>235.17935999999989</v>
      </c>
      <c r="EL66" s="14">
        <f t="shared" si="45"/>
        <v>57.401124668909425</v>
      </c>
      <c r="EM66" s="22">
        <f t="shared" si="19"/>
        <v>509.57767746501708</v>
      </c>
      <c r="EN66" s="62">
        <f t="shared" si="20"/>
        <v>802.91101079835039</v>
      </c>
      <c r="EO66" s="62">
        <f ca="1">AVERAGE(OFFSET($EN$3,0,0,'Données projet'!$E$15+1,1))-AVERAGE(OFFSET($H$3,0,0,'Données projet'!$E$15+1,1))</f>
        <v>353.37024194969638</v>
      </c>
      <c r="EP66" s="62">
        <f t="shared" si="46"/>
        <v>345.4750813433123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30.132818284381539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30.132818284381539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5.2</v>
      </c>
      <c r="FE66" s="13">
        <f>IF('Données projet'!$A$218&gt;35,FE65+FD66-FM65,IF(A66&lt;'Données projet'!$A$218,$FB$205^A66,IF(A66='Données projet'!$A$218,'Données projet'!$B$218,FE65+FD66-FM65)))</f>
        <v>222.60000000000011</v>
      </c>
      <c r="FF66" s="18">
        <f>FE66*VLOOKUP('Données projet'!$B$16,Paramètres!$A$1:$I$89,3,0)*VLOOKUP('Données projet'!$B$16,Paramètres!$A$1:$I$89,5,0)</f>
        <v>145.84752000000009</v>
      </c>
      <c r="FG66" s="14">
        <f t="shared" si="47"/>
        <v>37.633383344887093</v>
      </c>
      <c r="FH66" s="22">
        <f t="shared" si="22"/>
        <v>319.56257332567844</v>
      </c>
      <c r="FI66" s="62">
        <f t="shared" si="23"/>
        <v>612.89590665901176</v>
      </c>
      <c r="FJ66" s="62">
        <f ca="1">AVERAGE(OFFSET($FI$3,0,0,'Données projet'!$E$16+1,1))-AVERAGE(OFFSET($H$3,0,0,'Données projet'!$E$16+1,1))</f>
        <v>263.30962868541337</v>
      </c>
      <c r="FK66" s="62">
        <f t="shared" si="48"/>
        <v>269.61868559913404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12.741510063732148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12.741510063732148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6.7866666666666671</v>
      </c>
      <c r="N67" s="14">
        <f>IF('Données projet'!$A$36&gt;35,N66+M67-V66,IF(A67&lt;'Données projet'!$A$36,$K$205^A67,IF(A67='Données projet'!$A$36,'Données projet'!$B$36,N66+M67-V66)))</f>
        <v>198.06666666666661</v>
      </c>
      <c r="O67" s="14">
        <f>N67*VLOOKUP('Données projet'!$B$9,Paramètres!$A$1:$I$89,3,0)*VLOOKUP('Données projet'!$B$9,Paramètres!$A$1:$I$89,5,0)</f>
        <v>118.44386666666664</v>
      </c>
      <c r="P67" s="14">
        <f t="shared" si="33"/>
        <v>31.311781496022643</v>
      </c>
      <c r="Q67" s="22">
        <f t="shared" ref="Q67:Q98" si="54">(O67+P67)*0.475*44/12</f>
        <v>260.82442055001712</v>
      </c>
      <c r="R67" s="62">
        <f t="shared" ref="R67:R130" si="55">Q67+(I67+J67)*44/12</f>
        <v>554.15775388335044</v>
      </c>
      <c r="S67" s="62">
        <f ca="1">AVERAGE(OFFSET($R$3,0,0,'Données projet'!$E$9+1,1))-AVERAGE(OFFSET($H$3,0,0,'Données projet'!$E$9+1,1))</f>
        <v>262.06511368698341</v>
      </c>
      <c r="T67" s="62">
        <f t="shared" si="34"/>
        <v>217.15709240080542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21.437641008019355</v>
      </c>
      <c r="AA67" s="23">
        <f>EXP(-LN(2)/25)*AA66+(1-EXP(-LN(2)/25))/(LN(2)/25)*Calculateur!V67*Calculateur!X67*VLOOKUP('Données projet'!$B$9,Paramètres!$A$1:$I$89,3,0)*0.475*44/12</f>
        <v>10.301316433747218</v>
      </c>
      <c r="AB67" s="23">
        <f>EXP(-LN(2)/2)*AB66+(1-EXP(-LN(2)/2))/(LN(2)/2)*V67*Y67*VLOOKUP('Données projet'!$B$9,Paramètres!$A$1:$I$89,3,0)*0.475*44/12</f>
        <v>2.2022661581502341</v>
      </c>
      <c r="AC67" s="24">
        <f t="shared" si="3"/>
        <v>33.94122359991681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11.169166666666664</v>
      </c>
      <c r="AI67" s="14">
        <f>IF('Données projet'!$A$62&gt;35,AI66+AH67-AQ66,IF(A67&lt;'Données projet'!$A$62,$AF$205^A67,IF(A67='Données projet'!$A$62,'Données projet'!$B$62,AI66+AH67-AQ66)))</f>
        <v>266.59916666666663</v>
      </c>
      <c r="AJ67" s="14">
        <f>AI67*VLOOKUP('Données projet'!$B$10,Paramètres!$A$1:$I$89,3,0)*VLOOKUP('Données projet'!$B$10,Paramètres!$A$1:$I$89,5,0)</f>
        <v>124.76840999999999</v>
      </c>
      <c r="AK67" s="14">
        <f t="shared" si="35"/>
        <v>32.784617820498312</v>
      </c>
      <c r="AL67" s="22">
        <f t="shared" si="4"/>
        <v>274.40485678736786</v>
      </c>
      <c r="AM67" s="62">
        <f t="shared" si="5"/>
        <v>567.73819012070112</v>
      </c>
      <c r="AN67" s="62">
        <f ca="1">AVERAGE(OFFSET($AM$3,0,0,'Données projet'!$E$10+1,1))-AVERAGE(OFFSET($H$3,0,0,'Données projet'!$E$10+1,1))</f>
        <v>287.83167869616227</v>
      </c>
      <c r="AO67" s="62">
        <f t="shared" si="36"/>
        <v>233.84231920589906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29.610378357320389</v>
      </c>
      <c r="AV67" s="23">
        <f>EXP(-LN(2)/25)*AV66+(1-EXP(-LN(2)/25))/(LN(2)/25)*Calculateur!AQ67*Calculateur!AS67*VLOOKUP('Données projet'!$B$10,Paramètres!$A$1:$I$89,3,0)*0.475*44/12</f>
        <v>18.606162275741301</v>
      </c>
      <c r="AW67" s="23">
        <f>EXP(-LN(2)/2)*AW66+(1-EXP(-LN(2)/2))/(LN(2)/2)*AQ67*AT67*VLOOKUP('Données projet'!$B$10,Paramètres!$A$1:$I$89,3,0)*0.475*44/12</f>
        <v>9.538494958561051</v>
      </c>
      <c r="AX67" s="23">
        <f t="shared" si="6"/>
        <v>57.755035591622743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-1.7053025658242404E-13</v>
      </c>
      <c r="BE67" s="14">
        <f>BD67*VLOOKUP('Données projet'!$B$11,Paramètres!$A$1:$I$89,3,0)*VLOOKUP('Données projet'!$B$11,Paramètres!$A$1:$I$89,5,0)</f>
        <v>-1.064108801074326E-13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262.36903350767881</v>
      </c>
      <c r="BJ67" s="62">
        <f t="shared" si="38"/>
        <v>331.21009482262417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158.75498393324847</v>
      </c>
      <c r="BQ67" s="23">
        <f>EXP(-LN(2)/25)*BQ66+(1-EXP(-LN(2)/25))/(LN(2)/25)*Calculateur!BL67*Calculateur!BN67*VLOOKUP('Données projet'!$B$11,Paramètres!$A$1:$I$89,3,0)*0.475*44/12</f>
        <v>36.034814000893256</v>
      </c>
      <c r="BR67" s="23">
        <f>EXP(-LN(2)/2)*BR66+(1-EXP(-LN(2)/2))/(LN(2)/2)*BL67*BO67*VLOOKUP('Données projet'!$B$11,Paramètres!$A$1:$I$89,3,0)*0.475*44/12</f>
        <v>4.9800546420831306</v>
      </c>
      <c r="BS67" s="24">
        <f t="shared" si="9"/>
        <v>199.76985257622485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9.2524999999999977</v>
      </c>
      <c r="BY67" s="13">
        <f>IF('Données projet'!$A$114&gt;35,BY66+BX67-CG66,IF(A67&lt;'Données projet'!$A$114,$BV$205^A67,IF(A67='Données projet'!$A$114,'Données projet'!$B$114,BY66+BX67-CG66)))</f>
        <v>246.45500000000018</v>
      </c>
      <c r="BZ67" s="14">
        <f>BY67*VLOOKUP('Données projet'!$B$12,Paramètres!$A$1:$I$89,3,0)*VLOOKUP('Données projet'!$B$12,Paramètres!$A$1:$I$89,5,0)</f>
        <v>238.37127600000017</v>
      </c>
      <c r="CA67" s="14">
        <f t="shared" si="39"/>
        <v>58.088963821708049</v>
      </c>
      <c r="CB67" s="22">
        <f t="shared" si="10"/>
        <v>516.33491768947522</v>
      </c>
      <c r="CC67" s="62">
        <f t="shared" si="11"/>
        <v>809.66825102280859</v>
      </c>
      <c r="CD67" s="62">
        <f ca="1">AVERAGE(OFFSET($CC$3,0,0,'Données projet'!$E$12+1,1))-AVERAGE(OFFSET($H$3,0,0,'Données projet'!$E$12+1,1))</f>
        <v>618.83149423524605</v>
      </c>
      <c r="CE67" s="62">
        <f t="shared" si="40"/>
        <v>285.33582535802435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8.7179567022235158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8.7179567022235158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11.896999999999997</v>
      </c>
      <c r="CT67" s="13">
        <f>IF('Données projet'!$A$140&gt;35,CT66+CS67-DB66,IF(A67&lt;'Données projet'!$A$140,$CQ$205^A67,IF(A67='Données projet'!$A$140,'Données projet'!$B$140,CT66+CS67-DB66)))</f>
        <v>418.67800000000017</v>
      </c>
      <c r="CU67" s="18">
        <f>CT67*VLOOKUP('Données projet'!$B$13,Paramètres!$A$1:$I$89,3,0)*VLOOKUP('Données projet'!$B$13,Paramètres!$A$1:$I$89,5,0)</f>
        <v>250.36944400000013</v>
      </c>
      <c r="CV67" s="14">
        <f t="shared" si="41"/>
        <v>60.665044924256527</v>
      </c>
      <c r="CW67" s="22">
        <f t="shared" si="13"/>
        <v>541.71840154308029</v>
      </c>
      <c r="CX67" s="62">
        <f t="shared" si="14"/>
        <v>835.05173487641355</v>
      </c>
      <c r="CY67" s="62">
        <f ca="1">AVERAGE(OFFSET($CX$3,0,0,'Données projet'!$E$13+1,1))-AVERAGE(OFFSET($H$3,0,0,'Données projet'!$E$13+1,1))</f>
        <v>349.5718186624772</v>
      </c>
      <c r="CZ67" s="62">
        <f t="shared" si="42"/>
        <v>258.14152930815959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51.429423938137674</v>
      </c>
      <c r="DG67" s="23">
        <f>EXP(-LN(2)/25)*DG66+(1-EXP(-LN(2)/25))/(LN(2)/25)*Calculateur!DB67*Calculateur!DD67*VLOOKUP('Données projet'!$B$13,Paramètres!$A$1:$I$89,3,0)*0.475*44/12</f>
        <v>14.338625552410237</v>
      </c>
      <c r="DH67" s="23">
        <f>EXP(-LN(2)/2)*DH66+(1-EXP(-LN(2)/2))/(LN(2)/2)*DB67*DE67*VLOOKUP('Données projet'!$B$13,Paramètres!$A$1:$I$89,3,0)*0.475*44/12</f>
        <v>1.1156015870426736</v>
      </c>
      <c r="DI67" s="24">
        <f t="shared" si="15"/>
        <v>66.883651077590585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4.4000000000000004</v>
      </c>
      <c r="DO67" s="13">
        <f>IF('Données projet'!$A$166&gt;35,DO66+DN67-DW66,IF(A67&lt;'Données projet'!$A$166,$DL$205^A67,IF(A67='Données projet'!$A$166,'Données projet'!$B$166,DO66+DN67-DW66)))</f>
        <v>190.6</v>
      </c>
      <c r="DP67" s="18">
        <f>DO67*VLOOKUP('Données projet'!$B$14,Paramètres!$A$1:$I$89,3,0)*VLOOKUP('Données projet'!$B$14,Paramètres!$A$1:$I$89,5,0)</f>
        <v>166.50816</v>
      </c>
      <c r="DQ67" s="14">
        <f t="shared" si="43"/>
        <v>42.307025456487715</v>
      </c>
      <c r="DR67" s="22">
        <f t="shared" si="16"/>
        <v>363.68644800338274</v>
      </c>
      <c r="DS67" s="62">
        <f t="shared" si="17"/>
        <v>657.01978133671605</v>
      </c>
      <c r="DT67" s="62">
        <f ca="1">AVERAGE(OFFSET($DS$3,0,0,'Données projet'!$E$14+1,1))-AVERAGE(OFFSET($H$3,0,0,'Données projet'!$E$14+1,1))</f>
        <v>300.63505444445104</v>
      </c>
      <c r="DU67" s="62">
        <f t="shared" si="44"/>
        <v>266.32508105927997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12.654132539867044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12.654132539867044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5.2</v>
      </c>
      <c r="EJ67" s="13">
        <f>IF('Données projet'!$A$192&gt;35,EJ66+EI67-ER66,IF(A67&lt;'Données projet'!$A$192,$EG$205^A67,IF(A67='Données projet'!$A$192,'Données projet'!$B$192,EJ66+EI67-ER66)))</f>
        <v>300.79999999999984</v>
      </c>
      <c r="EK67" s="18">
        <f>EJ67*VLOOKUP('Données projet'!$B$15,Paramètres!$A$1:$I$89,3,0)*VLOOKUP('Données projet'!$B$15,Paramètres!$A$1:$I$89,5,0)</f>
        <v>239.3164799999999</v>
      </c>
      <c r="EL67" s="14">
        <f t="shared" si="45"/>
        <v>58.292443422481945</v>
      </c>
      <c r="EM67" s="22">
        <f t="shared" si="19"/>
        <v>518.33554162748919</v>
      </c>
      <c r="EN67" s="62">
        <f t="shared" si="20"/>
        <v>811.66887496082245</v>
      </c>
      <c r="EO67" s="62">
        <f ca="1">AVERAGE(OFFSET($EN$3,0,0,'Données projet'!$E$15+1,1))-AVERAGE(OFFSET($H$3,0,0,'Données projet'!$E$15+1,1))</f>
        <v>353.37024194969638</v>
      </c>
      <c r="EP67" s="62">
        <f t="shared" si="46"/>
        <v>345.4750813433123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29.541932097029175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29.541932097029175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5.2</v>
      </c>
      <c r="FE67" s="13">
        <f>IF('Données projet'!$A$218&gt;35,FE66+FD67-FM66,IF(A67&lt;'Données projet'!$A$218,$FB$205^A67,IF(A67='Données projet'!$A$218,'Données projet'!$B$218,FE66+FD67-FM66)))</f>
        <v>227.8000000000001</v>
      </c>
      <c r="FF67" s="18">
        <f>FE67*VLOOKUP('Données projet'!$B$16,Paramètres!$A$1:$I$89,3,0)*VLOOKUP('Données projet'!$B$16,Paramètres!$A$1:$I$89,5,0)</f>
        <v>149.25456000000005</v>
      </c>
      <c r="FG67" s="14">
        <f t="shared" si="47"/>
        <v>38.409132618275962</v>
      </c>
      <c r="FH67" s="22">
        <f t="shared" si="22"/>
        <v>326.84759797683068</v>
      </c>
      <c r="FI67" s="62">
        <f t="shared" si="23"/>
        <v>620.18093131016394</v>
      </c>
      <c r="FJ67" s="62">
        <f ca="1">AVERAGE(OFFSET($FI$3,0,0,'Données projet'!$E$16+1,1))-AVERAGE(OFFSET($H$3,0,0,'Données projet'!$E$16+1,1))</f>
        <v>263.30962868541337</v>
      </c>
      <c r="FK67" s="62">
        <f t="shared" si="48"/>
        <v>269.61868559913404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12.491656822936122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12.491656822936122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6.7866666666666671</v>
      </c>
      <c r="N68" s="14">
        <f>IF('Données projet'!$A$36&gt;35,N67+M68-V67,IF(A68&lt;'Données projet'!$A$36,$K$205^A68,IF(A68='Données projet'!$A$36,'Données projet'!$B$36,N67+M68-V67)))</f>
        <v>204.85333333333327</v>
      </c>
      <c r="O68" s="14">
        <f>N68*VLOOKUP('Données projet'!$B$9,Paramètres!$A$1:$I$89,3,0)*VLOOKUP('Données projet'!$B$9,Paramètres!$A$1:$I$89,5,0)</f>
        <v>122.5022933333333</v>
      </c>
      <c r="P68" s="14">
        <f t="shared" si="33"/>
        <v>32.257915271198925</v>
      </c>
      <c r="Q68" s="22">
        <f t="shared" si="54"/>
        <v>269.54069665289364</v>
      </c>
      <c r="R68" s="62">
        <f t="shared" si="55"/>
        <v>562.87402998622701</v>
      </c>
      <c r="S68" s="62">
        <f ca="1">AVERAGE(OFFSET($R$3,0,0,'Données projet'!$E$9+1,1))-AVERAGE(OFFSET($H$3,0,0,'Données projet'!$E$9+1,1))</f>
        <v>262.06511368698341</v>
      </c>
      <c r="T68" s="62">
        <f t="shared" si="34"/>
        <v>217.15709240080542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21.017261943521994</v>
      </c>
      <c r="AA68" s="23">
        <f>EXP(-LN(2)/25)*AA67+(1-EXP(-LN(2)/25))/(LN(2)/25)*Calculateur!V68*Calculateur!X68*VLOOKUP('Données projet'!$B$9,Paramètres!$A$1:$I$89,3,0)*0.475*44/12</f>
        <v>10.019626394143712</v>
      </c>
      <c r="AB68" s="23">
        <f>EXP(-LN(2)/2)*AB67+(1-EXP(-LN(2)/2))/(LN(2)/2)*V68*Y68*VLOOKUP('Données projet'!$B$9,Paramètres!$A$1:$I$89,3,0)*0.475*44/12</f>
        <v>1.5572373344056762</v>
      </c>
      <c r="AC68" s="24">
        <f t="shared" ref="AC68:AC131" si="57">SUM(Z68:AB68)</f>
        <v>32.594125672071385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11.169166666666664</v>
      </c>
      <c r="AI68" s="14">
        <f>IF('Données projet'!$A$62&gt;35,AI67+AH68-AQ67,IF(A68&lt;'Données projet'!$A$62,$AF$205^A68,IF(A68='Données projet'!$A$62,'Données projet'!$B$62,AI67+AH68-AQ67)))</f>
        <v>277.76833333333332</v>
      </c>
      <c r="AJ68" s="14">
        <f>AI68*VLOOKUP('Données projet'!$B$10,Paramètres!$A$1:$I$89,3,0)*VLOOKUP('Données projet'!$B$10,Paramètres!$A$1:$I$89,5,0)</f>
        <v>129.99557999999999</v>
      </c>
      <c r="AK68" s="14">
        <f t="shared" si="35"/>
        <v>33.995337998103132</v>
      </c>
      <c r="AL68" s="22">
        <f t="shared" ref="AL68:AL131" si="58">(AJ68+AK68)*0.475*44/12</f>
        <v>285.61751551336295</v>
      </c>
      <c r="AM68" s="62">
        <f t="shared" ref="AM68:AM131" si="59">AL68+(AD68+AE68)*44/12</f>
        <v>578.95084884669632</v>
      </c>
      <c r="AN68" s="62">
        <f ca="1">AVERAGE(OFFSET($AM$3,0,0,'Données projet'!$E$10+1,1))-AVERAGE(OFFSET($H$3,0,0,'Données projet'!$E$10+1,1))</f>
        <v>287.83167869616227</v>
      </c>
      <c r="AO68" s="62">
        <f t="shared" si="36"/>
        <v>233.84231920589906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29.029736898280802</v>
      </c>
      <c r="AV68" s="23">
        <f>EXP(-LN(2)/25)*AV67+(1-EXP(-LN(2)/25))/(LN(2)/25)*Calculateur!AQ68*Calculateur!AS68*VLOOKUP('Données projet'!$B$10,Paramètres!$A$1:$I$89,3,0)*0.475*44/12</f>
        <v>18.097375789855604</v>
      </c>
      <c r="AW68" s="23">
        <f>EXP(-LN(2)/2)*AW67+(1-EXP(-LN(2)/2))/(LN(2)/2)*AQ68*AT68*VLOOKUP('Données projet'!$B$10,Paramètres!$A$1:$I$89,3,0)*0.475*44/12</f>
        <v>6.7447344675122158</v>
      </c>
      <c r="AX68" s="23">
        <f t="shared" ref="AX68:AX131" si="60">SUM(AU68:AW68)</f>
        <v>53.871847155648624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-1.7053025658242404E-13</v>
      </c>
      <c r="BE68" s="14">
        <f>BD68*VLOOKUP('Données projet'!$B$11,Paramètres!$A$1:$I$89,3,0)*VLOOKUP('Données projet'!$B$11,Paramètres!$A$1:$I$89,5,0)</f>
        <v>-1.064108801074326E-13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262.36903350767881</v>
      </c>
      <c r="BJ68" s="62">
        <f t="shared" si="38"/>
        <v>331.21009482262417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155.64189552929639</v>
      </c>
      <c r="BQ68" s="23">
        <f>EXP(-LN(2)/25)*BQ67+(1-EXP(-LN(2)/25))/(LN(2)/25)*Calculateur!BL68*Calculateur!BN68*VLOOKUP('Données projet'!$B$11,Paramètres!$A$1:$I$89,3,0)*0.475*44/12</f>
        <v>35.049440117050324</v>
      </c>
      <c r="BR68" s="23">
        <f>EXP(-LN(2)/2)*BR67+(1-EXP(-LN(2)/2))/(LN(2)/2)*BL68*BO68*VLOOKUP('Données projet'!$B$11,Paramètres!$A$1:$I$89,3,0)*0.475*44/12</f>
        <v>3.5214304080965269</v>
      </c>
      <c r="BS68" s="24">
        <f t="shared" ref="BS68:BS131" si="63">SUM(BP68:BR68)</f>
        <v>194.21276605444325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9.2524999999999977</v>
      </c>
      <c r="BY68" s="13">
        <f>IF('Données projet'!$A$114&gt;35,BY67+BX68-CG67,IF(A68&lt;'Données projet'!$A$114,$BV$205^A68,IF(A68='Données projet'!$A$114,'Données projet'!$B$114,BY67+BX68-CG67)))</f>
        <v>255.70750000000018</v>
      </c>
      <c r="BZ68" s="14">
        <f>BY68*VLOOKUP('Données projet'!$B$12,Paramètres!$A$1:$I$89,3,0)*VLOOKUP('Données projet'!$B$12,Paramètres!$A$1:$I$89,5,0)</f>
        <v>247.32029400000016</v>
      </c>
      <c r="CA68" s="14">
        <f t="shared" si="39"/>
        <v>60.011762739223698</v>
      </c>
      <c r="CB68" s="22">
        <f t="shared" ref="CB68:CB131" si="64">(BZ68+CA68)*0.475*44/12</f>
        <v>535.26999882081486</v>
      </c>
      <c r="CC68" s="62">
        <f t="shared" ref="CC68:CC131" si="65">CB68+(BT68+BU68)*44/12</f>
        <v>828.60333215414812</v>
      </c>
      <c r="CD68" s="62">
        <f ca="1">AVERAGE(OFFSET($CC$3,0,0,'Données projet'!$E$12+1,1))-AVERAGE(OFFSET($H$3,0,0,'Données projet'!$E$12+1,1))</f>
        <v>618.83149423524605</v>
      </c>
      <c r="CE68" s="62">
        <f t="shared" si="40"/>
        <v>285.33582535802435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8.5470028887214493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8.5470028887214493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11.896999999999997</v>
      </c>
      <c r="CT68" s="13">
        <f>IF('Données projet'!$A$140&gt;35,CT67+CS68-DB67,IF(A68&lt;'Données projet'!$A$140,$CQ$205^A68,IF(A68='Données projet'!$A$140,'Données projet'!$B$140,CT67+CS68-DB67)))</f>
        <v>430.57500000000016</v>
      </c>
      <c r="CU68" s="18">
        <f>CT68*VLOOKUP('Données projet'!$B$13,Paramètres!$A$1:$I$89,3,0)*VLOOKUP('Données projet'!$B$13,Paramètres!$A$1:$I$89,5,0)</f>
        <v>257.48385000000013</v>
      </c>
      <c r="CV68" s="14">
        <f t="shared" si="41"/>
        <v>62.185733278690435</v>
      </c>
      <c r="CW68" s="22">
        <f t="shared" ref="CW68:CW131" si="67">(CU68+CV68)*0.475*44/12</f>
        <v>556.7578575437193</v>
      </c>
      <c r="CX68" s="62">
        <f t="shared" ref="CX68:CX131" si="68">CW68+(CO68+CP68)*44/12</f>
        <v>850.09119087705267</v>
      </c>
      <c r="CY68" s="62">
        <f ca="1">AVERAGE(OFFSET($CX$3,0,0,'Données projet'!$E$13+1,1))-AVERAGE(OFFSET($H$3,0,0,'Données projet'!$E$13+1,1))</f>
        <v>349.5718186624772</v>
      </c>
      <c r="CZ68" s="62">
        <f t="shared" si="42"/>
        <v>258.14152930815959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50.420924303561982</v>
      </c>
      <c r="DG68" s="23">
        <f>EXP(-LN(2)/25)*DG67+(1-EXP(-LN(2)/25))/(LN(2)/25)*Calculateur!DB68*Calculateur!DD68*VLOOKUP('Données projet'!$B$13,Paramètres!$A$1:$I$89,3,0)*0.475*44/12</f>
        <v>13.946535082644033</v>
      </c>
      <c r="DH68" s="23">
        <f>EXP(-LN(2)/2)*DH67+(1-EXP(-LN(2)/2))/(LN(2)/2)*DB68*DE68*VLOOKUP('Données projet'!$B$13,Paramètres!$A$1:$I$89,3,0)*0.475*44/12</f>
        <v>0.788849447300349</v>
      </c>
      <c r="DI68" s="24">
        <f t="shared" ref="DI68:DI131" si="69">SUM(DF68:DH68)</f>
        <v>65.156308833506358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195</v>
      </c>
      <c r="DM68" s="13">
        <f>VLOOKUP(A68,'Données projet'!$A$165:$I$185,9,0)</f>
        <v>4.4000000000000004</v>
      </c>
      <c r="DN68" s="13">
        <f t="array" ref="DN68">INDEX(DM:DM,MIN(IF(ISNUMBER(DM68:DM264),ROW(DM68:DM264),"")))</f>
        <v>4.4000000000000004</v>
      </c>
      <c r="DO68" s="13">
        <f>IF('Données projet'!$A$166&gt;35,DO67+DN68-DW67,IF(A68&lt;'Données projet'!$A$166,$DL$205^A68,IF(A68='Données projet'!$A$166,'Données projet'!$B$166,DO67+DN68-DW67)))</f>
        <v>195</v>
      </c>
      <c r="DP68" s="18">
        <f>DO68*VLOOKUP('Données projet'!$B$14,Paramètres!$A$1:$I$89,3,0)*VLOOKUP('Données projet'!$B$14,Paramètres!$A$1:$I$89,5,0)</f>
        <v>170.35200000000003</v>
      </c>
      <c r="DQ68" s="14">
        <f t="shared" si="43"/>
        <v>43.168850382694487</v>
      </c>
      <c r="DR68" s="22">
        <f t="shared" ref="DR68:DR131" si="70">(DP68+DQ68)*0.475*44/12</f>
        <v>371.88214774985954</v>
      </c>
      <c r="DS68" s="62">
        <f t="shared" ref="DS68:DS131" si="71">DR68+(DJ68+DK68)*44/12</f>
        <v>665.2154810831928</v>
      </c>
      <c r="DT68" s="62">
        <f ca="1">AVERAGE(OFFSET($DS$3,0,0,'Données projet'!$E$14+1,1))-AVERAGE(OFFSET($H$3,0,0,'Données projet'!$E$14+1,1))</f>
        <v>300.63505444445104</v>
      </c>
      <c r="DU68" s="62">
        <f t="shared" si="44"/>
        <v>266.32508105927997</v>
      </c>
      <c r="DV68" s="16">
        <f>IF(ISNA(VLOOKUP(A68,'Données projet'!$A$165:$I$185,3,0)),0,VLOOKUP(A68,'Données projet'!$A$165:$I$185,3,0))</f>
        <v>12</v>
      </c>
      <c r="DW68" s="16">
        <f>IF(ISNA(VLOOKUP(A68,'Données projet'!$A$165:$I$185,4,0)),0,VLOOKUP(A68,'Données projet'!$A$165:$I$185,4,0))</f>
        <v>15</v>
      </c>
      <c r="DX68" s="17">
        <f>IF(ISNA(VLOOKUP(A68,'Données projet'!$A$165:$I$185,5,0)),0%,VLOOKUP(A68,'Données projet'!$A$165:$I$185,5,0)*VLOOKUP('Données projet'!$B$14,Paramètres!$A$1:$I$89,7,0))</f>
        <v>0.215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15.520500747499939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15.520500747499939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306</v>
      </c>
      <c r="EH68" s="13">
        <f>VLOOKUP(A68,'Données projet'!$A$191:$I$211,9,0)</f>
        <v>5.2</v>
      </c>
      <c r="EI68" s="13">
        <f t="array" ref="EI68">INDEX(EH:EH,MIN(IF(ISNUMBER(EH68:EH264),ROW(EH68:EH264),"")))</f>
        <v>5.2</v>
      </c>
      <c r="EJ68" s="13">
        <f>IF('Données projet'!$A$192&gt;35,EJ67+EI68-ER67,IF(A68&lt;'Données projet'!$A$192,$EG$205^A68,IF(A68='Données projet'!$A$192,'Données projet'!$B$192,EJ67+EI68-ER67)))</f>
        <v>305.99999999999983</v>
      </c>
      <c r="EK68" s="18">
        <f>EJ68*VLOOKUP('Données projet'!$B$15,Paramètres!$A$1:$I$89,3,0)*VLOOKUP('Données projet'!$B$15,Paramètres!$A$1:$I$89,5,0)</f>
        <v>243.45359999999988</v>
      </c>
      <c r="EL68" s="14">
        <f t="shared" si="45"/>
        <v>59.181970343065267</v>
      </c>
      <c r="EM68" s="22">
        <f t="shared" ref="EM68:EM131" si="73">(EK68+EL68)*0.475*44/12</f>
        <v>527.09028501417163</v>
      </c>
      <c r="EN68" s="62">
        <f t="shared" ref="EN68:EN131" si="74">EM68+(EE68+EF68)*44/12</f>
        <v>820.423618347505</v>
      </c>
      <c r="EO68" s="62">
        <f ca="1">AVERAGE(OFFSET($EN$3,0,0,'Données projet'!$E$15+1,1))-AVERAGE(OFFSET($H$3,0,0,'Données projet'!$E$15+1,1))</f>
        <v>353.37024194969638</v>
      </c>
      <c r="EP68" s="62">
        <f t="shared" si="46"/>
        <v>345.4750813433123</v>
      </c>
      <c r="EQ68" s="16">
        <f>IF(ISNA(VLOOKUP(A68,'Données projet'!$A$191:$I$211,3,0)),0,VLOOKUP(A68,'Données projet'!$A$191:$I$211,3,0))</f>
        <v>12</v>
      </c>
      <c r="ER68" s="16">
        <f>IF(ISNA(VLOOKUP(A68,'Données projet'!$A$191:$I$211,4,0)),0,VLOOKUP(A68,'Données projet'!$A$191:$I$211,4,0))</f>
        <v>13</v>
      </c>
      <c r="ES68" s="17">
        <f>IF(ISNA(VLOOKUP(A68,'Données projet'!$A$191:$I$211,5,0)),0%,VLOOKUP(A68,'Données projet'!$A$191:$I$211,5,0)*VLOOKUP('Données projet'!$B$15,Paramètres!$A$1:$I$89,7,0))</f>
        <v>0.371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33.204520331777594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33.204520331777594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233</v>
      </c>
      <c r="FC68" s="13">
        <f>VLOOKUP(A68,'Données projet'!$A$217:$I$237,9,0)</f>
        <v>5.2</v>
      </c>
      <c r="FD68" s="13">
        <f t="array" ref="FD68">INDEX(FC:FC,MIN(IF(ISNUMBER(FC68:FC264),ROW(FC68:FC264),"")))</f>
        <v>5.2</v>
      </c>
      <c r="FE68" s="13">
        <f>IF('Données projet'!$A$218&gt;35,FE67+FD68-FM67,IF(A68&lt;'Données projet'!$A$218,$FB$205^A68,IF(A68='Données projet'!$A$218,'Données projet'!$B$218,FE67+FD68-FM67)))</f>
        <v>233.00000000000009</v>
      </c>
      <c r="FF68" s="18">
        <f>FE68*VLOOKUP('Données projet'!$B$16,Paramètres!$A$1:$I$89,3,0)*VLOOKUP('Données projet'!$B$16,Paramètres!$A$1:$I$89,5,0)</f>
        <v>152.66160000000005</v>
      </c>
      <c r="FG68" s="14">
        <f t="shared" si="47"/>
        <v>39.182823220412118</v>
      </c>
      <c r="FH68" s="22">
        <f t="shared" ref="FH68:FH131" si="76">(FF68+FG68)*0.475*44/12</f>
        <v>334.12903710888457</v>
      </c>
      <c r="FI68" s="62">
        <f t="shared" ref="FI68:FI131" si="77">FH68+(EZ68+FA68)*44/12</f>
        <v>627.46237044221789</v>
      </c>
      <c r="FJ68" s="62">
        <f ca="1">AVERAGE(OFFSET($FI$3,0,0,'Données projet'!$E$16+1,1))-AVERAGE(OFFSET($H$3,0,0,'Données projet'!$E$16+1,1))</f>
        <v>263.30962868541337</v>
      </c>
      <c r="FK68" s="62">
        <f t="shared" si="48"/>
        <v>269.61868559913404</v>
      </c>
      <c r="FL68" s="16">
        <f>IF(ISNA(VLOOKUP(A68,'Données projet'!$A$217:$I$237,3,0)),0,VLOOKUP(A68,'Données projet'!$A$217:$I$237,3,0))</f>
        <v>12</v>
      </c>
      <c r="FM68" s="16">
        <f>IF(ISNA(VLOOKUP(A68,'Données projet'!$A$217:$I$237,4,0)),0,VLOOKUP(A68,'Données projet'!$A$217:$I$237,4,0))</f>
        <v>20</v>
      </c>
      <c r="FN68" s="17">
        <f>IF(ISNA(VLOOKUP(A68,'Données projet'!$A$217:$I$237,5,0)),0%,VLOOKUP(A68,'Données projet'!$A$217:$I$237,5,0)*VLOOKUP('Données projet'!$B$16,Paramètres!$A$1:$I$89,7,0))</f>
        <v>0.215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15.361211080277629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15.361211080277629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6.7866666666666671</v>
      </c>
      <c r="N69" s="14">
        <f>IF('Données projet'!$A$36&gt;35,N68+M69-V68,IF(A69&lt;'Données projet'!$A$36,$K$205^A69,IF(A69='Données projet'!$A$36,'Données projet'!$B$36,N68+M69-V68)))</f>
        <v>211.63999999999993</v>
      </c>
      <c r="O69" s="14">
        <f>N69*VLOOKUP('Données projet'!$B$9,Paramètres!$A$1:$I$89,3,0)*VLOOKUP('Données projet'!$B$9,Paramètres!$A$1:$I$89,5,0)</f>
        <v>126.56071999999996</v>
      </c>
      <c r="P69" s="14">
        <f t="shared" ref="P69:P132" si="87">EXP(-1.0587+0.8836*LN(O69)+0.284)</f>
        <v>33.200406829192687</v>
      </c>
      <c r="Q69" s="22">
        <f t="shared" si="54"/>
        <v>278.2506292275105</v>
      </c>
      <c r="R69" s="62">
        <f t="shared" si="55"/>
        <v>571.58396256084382</v>
      </c>
      <c r="S69" s="62">
        <f ca="1">AVERAGE(OFFSET($R$3,0,0,'Données projet'!$E$9+1,1))-AVERAGE(OFFSET($H$3,0,0,'Données projet'!$E$9+1,1))</f>
        <v>262.06511368698341</v>
      </c>
      <c r="T69" s="62">
        <f t="shared" ref="T69:T132" si="88">$T$3</f>
        <v>217.15709240080542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20.605126256073515</v>
      </c>
      <c r="AA69" s="23">
        <f>EXP(-LN(2)/25)*AA68+(1-EXP(-LN(2)/25))/(LN(2)/25)*Calculateur!V69*Calculateur!X69*VLOOKUP('Données projet'!$B$9,Paramètres!$A$1:$I$89,3,0)*0.475*44/12</f>
        <v>9.7456391834866007</v>
      </c>
      <c r="AB69" s="23">
        <f>EXP(-LN(2)/2)*AB68+(1-EXP(-LN(2)/2))/(LN(2)/2)*V69*Y69*VLOOKUP('Données projet'!$B$9,Paramètres!$A$1:$I$89,3,0)*0.475*44/12</f>
        <v>1.101133079075117</v>
      </c>
      <c r="AC69" s="24">
        <f t="shared" si="57"/>
        <v>31.451898518635232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11.169166666666664</v>
      </c>
      <c r="AI69" s="14">
        <f>IF('Données projet'!$A$62&gt;35,AI68+AH69-AQ68,IF(A69&lt;'Données projet'!$A$62,$AF$205^A69,IF(A69='Données projet'!$A$62,'Données projet'!$B$62,AI68+AH69-AQ68)))</f>
        <v>288.9375</v>
      </c>
      <c r="AJ69" s="14">
        <f>AI69*VLOOKUP('Données projet'!$B$10,Paramètres!$A$1:$I$89,3,0)*VLOOKUP('Données projet'!$B$10,Paramètres!$A$1:$I$89,5,0)</f>
        <v>135.22274999999999</v>
      </c>
      <c r="AK69" s="14">
        <f t="shared" ref="AK69:AK132" si="89">EXP(-1.0587+0.8836*LN(AJ69)+0.284)</f>
        <v>35.200403047414646</v>
      </c>
      <c r="AL69" s="22">
        <f t="shared" si="58"/>
        <v>296.82032489091381</v>
      </c>
      <c r="AM69" s="62">
        <f t="shared" si="59"/>
        <v>590.15365822424712</v>
      </c>
      <c r="AN69" s="62">
        <f ca="1">AVERAGE(OFFSET($AM$3,0,0,'Données projet'!$E$10+1,1))-AVERAGE(OFFSET($H$3,0,0,'Données projet'!$E$10+1,1))</f>
        <v>287.83167869616227</v>
      </c>
      <c r="AO69" s="62">
        <f t="shared" ref="AO69:AO132" si="90">$AO$3</f>
        <v>233.84231920589906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28.460481464096663</v>
      </c>
      <c r="AV69" s="23">
        <f>EXP(-LN(2)/25)*AV68+(1-EXP(-LN(2)/25))/(LN(2)/25)*Calculateur!AQ69*Calculateur!AS69*VLOOKUP('Données projet'!$B$10,Paramètres!$A$1:$I$89,3,0)*0.475*44/12</f>
        <v>17.602502097182374</v>
      </c>
      <c r="AW69" s="23">
        <f>EXP(-LN(2)/2)*AW68+(1-EXP(-LN(2)/2))/(LN(2)/2)*AQ69*AT69*VLOOKUP('Données projet'!$B$10,Paramètres!$A$1:$I$89,3,0)*0.475*44/12</f>
        <v>4.7692474792805255</v>
      </c>
      <c r="AX69" s="23">
        <f t="shared" si="60"/>
        <v>50.832231040559563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-1.7053025658242404E-13</v>
      </c>
      <c r="BE69" s="14">
        <f>BD69*VLOOKUP('Données projet'!$B$11,Paramètres!$A$1:$I$89,3,0)*VLOOKUP('Données projet'!$B$11,Paramètres!$A$1:$I$89,5,0)</f>
        <v>-1.064108801074326E-13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262.36903350767881</v>
      </c>
      <c r="BJ69" s="62">
        <f t="shared" ref="BJ69:BJ132" si="92">$BJ$3</f>
        <v>331.21009482262417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152.58985289014939</v>
      </c>
      <c r="BQ69" s="23">
        <f>EXP(-LN(2)/25)*BQ68+(1-EXP(-LN(2)/25))/(LN(2)/25)*Calculateur!BL69*Calculateur!BN69*VLOOKUP('Données projet'!$B$11,Paramètres!$A$1:$I$89,3,0)*0.475*44/12</f>
        <v>34.091011333879635</v>
      </c>
      <c r="BR69" s="23">
        <f>EXP(-LN(2)/2)*BR68+(1-EXP(-LN(2)/2))/(LN(2)/2)*BL69*BO69*VLOOKUP('Données projet'!$B$11,Paramètres!$A$1:$I$89,3,0)*0.475*44/12</f>
        <v>2.4900273210415658</v>
      </c>
      <c r="BS69" s="24">
        <f t="shared" si="63"/>
        <v>189.17089154507059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264.95999999999998</v>
      </c>
      <c r="BW69" s="13">
        <f>VLOOKUP(A69,'Données projet'!$A$113:$I$133,9,0)</f>
        <v>9.2524999999999977</v>
      </c>
      <c r="BX69" s="13">
        <f t="array" ref="BX69">INDEX(BW:BW,MIN(IF(ISNUMBER(BW69:BW265),ROW(BW69:BW265),"")))</f>
        <v>9.2524999999999977</v>
      </c>
      <c r="BY69" s="13">
        <f>IF('Données projet'!$A$114&gt;35,BY68+BX69-CG68,IF(A69&lt;'Données projet'!$A$114,$BV$205^A69,IF(A69='Données projet'!$A$114,'Données projet'!$B$114,BY68+BX69-CG68)))</f>
        <v>264.96000000000015</v>
      </c>
      <c r="BZ69" s="14">
        <f>BY69*VLOOKUP('Données projet'!$B$12,Paramètres!$A$1:$I$89,3,0)*VLOOKUP('Données projet'!$B$12,Paramètres!$A$1:$I$89,5,0)</f>
        <v>256.26931200000018</v>
      </c>
      <c r="CA69" s="14">
        <f t="shared" ref="CA69:CA132" si="93">EXP(-1.0587+0.8836*LN(BZ69)+0.284)</f>
        <v>61.926478363546003</v>
      </c>
      <c r="CB69" s="22">
        <f t="shared" si="64"/>
        <v>554.19100154984289</v>
      </c>
      <c r="CC69" s="62">
        <f t="shared" si="65"/>
        <v>847.52433488317615</v>
      </c>
      <c r="CD69" s="62">
        <f ca="1">AVERAGE(OFFSET($CC$3,0,0,'Données projet'!$E$12+1,1))-AVERAGE(OFFSET($H$3,0,0,'Données projet'!$E$12+1,1))</f>
        <v>618.83149423524605</v>
      </c>
      <c r="CE69" s="62">
        <f t="shared" ref="CE69:CE132" si="94">$CE$3</f>
        <v>285.33582535802435</v>
      </c>
      <c r="CF69" s="16">
        <f>IF(ISNA(VLOOKUP(A69,'Données projet'!$A$113:$I$133,3,0)),0,VLOOKUP(A69,'Données projet'!$A$113:$I$133,3,0))</f>
        <v>4</v>
      </c>
      <c r="CG69" s="16">
        <f>IF(ISNA(VLOOKUP(A69,'Données projet'!$A$113:$I$133,4,0)),0,VLOOKUP(A69,'Données projet'!$A$113:$I$133,4,0))</f>
        <v>49.91</v>
      </c>
      <c r="CH69" s="17">
        <f>IF(ISNA(VLOOKUP(A69,'Données projet'!$A$113:$I$133,5,0)),0%,VLOOKUP(A69,'Données projet'!$A$113:$I$133,5,0)*VLOOKUP('Données projet'!$B$12,Paramètres!$A$1:$I$89,7,0))</f>
        <v>0.129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15.263398470582075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15.263398470582075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11.896999999999997</v>
      </c>
      <c r="CT69" s="13">
        <f>IF('Données projet'!$A$140&gt;35,CT68+CS69-DB68,IF(A69&lt;'Données projet'!$A$140,$CQ$205^A69,IF(A69='Données projet'!$A$140,'Données projet'!$B$140,CT68+CS69-DB68)))</f>
        <v>442.47200000000015</v>
      </c>
      <c r="CU69" s="18">
        <f>CT69*VLOOKUP('Données projet'!$B$13,Paramètres!$A$1:$I$89,3,0)*VLOOKUP('Données projet'!$B$13,Paramètres!$A$1:$I$89,5,0)</f>
        <v>264.59825600000011</v>
      </c>
      <c r="CV69" s="14">
        <f t="shared" ref="CV69:CV132" si="95">EXP(-1.0587+0.8836*LN(CU69)+0.284)</f>
        <v>63.701538011039567</v>
      </c>
      <c r="CW69" s="22">
        <f t="shared" si="67"/>
        <v>571.78880790256073</v>
      </c>
      <c r="CX69" s="62">
        <f t="shared" si="68"/>
        <v>865.12214123589411</v>
      </c>
      <c r="CY69" s="62">
        <f ca="1">AVERAGE(OFFSET($CX$3,0,0,'Données projet'!$E$13+1,1))-AVERAGE(OFFSET($H$3,0,0,'Données projet'!$E$13+1,1))</f>
        <v>349.5718186624772</v>
      </c>
      <c r="CZ69" s="62">
        <f t="shared" ref="CZ69:CZ132" si="96">$CZ$3</f>
        <v>258.14152930815959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49.432200731696277</v>
      </c>
      <c r="DG69" s="23">
        <f>EXP(-LN(2)/25)*DG68+(1-EXP(-LN(2)/25))/(LN(2)/25)*Calculateur!DB69*Calculateur!DD69*VLOOKUP('Données projet'!$B$13,Paramètres!$A$1:$I$89,3,0)*0.475*44/12</f>
        <v>13.565166347392728</v>
      </c>
      <c r="DH69" s="23">
        <f>EXP(-LN(2)/2)*DH68+(1-EXP(-LN(2)/2))/(LN(2)/2)*DB69*DE69*VLOOKUP('Données projet'!$B$13,Paramètres!$A$1:$I$89,3,0)*0.475*44/12</f>
        <v>0.55780079352133682</v>
      </c>
      <c r="DI69" s="24">
        <f t="shared" si="69"/>
        <v>63.55516787261034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4.2</v>
      </c>
      <c r="DO69" s="13">
        <f>IF('Données projet'!$A$166&gt;35,DO68+DN69-DW68,IF(A69&lt;'Données projet'!$A$166,$DL$205^A69,IF(A69='Données projet'!$A$166,'Données projet'!$B$166,DO68+DN69-DW68)))</f>
        <v>184.2</v>
      </c>
      <c r="DP69" s="18">
        <f>DO69*VLOOKUP('Données projet'!$B$14,Paramètres!$A$1:$I$89,3,0)*VLOOKUP('Données projet'!$B$14,Paramètres!$A$1:$I$89,5,0)</f>
        <v>160.91712000000001</v>
      </c>
      <c r="DQ69" s="14">
        <f t="shared" ref="DQ69:DQ132" si="97">EXP(-1.0587+0.8836*LN(DP69)+0.284)</f>
        <v>41.049305520788089</v>
      </c>
      <c r="DR69" s="22">
        <f t="shared" si="70"/>
        <v>351.75819111537254</v>
      </c>
      <c r="DS69" s="62">
        <f t="shared" si="71"/>
        <v>645.09152444870585</v>
      </c>
      <c r="DT69" s="62">
        <f ca="1">AVERAGE(OFFSET($DS$3,0,0,'Données projet'!$E$14+1,1))-AVERAGE(OFFSET($H$3,0,0,'Données projet'!$E$14+1,1))</f>
        <v>300.63505444445104</v>
      </c>
      <c r="DU69" s="62">
        <f t="shared" ref="DU69:DU132" si="98">$DU$3</f>
        <v>266.32508105927997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15.216153194412176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15.216153194412176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4.5999999999999996</v>
      </c>
      <c r="EJ69" s="13">
        <f>IF('Données projet'!$A$192&gt;35,EJ68+EI69-ER68,IF(A69&lt;'Données projet'!$A$192,$EG$205^A69,IF(A69='Données projet'!$A$192,'Données projet'!$B$192,EJ68+EI69-ER68)))</f>
        <v>297.59999999999985</v>
      </c>
      <c r="EK69" s="18">
        <f>EJ69*VLOOKUP('Données projet'!$B$15,Paramètres!$A$1:$I$89,3,0)*VLOOKUP('Données projet'!$B$15,Paramètres!$A$1:$I$89,5,0)</f>
        <v>236.7705599999999</v>
      </c>
      <c r="EL69" s="14">
        <f t="shared" ref="EL69:EL132" si="99">EXP(-1.0587+0.8836*LN(EK69)+0.284)</f>
        <v>57.744153841586879</v>
      </c>
      <c r="EM69" s="22">
        <f t="shared" si="73"/>
        <v>512.9464599407637</v>
      </c>
      <c r="EN69" s="62">
        <f t="shared" si="74"/>
        <v>806.27979327409707</v>
      </c>
      <c r="EO69" s="62">
        <f ca="1">AVERAGE(OFFSET($EN$3,0,0,'Données projet'!$E$15+1,1))-AVERAGE(OFFSET($H$3,0,0,'Données projet'!$E$15+1,1))</f>
        <v>353.37024194969638</v>
      </c>
      <c r="EP69" s="62">
        <f t="shared" ref="EP69:EP132" si="100">$EP$3</f>
        <v>345.4750813433123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32.553399940829046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32.553399940829046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4.8</v>
      </c>
      <c r="FE69" s="13">
        <f>IF('Données projet'!$A$218&gt;35,FE68+FD69-FM68,IF(A69&lt;'Données projet'!$A$218,$FB$205^A69,IF(A69='Données projet'!$A$218,'Données projet'!$B$218,FE68+FD69-FM68)))</f>
        <v>217.8000000000001</v>
      </c>
      <c r="FF69" s="18">
        <f>FE69*VLOOKUP('Données projet'!$B$16,Paramètres!$A$1:$I$89,3,0)*VLOOKUP('Données projet'!$B$16,Paramètres!$A$1:$I$89,5,0)</f>
        <v>142.70256000000006</v>
      </c>
      <c r="FG69" s="14">
        <f t="shared" ref="FG69:FG132" si="101">EXP(-1.0587+0.8836*LN(FF69)+0.284)</f>
        <v>36.91543341153259</v>
      </c>
      <c r="FH69" s="22">
        <f t="shared" si="76"/>
        <v>312.83467185841943</v>
      </c>
      <c r="FI69" s="62">
        <f t="shared" si="77"/>
        <v>606.16800519175274</v>
      </c>
      <c r="FJ69" s="62">
        <f ca="1">AVERAGE(OFFSET($FI$3,0,0,'Données projet'!$E$16+1,1))-AVERAGE(OFFSET($H$3,0,0,'Données projet'!$E$16+1,1))</f>
        <v>263.30962868541337</v>
      </c>
      <c r="FK69" s="62">
        <f t="shared" ref="FK69:FK132" si="102">$FK$3</f>
        <v>269.61868559913404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15.059987100406991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15.059987100406991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6.7866666666666671</v>
      </c>
      <c r="N70" s="14">
        <f>IF('Données projet'!$A$36&gt;35,N69+M70-V69,IF(A70&lt;'Données projet'!$A$36,$K$205^A70,IF(A70='Données projet'!$A$36,'Données projet'!$B$36,N69+M70-V69)))</f>
        <v>218.42666666666659</v>
      </c>
      <c r="O70" s="14">
        <f>N70*VLOOKUP('Données projet'!$B$9,Paramètres!$A$1:$I$89,3,0)*VLOOKUP('Données projet'!$B$9,Paramètres!$A$1:$I$89,5,0)</f>
        <v>130.61914666666664</v>
      </c>
      <c r="P70" s="14">
        <f t="shared" si="87"/>
        <v>34.139386362296193</v>
      </c>
      <c r="Q70" s="22">
        <f t="shared" si="54"/>
        <v>286.95444502544359</v>
      </c>
      <c r="R70" s="62">
        <f t="shared" si="55"/>
        <v>580.2877783587769</v>
      </c>
      <c r="S70" s="62">
        <f ca="1">AVERAGE(OFFSET($R$3,0,0,'Données projet'!$E$9+1,1))-AVERAGE(OFFSET($H$3,0,0,'Données projet'!$E$9+1,1))</f>
        <v>262.06511368698341</v>
      </c>
      <c r="T70" s="62">
        <f t="shared" si="88"/>
        <v>217.15709240080542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20.201072298077953</v>
      </c>
      <c r="AA70" s="23">
        <f>EXP(-LN(2)/25)*AA69+(1-EXP(-LN(2)/25))/(LN(2)/25)*Calculateur!V70*Calculateur!X70*VLOOKUP('Données projet'!$B$9,Paramètres!$A$1:$I$89,3,0)*0.475*44/12</f>
        <v>9.4791441675132688</v>
      </c>
      <c r="AB70" s="23">
        <f>EXP(-LN(2)/2)*AB69+(1-EXP(-LN(2)/2))/(LN(2)/2)*V70*Y70*VLOOKUP('Données projet'!$B$9,Paramètres!$A$1:$I$89,3,0)*0.475*44/12</f>
        <v>0.77861866720283812</v>
      </c>
      <c r="AC70" s="24">
        <f t="shared" si="57"/>
        <v>30.458835132794061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11.169166666666664</v>
      </c>
      <c r="AI70" s="14">
        <f>IF('Données projet'!$A$62&gt;35,AI69+AH70-AQ69,IF(A70&lt;'Données projet'!$A$62,$AF$205^A70,IF(A70='Données projet'!$A$62,'Données projet'!$B$62,AI69+AH70-AQ69)))</f>
        <v>300.10666666666668</v>
      </c>
      <c r="AJ70" s="14">
        <f>AI70*VLOOKUP('Données projet'!$B$10,Paramètres!$A$1:$I$89,3,0)*VLOOKUP('Données projet'!$B$10,Paramètres!$A$1:$I$89,5,0)</f>
        <v>140.44991999999999</v>
      </c>
      <c r="AK70" s="14">
        <f t="shared" si="89"/>
        <v>36.400056593949301</v>
      </c>
      <c r="AL70" s="22">
        <f t="shared" si="58"/>
        <v>308.01370923446171</v>
      </c>
      <c r="AM70" s="62">
        <f t="shared" si="59"/>
        <v>601.34704256779503</v>
      </c>
      <c r="AN70" s="62">
        <f ca="1">AVERAGE(OFFSET($AM$3,0,0,'Données projet'!$E$10+1,1))-AVERAGE(OFFSET($H$3,0,0,'Données projet'!$E$10+1,1))</f>
        <v>287.83167869616227</v>
      </c>
      <c r="AO70" s="62">
        <f t="shared" si="90"/>
        <v>233.84231920589906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27.902388781765342</v>
      </c>
      <c r="AV70" s="23">
        <f>EXP(-LN(2)/25)*AV69+(1-EXP(-LN(2)/25))/(LN(2)/25)*Calculateur!AQ70*Calculateur!AS70*VLOOKUP('Données projet'!$B$10,Paramètres!$A$1:$I$89,3,0)*0.475*44/12</f>
        <v>17.121160751659566</v>
      </c>
      <c r="AW70" s="23">
        <f>EXP(-LN(2)/2)*AW69+(1-EXP(-LN(2)/2))/(LN(2)/2)*AQ70*AT70*VLOOKUP('Données projet'!$B$10,Paramètres!$A$1:$I$89,3,0)*0.475*44/12</f>
        <v>3.3723672337561079</v>
      </c>
      <c r="AX70" s="23">
        <f t="shared" si="60"/>
        <v>48.395916767181021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-1.7053025658242404E-13</v>
      </c>
      <c r="BE70" s="14">
        <f>BD70*VLOOKUP('Données projet'!$B$11,Paramètres!$A$1:$I$89,3,0)*VLOOKUP('Données projet'!$B$11,Paramètres!$A$1:$I$89,5,0)</f>
        <v>-1.064108801074326E-13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262.36903350767881</v>
      </c>
      <c r="BJ70" s="62">
        <f t="shared" si="92"/>
        <v>331.21009482262417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149.59765894559385</v>
      </c>
      <c r="BQ70" s="23">
        <f>EXP(-LN(2)/25)*BQ69+(1-EXP(-LN(2)/25))/(LN(2)/25)*Calculateur!BL70*Calculateur!BN70*VLOOKUP('Données projet'!$B$11,Paramètres!$A$1:$I$89,3,0)*0.475*44/12</f>
        <v>33.158790836186327</v>
      </c>
      <c r="BR70" s="23">
        <f>EXP(-LN(2)/2)*BR69+(1-EXP(-LN(2)/2))/(LN(2)/2)*BL70*BO70*VLOOKUP('Données projet'!$B$11,Paramètres!$A$1:$I$89,3,0)*0.475*44/12</f>
        <v>1.7607152040482636</v>
      </c>
      <c r="BS70" s="24">
        <f t="shared" si="63"/>
        <v>184.51716498582846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8.8662500000000044</v>
      </c>
      <c r="BY70" s="13">
        <f>IF('Données projet'!$A$114&gt;35,BY69+BX70-CG69,IF(A70&lt;'Données projet'!$A$114,$BV$205^A70,IF(A70='Données projet'!$A$114,'Données projet'!$B$114,BY69+BX70-CG69)))</f>
        <v>223.91625000000013</v>
      </c>
      <c r="BZ70" s="14">
        <f>BY70*VLOOKUP('Données projet'!$B$12,Paramètres!$A$1:$I$89,3,0)*VLOOKUP('Données projet'!$B$12,Paramètres!$A$1:$I$89,5,0)</f>
        <v>216.57179700000012</v>
      </c>
      <c r="CA70" s="14">
        <f t="shared" si="93"/>
        <v>53.369103039994094</v>
      </c>
      <c r="CB70" s="22">
        <f t="shared" si="64"/>
        <v>470.14706756965666</v>
      </c>
      <c r="CC70" s="62">
        <f t="shared" si="65"/>
        <v>763.48040090298991</v>
      </c>
      <c r="CD70" s="62">
        <f ca="1">AVERAGE(OFFSET($CC$3,0,0,'Données projet'!$E$12+1,1))-AVERAGE(OFFSET($H$3,0,0,'Données projet'!$E$12+1,1))</f>
        <v>618.83149423524605</v>
      </c>
      <c r="CE70" s="62">
        <f t="shared" si="94"/>
        <v>285.33582535802435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14.964092536327765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14.964092536327765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11.896999999999997</v>
      </c>
      <c r="CT70" s="13">
        <f>IF('Données projet'!$A$140&gt;35,CT69+CS70-DB69,IF(A70&lt;'Données projet'!$A$140,$CQ$205^A70,IF(A70='Données projet'!$A$140,'Données projet'!$B$140,CT69+CS70-DB69)))</f>
        <v>454.36900000000014</v>
      </c>
      <c r="CU70" s="18">
        <f>CT70*VLOOKUP('Données projet'!$B$13,Paramètres!$A$1:$I$89,3,0)*VLOOKUP('Données projet'!$B$13,Paramètres!$A$1:$I$89,5,0)</f>
        <v>271.71266200000014</v>
      </c>
      <c r="CV70" s="14">
        <f t="shared" si="95"/>
        <v>65.212605520968935</v>
      </c>
      <c r="CW70" s="22">
        <f t="shared" si="67"/>
        <v>586.81150759902118</v>
      </c>
      <c r="CX70" s="62">
        <f t="shared" si="68"/>
        <v>880.14484093235455</v>
      </c>
      <c r="CY70" s="62">
        <f ca="1">AVERAGE(OFFSET($CX$3,0,0,'Données projet'!$E$13+1,1))-AVERAGE(OFFSET($H$3,0,0,'Données projet'!$E$13+1,1))</f>
        <v>349.5718186624772</v>
      </c>
      <c r="CZ70" s="62">
        <f t="shared" si="96"/>
        <v>258.14152930815959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48.462865426013025</v>
      </c>
      <c r="DG70" s="23">
        <f>EXP(-LN(2)/25)*DG69+(1-EXP(-LN(2)/25))/(LN(2)/25)*Calculateur!DB70*Calculateur!DD70*VLOOKUP('Données projet'!$B$13,Paramètres!$A$1:$I$89,3,0)*0.475*44/12</f>
        <v>13.194226160262179</v>
      </c>
      <c r="DH70" s="23">
        <f>EXP(-LN(2)/2)*DH69+(1-EXP(-LN(2)/2))/(LN(2)/2)*DB70*DE70*VLOOKUP('Données projet'!$B$13,Paramètres!$A$1:$I$89,3,0)*0.475*44/12</f>
        <v>0.3944247236501745</v>
      </c>
      <c r="DI70" s="24">
        <f t="shared" si="69"/>
        <v>62.051516309925375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4.2</v>
      </c>
      <c r="DO70" s="13">
        <f>IF('Données projet'!$A$166&gt;35,DO69+DN70-DW69,IF(A70&lt;'Données projet'!$A$166,$DL$205^A70,IF(A70='Données projet'!$A$166,'Données projet'!$B$166,DO69+DN70-DW69)))</f>
        <v>188.39999999999998</v>
      </c>
      <c r="DP70" s="18">
        <f>DO70*VLOOKUP('Données projet'!$B$14,Paramètres!$A$1:$I$89,3,0)*VLOOKUP('Données projet'!$B$14,Paramètres!$A$1:$I$89,5,0)</f>
        <v>164.58624</v>
      </c>
      <c r="DQ70" s="14">
        <f t="shared" si="97"/>
        <v>41.875247075991886</v>
      </c>
      <c r="DR70" s="22">
        <f t="shared" si="70"/>
        <v>359.58708999068585</v>
      </c>
      <c r="DS70" s="62">
        <f t="shared" si="71"/>
        <v>652.92042332401911</v>
      </c>
      <c r="DT70" s="62">
        <f ca="1">AVERAGE(OFFSET($DS$3,0,0,'Données projet'!$E$14+1,1))-AVERAGE(OFFSET($H$3,0,0,'Données projet'!$E$14+1,1))</f>
        <v>300.63505444445104</v>
      </c>
      <c r="DU70" s="62">
        <f t="shared" si="98"/>
        <v>266.32508105927997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14.917773711206785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14.917773711206785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4.5999999999999996</v>
      </c>
      <c r="EJ70" s="13">
        <f>IF('Données projet'!$A$192&gt;35,EJ69+EI70-ER69,IF(A70&lt;'Données projet'!$A$192,$EG$205^A70,IF(A70='Données projet'!$A$192,'Données projet'!$B$192,EJ69+EI70-ER69)))</f>
        <v>302.19999999999987</v>
      </c>
      <c r="EK70" s="18">
        <f>EJ70*VLOOKUP('Données projet'!$B$15,Paramètres!$A$1:$I$89,3,0)*VLOOKUP('Données projet'!$B$15,Paramètres!$A$1:$I$89,5,0)</f>
        <v>240.43031999999991</v>
      </c>
      <c r="EL70" s="14">
        <f t="shared" si="99"/>
        <v>58.532106271380506</v>
      </c>
      <c r="EM70" s="22">
        <f t="shared" si="73"/>
        <v>520.69289242265415</v>
      </c>
      <c r="EN70" s="62">
        <f t="shared" si="74"/>
        <v>814.02622575598753</v>
      </c>
      <c r="EO70" s="62">
        <f ca="1">AVERAGE(OFFSET($EN$3,0,0,'Données projet'!$E$15+1,1))-AVERAGE(OFFSET($H$3,0,0,'Données projet'!$E$15+1,1))</f>
        <v>353.37024194969638</v>
      </c>
      <c r="EP70" s="62">
        <f t="shared" si="100"/>
        <v>345.4750813433123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31.915047623602774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31.915047623602774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4.8</v>
      </c>
      <c r="FE70" s="13">
        <f>IF('Données projet'!$A$218&gt;35,FE69+FD70-FM69,IF(A70&lt;'Données projet'!$A$218,$FB$205^A70,IF(A70='Données projet'!$A$218,'Données projet'!$B$218,FE69+FD70-FM69)))</f>
        <v>222.60000000000011</v>
      </c>
      <c r="FF70" s="18">
        <f>FE70*VLOOKUP('Données projet'!$B$16,Paramètres!$A$1:$I$89,3,0)*VLOOKUP('Données projet'!$B$16,Paramètres!$A$1:$I$89,5,0)</f>
        <v>145.84752000000009</v>
      </c>
      <c r="FG70" s="14">
        <f t="shared" si="101"/>
        <v>37.633383344887093</v>
      </c>
      <c r="FH70" s="22">
        <f t="shared" si="76"/>
        <v>319.56257332567844</v>
      </c>
      <c r="FI70" s="62">
        <f t="shared" si="77"/>
        <v>612.89590665901176</v>
      </c>
      <c r="FJ70" s="62">
        <f ca="1">AVERAGE(OFFSET($FI$3,0,0,'Données projet'!$E$16+1,1))-AVERAGE(OFFSET($H$3,0,0,'Données projet'!$E$16+1,1))</f>
        <v>263.30962868541337</v>
      </c>
      <c r="FK70" s="62">
        <f t="shared" si="102"/>
        <v>269.61868559913404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14.76466993905313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14.76466993905313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6.7866666666666671</v>
      </c>
      <c r="N71" s="14">
        <f>IF('Données projet'!$A$36&gt;35,N70+M71-V70,IF(A71&lt;'Données projet'!$A$36,$K$205^A71,IF(A71='Données projet'!$A$36,'Données projet'!$B$36,N70+M71-V70)))</f>
        <v>225.21333333333325</v>
      </c>
      <c r="O71" s="14">
        <f>N71*VLOOKUP('Données projet'!$B$9,Paramètres!$A$1:$I$89,3,0)*VLOOKUP('Données projet'!$B$9,Paramètres!$A$1:$I$89,5,0)</f>
        <v>134.6775733333333</v>
      </c>
      <c r="P71" s="14">
        <f t="shared" si="87"/>
        <v>35.074975512906107</v>
      </c>
      <c r="Q71" s="22">
        <f t="shared" si="54"/>
        <v>295.65235590720027</v>
      </c>
      <c r="R71" s="62">
        <f t="shared" si="55"/>
        <v>588.98568924053359</v>
      </c>
      <c r="S71" s="62">
        <f ca="1">AVERAGE(OFFSET($R$3,0,0,'Données projet'!$E$9+1,1))-AVERAGE(OFFSET($H$3,0,0,'Données projet'!$E$9+1,1))</f>
        <v>262.06511368698341</v>
      </c>
      <c r="T71" s="62">
        <f t="shared" si="88"/>
        <v>217.15709240080542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19.804941591750104</v>
      </c>
      <c r="AA71" s="23">
        <f>EXP(-LN(2)/25)*AA70+(1-EXP(-LN(2)/25))/(LN(2)/25)*Calculateur!V71*Calculateur!X71*VLOOKUP('Données projet'!$B$9,Paramètres!$A$1:$I$89,3,0)*0.475*44/12</f>
        <v>9.2199364717660917</v>
      </c>
      <c r="AB71" s="23">
        <f>EXP(-LN(2)/2)*AB70+(1-EXP(-LN(2)/2))/(LN(2)/2)*V71*Y71*VLOOKUP('Données projet'!$B$9,Paramètres!$A$1:$I$89,3,0)*0.475*44/12</f>
        <v>0.55056653953755852</v>
      </c>
      <c r="AC71" s="24">
        <f t="shared" si="57"/>
        <v>29.575444603053757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11.169166666666664</v>
      </c>
      <c r="AI71" s="14">
        <f>IF('Données projet'!$A$62&gt;35,AI70+AH71-AQ70,IF(A71&lt;'Données projet'!$A$62,$AF$205^A71,IF(A71='Données projet'!$A$62,'Données projet'!$B$62,AI70+AH71-AQ70)))</f>
        <v>311.27583333333337</v>
      </c>
      <c r="AJ71" s="14">
        <f>AI71*VLOOKUP('Données projet'!$B$10,Paramètres!$A$1:$I$89,3,0)*VLOOKUP('Données projet'!$B$10,Paramètres!$A$1:$I$89,5,0)</f>
        <v>145.67709000000002</v>
      </c>
      <c r="AK71" s="14">
        <f t="shared" si="89"/>
        <v>37.594523101634472</v>
      </c>
      <c r="AL71" s="22">
        <f t="shared" si="58"/>
        <v>319.19805948534673</v>
      </c>
      <c r="AM71" s="62">
        <f t="shared" si="59"/>
        <v>612.53139281868005</v>
      </c>
      <c r="AN71" s="62">
        <f ca="1">AVERAGE(OFFSET($AM$3,0,0,'Données projet'!$E$10+1,1))-AVERAGE(OFFSET($H$3,0,0,'Données projet'!$E$10+1,1))</f>
        <v>287.83167869616227</v>
      </c>
      <c r="AO71" s="62">
        <f t="shared" si="90"/>
        <v>233.84231920589906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27.355239956531616</v>
      </c>
      <c r="AV71" s="23">
        <f>EXP(-LN(2)/25)*AV70+(1-EXP(-LN(2)/25))/(LN(2)/25)*Calculateur!AQ71*Calculateur!AS71*VLOOKUP('Données projet'!$B$10,Paramètres!$A$1:$I$89,3,0)*0.475*44/12</f>
        <v>16.652981710542722</v>
      </c>
      <c r="AW71" s="23">
        <f>EXP(-LN(2)/2)*AW70+(1-EXP(-LN(2)/2))/(LN(2)/2)*AQ71*AT71*VLOOKUP('Données projet'!$B$10,Paramètres!$A$1:$I$89,3,0)*0.475*44/12</f>
        <v>2.3846237396402628</v>
      </c>
      <c r="AX71" s="23">
        <f t="shared" si="60"/>
        <v>46.392845406714599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-1.7053025658242404E-13</v>
      </c>
      <c r="BE71" s="14">
        <f>BD71*VLOOKUP('Données projet'!$B$11,Paramètres!$A$1:$I$89,3,0)*VLOOKUP('Données projet'!$B$11,Paramètres!$A$1:$I$89,5,0)</f>
        <v>-1.064108801074326E-13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262.36903350767881</v>
      </c>
      <c r="BJ71" s="62">
        <f t="shared" si="92"/>
        <v>331.21009482262417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146.66414009923295</v>
      </c>
      <c r="BQ71" s="23">
        <f>EXP(-LN(2)/25)*BQ70+(1-EXP(-LN(2)/25))/(LN(2)/25)*Calculateur!BL71*Calculateur!BN71*VLOOKUP('Données projet'!$B$11,Paramètres!$A$1:$I$89,3,0)*0.475*44/12</f>
        <v>32.252061957025788</v>
      </c>
      <c r="BR71" s="23">
        <f>EXP(-LN(2)/2)*BR70+(1-EXP(-LN(2)/2))/(LN(2)/2)*BL71*BO71*VLOOKUP('Données projet'!$B$11,Paramètres!$A$1:$I$89,3,0)*0.475*44/12</f>
        <v>1.2450136605207831</v>
      </c>
      <c r="BS71" s="24">
        <f t="shared" si="63"/>
        <v>180.16121571677951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8.8662500000000044</v>
      </c>
      <c r="BY71" s="13">
        <f>IF('Données projet'!$A$114&gt;35,BY70+BX71-CG70,IF(A71&lt;'Données projet'!$A$114,$BV$205^A71,IF(A71='Données projet'!$A$114,'Données projet'!$B$114,BY70+BX71-CG70)))</f>
        <v>232.78250000000014</v>
      </c>
      <c r="BZ71" s="14">
        <f>BY71*VLOOKUP('Données projet'!$B$12,Paramètres!$A$1:$I$89,3,0)*VLOOKUP('Données projet'!$B$12,Paramètres!$A$1:$I$89,5,0)</f>
        <v>225.14723400000014</v>
      </c>
      <c r="CA71" s="14">
        <f t="shared" si="93"/>
        <v>55.232101356665147</v>
      </c>
      <c r="CB71" s="22">
        <f t="shared" si="64"/>
        <v>488.32734241285874</v>
      </c>
      <c r="CC71" s="62">
        <f t="shared" si="65"/>
        <v>781.66067574619206</v>
      </c>
      <c r="CD71" s="62">
        <f ca="1">AVERAGE(OFFSET($CC$3,0,0,'Données projet'!$E$12+1,1))-AVERAGE(OFFSET($H$3,0,0,'Données projet'!$E$12+1,1))</f>
        <v>618.83149423524605</v>
      </c>
      <c r="CE71" s="62">
        <f t="shared" si="94"/>
        <v>285.33582535802435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14.67065580888559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14.67065580888559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11.896999999999997</v>
      </c>
      <c r="CT71" s="13">
        <f>IF('Données projet'!$A$140&gt;35,CT70+CS71-DB70,IF(A71&lt;'Données projet'!$A$140,$CQ$205^A71,IF(A71='Données projet'!$A$140,'Données projet'!$B$140,CT70+CS71-DB70)))</f>
        <v>466.26600000000013</v>
      </c>
      <c r="CU71" s="18">
        <f>CT71*VLOOKUP('Données projet'!$B$13,Paramètres!$A$1:$I$89,3,0)*VLOOKUP('Données projet'!$B$13,Paramètres!$A$1:$I$89,5,0)</f>
        <v>278.82706800000011</v>
      </c>
      <c r="CV71" s="14">
        <f t="shared" si="95"/>
        <v>66.719074104976841</v>
      </c>
      <c r="CW71" s="22">
        <f t="shared" si="67"/>
        <v>601.82619749950163</v>
      </c>
      <c r="CX71" s="62">
        <f t="shared" si="68"/>
        <v>895.15953083283489</v>
      </c>
      <c r="CY71" s="62">
        <f ca="1">AVERAGE(OFFSET($CX$3,0,0,'Données projet'!$E$13+1,1))-AVERAGE(OFFSET($H$3,0,0,'Données projet'!$E$13+1,1))</f>
        <v>349.5718186624772</v>
      </c>
      <c r="CZ71" s="62">
        <f t="shared" si="96"/>
        <v>258.14152930815959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47.512538194438065</v>
      </c>
      <c r="DG71" s="23">
        <f>EXP(-LN(2)/25)*DG70+(1-EXP(-LN(2)/25))/(LN(2)/25)*Calculateur!DB71*Calculateur!DD71*VLOOKUP('Données projet'!$B$13,Paramètres!$A$1:$I$89,3,0)*0.475*44/12</f>
        <v>12.833429352055612</v>
      </c>
      <c r="DH71" s="23">
        <f>EXP(-LN(2)/2)*DH70+(1-EXP(-LN(2)/2))/(LN(2)/2)*DB71*DE71*VLOOKUP('Données projet'!$B$13,Paramètres!$A$1:$I$89,3,0)*0.475*44/12</f>
        <v>0.27890039676066841</v>
      </c>
      <c r="DI71" s="24">
        <f t="shared" si="69"/>
        <v>60.624867943254344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4.2</v>
      </c>
      <c r="DO71" s="13">
        <f>IF('Données projet'!$A$166&gt;35,DO70+DN71-DW70,IF(A71&lt;'Données projet'!$A$166,$DL$205^A71,IF(A71='Données projet'!$A$166,'Données projet'!$B$166,DO70+DN71-DW70)))</f>
        <v>192.59999999999997</v>
      </c>
      <c r="DP71" s="18">
        <f>DO71*VLOOKUP('Données projet'!$B$14,Paramètres!$A$1:$I$89,3,0)*VLOOKUP('Données projet'!$B$14,Paramètres!$A$1:$I$89,5,0)</f>
        <v>168.25536</v>
      </c>
      <c r="DQ71" s="14">
        <f t="shared" si="97"/>
        <v>42.699047982710887</v>
      </c>
      <c r="DR71" s="22">
        <f t="shared" si="70"/>
        <v>367.41226056988808</v>
      </c>
      <c r="DS71" s="62">
        <f t="shared" si="71"/>
        <v>660.74559390322133</v>
      </c>
      <c r="DT71" s="62">
        <f ca="1">AVERAGE(OFFSET($DS$3,0,0,'Données projet'!$E$14+1,1))-AVERAGE(OFFSET($H$3,0,0,'Données projet'!$E$14+1,1))</f>
        <v>300.63505444445104</v>
      </c>
      <c r="DU71" s="62">
        <f t="shared" si="98"/>
        <v>266.32508105927997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14.625245267673538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14.625245267673538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4.5999999999999996</v>
      </c>
      <c r="EJ71" s="13">
        <f>IF('Données projet'!$A$192&gt;35,EJ70+EI71-ER70,IF(A71&lt;'Données projet'!$A$192,$EG$205^A71,IF(A71='Données projet'!$A$192,'Données projet'!$B$192,EJ70+EI71-ER70)))</f>
        <v>306.7999999999999</v>
      </c>
      <c r="EK71" s="18">
        <f>EJ71*VLOOKUP('Données projet'!$B$15,Paramètres!$A$1:$I$89,3,0)*VLOOKUP('Données projet'!$B$15,Paramètres!$A$1:$I$89,5,0)</f>
        <v>244.09007999999994</v>
      </c>
      <c r="EL71" s="14">
        <f t="shared" si="99"/>
        <v>59.318663780863893</v>
      </c>
      <c r="EM71" s="22">
        <f t="shared" si="73"/>
        <v>528.43689541833794</v>
      </c>
      <c r="EN71" s="62">
        <f t="shared" si="74"/>
        <v>821.77022875167131</v>
      </c>
      <c r="EO71" s="62">
        <f ca="1">AVERAGE(OFFSET($EN$3,0,0,'Données projet'!$E$15+1,1))-AVERAGE(OFFSET($H$3,0,0,'Données projet'!$E$15+1,1))</f>
        <v>353.37024194969638</v>
      </c>
      <c r="EP71" s="62">
        <f t="shared" si="100"/>
        <v>345.4750813433123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31.289213005960843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31.289213005960843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4.8</v>
      </c>
      <c r="FE71" s="13">
        <f>IF('Données projet'!$A$218&gt;35,FE70+FD71-FM70,IF(A71&lt;'Données projet'!$A$218,$FB$205^A71,IF(A71='Données projet'!$A$218,'Données projet'!$B$218,FE70+FD71-FM70)))</f>
        <v>227.40000000000012</v>
      </c>
      <c r="FF71" s="18">
        <f>FE71*VLOOKUP('Données projet'!$B$16,Paramètres!$A$1:$I$89,3,0)*VLOOKUP('Données projet'!$B$16,Paramètres!$A$1:$I$89,5,0)</f>
        <v>148.99248000000009</v>
      </c>
      <c r="FG71" s="14">
        <f t="shared" si="101"/>
        <v>38.349533355462334</v>
      </c>
      <c r="FH71" s="22">
        <f t="shared" si="76"/>
        <v>326.28733992743042</v>
      </c>
      <c r="FI71" s="62">
        <f t="shared" si="77"/>
        <v>619.62067326076374</v>
      </c>
      <c r="FJ71" s="62">
        <f ca="1">AVERAGE(OFFSET($FI$3,0,0,'Données projet'!$E$16+1,1))-AVERAGE(OFFSET($H$3,0,0,'Données projet'!$E$16+1,1))</f>
        <v>263.30962868541337</v>
      </c>
      <c r="FK71" s="62">
        <f t="shared" si="102"/>
        <v>269.61868559913404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14.475143767107737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14.475143767107737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6.7866666666666671</v>
      </c>
      <c r="N72" s="14">
        <f>IF('Données projet'!$A$36&gt;35,N71+M72-V71,IF(A72&lt;'Données projet'!$A$36,$K$205^A72,IF(A72='Données projet'!$A$36,'Données projet'!$B$36,N71+M72-V71)))</f>
        <v>231.99999999999991</v>
      </c>
      <c r="O72" s="14">
        <f>N72*VLOOKUP('Données projet'!$B$9,Paramètres!$A$1:$I$89,3,0)*VLOOKUP('Données projet'!$B$9,Paramètres!$A$1:$I$89,5,0)</f>
        <v>138.73599999999996</v>
      </c>
      <c r="P72" s="14">
        <f t="shared" si="87"/>
        <v>36.007288175538044</v>
      </c>
      <c r="Q72" s="22">
        <f t="shared" si="54"/>
        <v>304.34456023906199</v>
      </c>
      <c r="R72" s="62">
        <f t="shared" si="55"/>
        <v>597.67789357239531</v>
      </c>
      <c r="S72" s="62">
        <f ca="1">AVERAGE(OFFSET($R$3,0,0,'Données projet'!$E$9+1,1))-AVERAGE(OFFSET($H$3,0,0,'Données projet'!$E$9+1,1))</f>
        <v>262.06511368698341</v>
      </c>
      <c r="T72" s="62">
        <f t="shared" si="88"/>
        <v>217.15709240080542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19.416578766957471</v>
      </c>
      <c r="AA72" s="23">
        <f>EXP(-LN(2)/25)*AA71+(1-EXP(-LN(2)/25))/(LN(2)/25)*Calculateur!V72*Calculateur!X72*VLOOKUP('Données projet'!$B$9,Paramètres!$A$1:$I$89,3,0)*0.475*44/12</f>
        <v>8.9678168240902618</v>
      </c>
      <c r="AB72" s="23">
        <f>EXP(-LN(2)/2)*AB71+(1-EXP(-LN(2)/2))/(LN(2)/2)*V72*Y72*VLOOKUP('Données projet'!$B$9,Paramètres!$A$1:$I$89,3,0)*0.475*44/12</f>
        <v>0.38930933360141906</v>
      </c>
      <c r="AC72" s="24">
        <f t="shared" si="57"/>
        <v>28.773704924649152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11.169166666666664</v>
      </c>
      <c r="AI72" s="14">
        <f>IF('Données projet'!$A$62&gt;35,AI71+AH72-AQ71,IF(A72&lt;'Données projet'!$A$62,$AF$205^A72,IF(A72='Données projet'!$A$62,'Données projet'!$B$62,AI71+AH72-AQ71)))</f>
        <v>322.44500000000005</v>
      </c>
      <c r="AJ72" s="14">
        <f>AI72*VLOOKUP('Données projet'!$B$10,Paramètres!$A$1:$I$89,3,0)*VLOOKUP('Données projet'!$B$10,Paramètres!$A$1:$I$89,5,0)</f>
        <v>150.90426000000002</v>
      </c>
      <c r="AK72" s="14">
        <f t="shared" si="89"/>
        <v>38.78401001291909</v>
      </c>
      <c r="AL72" s="22">
        <f t="shared" si="58"/>
        <v>330.37373693916743</v>
      </c>
      <c r="AM72" s="62">
        <f t="shared" si="59"/>
        <v>623.70707027250069</v>
      </c>
      <c r="AN72" s="62">
        <f ca="1">AVERAGE(OFFSET($AM$3,0,0,'Données projet'!$E$10+1,1))-AVERAGE(OFFSET($H$3,0,0,'Données projet'!$E$10+1,1))</f>
        <v>287.83167869616227</v>
      </c>
      <c r="AO72" s="62">
        <f t="shared" si="90"/>
        <v>233.84231920589906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26.818820386032893</v>
      </c>
      <c r="AV72" s="23">
        <f>EXP(-LN(2)/25)*AV71+(1-EXP(-LN(2)/25))/(LN(2)/25)*Calculateur!AQ72*Calculateur!AS72*VLOOKUP('Données projet'!$B$10,Paramètres!$A$1:$I$89,3,0)*0.475*44/12</f>
        <v>16.197605049925684</v>
      </c>
      <c r="AW72" s="23">
        <f>EXP(-LN(2)/2)*AW71+(1-EXP(-LN(2)/2))/(LN(2)/2)*AQ72*AT72*VLOOKUP('Données projet'!$B$10,Paramètres!$A$1:$I$89,3,0)*0.475*44/12</f>
        <v>1.686183616878054</v>
      </c>
      <c r="AX72" s="23">
        <f t="shared" si="60"/>
        <v>44.702609052836635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-1.7053025658242404E-13</v>
      </c>
      <c r="BE72" s="14">
        <f>BD72*VLOOKUP('Données projet'!$B$11,Paramètres!$A$1:$I$89,3,0)*VLOOKUP('Données projet'!$B$11,Paramètres!$A$1:$I$89,5,0)</f>
        <v>-1.064108801074326E-13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262.36903350767881</v>
      </c>
      <c r="BJ72" s="62">
        <f t="shared" si="92"/>
        <v>331.21009482262417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143.78814576817939</v>
      </c>
      <c r="BQ72" s="23">
        <f>EXP(-LN(2)/25)*BQ71+(1-EXP(-LN(2)/25))/(LN(2)/25)*Calculateur!BL72*Calculateur!BN72*VLOOKUP('Données projet'!$B$11,Paramètres!$A$1:$I$89,3,0)*0.475*44/12</f>
        <v>31.370127626748694</v>
      </c>
      <c r="BR72" s="23">
        <f>EXP(-LN(2)/2)*BR71+(1-EXP(-LN(2)/2))/(LN(2)/2)*BL72*BO72*VLOOKUP('Données projet'!$B$11,Paramètres!$A$1:$I$89,3,0)*0.475*44/12</f>
        <v>0.88035760202413205</v>
      </c>
      <c r="BS72" s="24">
        <f t="shared" si="63"/>
        <v>176.03863099695221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8.8662500000000044</v>
      </c>
      <c r="BY72" s="13">
        <f>IF('Données projet'!$A$114&gt;35,BY71+BX72-CG71,IF(A72&lt;'Données projet'!$A$114,$BV$205^A72,IF(A72='Données projet'!$A$114,'Données projet'!$B$114,BY71+BX72-CG71)))</f>
        <v>241.64875000000015</v>
      </c>
      <c r="BZ72" s="14">
        <f>BY72*VLOOKUP('Données projet'!$B$12,Paramètres!$A$1:$I$89,3,0)*VLOOKUP('Données projet'!$B$12,Paramètres!$A$1:$I$89,5,0)</f>
        <v>233.72267100000013</v>
      </c>
      <c r="CA72" s="14">
        <f t="shared" si="93"/>
        <v>57.086856324963186</v>
      </c>
      <c r="CB72" s="22">
        <f t="shared" si="64"/>
        <v>506.49326009097769</v>
      </c>
      <c r="CC72" s="62">
        <f t="shared" si="65"/>
        <v>799.826593424311</v>
      </c>
      <c r="CD72" s="62">
        <f ca="1">AVERAGE(OFFSET($CC$3,0,0,'Données projet'!$E$12+1,1))-AVERAGE(OFFSET($H$3,0,0,'Données projet'!$E$12+1,1))</f>
        <v>618.83149423524605</v>
      </c>
      <c r="CE72" s="62">
        <f t="shared" si="94"/>
        <v>285.33582535802435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14.382973196689823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14.382973196689823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11.896999999999997</v>
      </c>
      <c r="CT72" s="13">
        <f>IF('Données projet'!$A$140&gt;35,CT71+CS72-DB71,IF(A72&lt;'Données projet'!$A$140,$CQ$205^A72,IF(A72='Données projet'!$A$140,'Données projet'!$B$140,CT71+CS72-DB71)))</f>
        <v>478.16300000000012</v>
      </c>
      <c r="CU72" s="18">
        <f>CT72*VLOOKUP('Données projet'!$B$13,Paramètres!$A$1:$I$89,3,0)*VLOOKUP('Données projet'!$B$13,Paramètres!$A$1:$I$89,5,0)</f>
        <v>285.94147400000008</v>
      </c>
      <c r="CV72" s="14">
        <f t="shared" si="95"/>
        <v>68.221074600056156</v>
      </c>
      <c r="CW72" s="22">
        <f t="shared" si="67"/>
        <v>616.83310547843132</v>
      </c>
      <c r="CX72" s="62">
        <f t="shared" si="68"/>
        <v>910.16643881176469</v>
      </c>
      <c r="CY72" s="62">
        <f ca="1">AVERAGE(OFFSET($CX$3,0,0,'Données projet'!$E$13+1,1))-AVERAGE(OFFSET($H$3,0,0,'Données projet'!$E$13+1,1))</f>
        <v>349.5718186624772</v>
      </c>
      <c r="CZ72" s="62">
        <f t="shared" si="96"/>
        <v>258.14152930815959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46.580846300231919</v>
      </c>
      <c r="DG72" s="23">
        <f>EXP(-LN(2)/25)*DG71+(1-EXP(-LN(2)/25))/(LN(2)/25)*Calculateur!DB72*Calculateur!DD72*VLOOKUP('Données projet'!$B$13,Paramètres!$A$1:$I$89,3,0)*0.475*44/12</f>
        <v>12.482498551542934</v>
      </c>
      <c r="DH72" s="23">
        <f>EXP(-LN(2)/2)*DH71+(1-EXP(-LN(2)/2))/(LN(2)/2)*DB72*DE72*VLOOKUP('Données projet'!$B$13,Paramètres!$A$1:$I$89,3,0)*0.475*44/12</f>
        <v>0.19721236182508725</v>
      </c>
      <c r="DI72" s="24">
        <f t="shared" si="69"/>
        <v>59.260557213599938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4.2</v>
      </c>
      <c r="DO72" s="13">
        <f>IF('Données projet'!$A$166&gt;35,DO71+DN72-DW71,IF(A72&lt;'Données projet'!$A$166,$DL$205^A72,IF(A72='Données projet'!$A$166,'Données projet'!$B$166,DO71+DN72-DW71)))</f>
        <v>196.79999999999995</v>
      </c>
      <c r="DP72" s="18">
        <f>DO72*VLOOKUP('Données projet'!$B$14,Paramètres!$A$1:$I$89,3,0)*VLOOKUP('Données projet'!$B$14,Paramètres!$A$1:$I$89,5,0)</f>
        <v>171.92447999999999</v>
      </c>
      <c r="DQ72" s="14">
        <f t="shared" si="97"/>
        <v>43.520760297647755</v>
      </c>
      <c r="DR72" s="22">
        <f t="shared" si="70"/>
        <v>375.23379351840316</v>
      </c>
      <c r="DS72" s="62">
        <f t="shared" si="71"/>
        <v>668.56712685173648</v>
      </c>
      <c r="DT72" s="62">
        <f ca="1">AVERAGE(OFFSET($DS$3,0,0,'Données projet'!$E$14+1,1))-AVERAGE(OFFSET($H$3,0,0,'Données projet'!$E$14+1,1))</f>
        <v>300.63505444445104</v>
      </c>
      <c r="DU72" s="62">
        <f t="shared" si="98"/>
        <v>266.32508105927997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14.338453128493246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14.338453128493246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4.5999999999999996</v>
      </c>
      <c r="EJ72" s="13">
        <f>IF('Données projet'!$A$192&gt;35,EJ71+EI72-ER71,IF(A72&lt;'Données projet'!$A$192,$EG$205^A72,IF(A72='Données projet'!$A$192,'Données projet'!$B$192,EJ71+EI72-ER71)))</f>
        <v>311.39999999999992</v>
      </c>
      <c r="EK72" s="18">
        <f>EJ72*VLOOKUP('Données projet'!$B$15,Paramètres!$A$1:$I$89,3,0)*VLOOKUP('Données projet'!$B$15,Paramètres!$A$1:$I$89,5,0)</f>
        <v>247.74983999999995</v>
      </c>
      <c r="EL72" s="14">
        <f t="shared" si="99"/>
        <v>60.103849700617872</v>
      </c>
      <c r="EM72" s="22">
        <f t="shared" si="73"/>
        <v>536.17850956190932</v>
      </c>
      <c r="EN72" s="62">
        <f t="shared" si="74"/>
        <v>829.51184289524258</v>
      </c>
      <c r="EO72" s="62">
        <f ca="1">AVERAGE(OFFSET($EN$3,0,0,'Données projet'!$E$15+1,1))-AVERAGE(OFFSET($H$3,0,0,'Données projet'!$E$15+1,1))</f>
        <v>353.37024194969638</v>
      </c>
      <c r="EP72" s="62">
        <f t="shared" si="100"/>
        <v>345.4750813433123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30.675650623449442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30.675650623449442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4.8</v>
      </c>
      <c r="FE72" s="13">
        <f>IF('Données projet'!$A$218&gt;35,FE71+FD72-FM71,IF(A72&lt;'Données projet'!$A$218,$FB$205^A72,IF(A72='Données projet'!$A$218,'Données projet'!$B$218,FE71+FD72-FM71)))</f>
        <v>232.20000000000013</v>
      </c>
      <c r="FF72" s="18">
        <f>FE72*VLOOKUP('Données projet'!$B$16,Paramètres!$A$1:$I$89,3,0)*VLOOKUP('Données projet'!$B$16,Paramètres!$A$1:$I$89,5,0)</f>
        <v>152.13744000000008</v>
      </c>
      <c r="FG72" s="14">
        <f t="shared" si="101"/>
        <v>39.063925813036128</v>
      </c>
      <c r="FH72" s="22">
        <f t="shared" si="76"/>
        <v>333.0090454577047</v>
      </c>
      <c r="FI72" s="62">
        <f t="shared" si="77"/>
        <v>626.34237879103807</v>
      </c>
      <c r="FJ72" s="62">
        <f ca="1">AVERAGE(OFFSET($FI$3,0,0,'Données projet'!$E$16+1,1))-AVERAGE(OFFSET($H$3,0,0,'Données projet'!$E$16+1,1))</f>
        <v>263.30962868541337</v>
      </c>
      <c r="FK72" s="62">
        <f t="shared" si="102"/>
        <v>269.61868559913404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14.191295026800663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14.191295026800663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6.7866666666666671</v>
      </c>
      <c r="N73" s="14">
        <f>IF('Données projet'!$A$36&gt;35,N72+M73-V72,IF(A73&lt;'Données projet'!$A$36,$K$205^A73,IF(A73='Données projet'!$A$36,'Données projet'!$B$36,N72+M73-V72)))</f>
        <v>238.78666666666658</v>
      </c>
      <c r="O73" s="14">
        <f>N73*VLOOKUP('Données projet'!$B$9,Paramètres!$A$1:$I$89,3,0)*VLOOKUP('Données projet'!$B$9,Paramètres!$A$1:$I$89,5,0)</f>
        <v>142.79442666666662</v>
      </c>
      <c r="P73" s="14">
        <f t="shared" si="87"/>
        <v>36.936431202359408</v>
      </c>
      <c r="Q73" s="22">
        <f t="shared" si="54"/>
        <v>313.03124412188703</v>
      </c>
      <c r="R73" s="62">
        <f t="shared" si="55"/>
        <v>606.36457745522034</v>
      </c>
      <c r="S73" s="62">
        <f ca="1">AVERAGE(OFFSET($R$3,0,0,'Données projet'!$E$9+1,1))-AVERAGE(OFFSET($H$3,0,0,'Données projet'!$E$9+1,1))</f>
        <v>262.06511368698341</v>
      </c>
      <c r="T73" s="62">
        <f t="shared" si="88"/>
        <v>217.15709240080542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19.035831500281091</v>
      </c>
      <c r="AA73" s="23">
        <f>EXP(-LN(2)/25)*AA72+(1-EXP(-LN(2)/25))/(LN(2)/25)*Calculateur!V73*Calculateur!X73*VLOOKUP('Données projet'!$B$9,Paramètres!$A$1:$I$89,3,0)*0.475*44/12</f>
        <v>8.7225914014385229</v>
      </c>
      <c r="AB73" s="23">
        <f>EXP(-LN(2)/2)*AB72+(1-EXP(-LN(2)/2))/(LN(2)/2)*V73*Y73*VLOOKUP('Données projet'!$B$9,Paramètres!$A$1:$I$89,3,0)*0.475*44/12</f>
        <v>0.27528326976877926</v>
      </c>
      <c r="AC73" s="24">
        <f t="shared" si="57"/>
        <v>28.03370617148839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11.169166666666664</v>
      </c>
      <c r="AI73" s="14">
        <f>IF('Données projet'!$A$62&gt;35,AI72+AH73-AQ72,IF(A73&lt;'Données projet'!$A$62,$AF$205^A73,IF(A73='Données projet'!$A$62,'Données projet'!$B$62,AI72+AH73-AQ72)))</f>
        <v>333.61416666666673</v>
      </c>
      <c r="AJ73" s="14">
        <f>AI73*VLOOKUP('Données projet'!$B$10,Paramètres!$A$1:$I$89,3,0)*VLOOKUP('Données projet'!$B$10,Paramètres!$A$1:$I$89,5,0)</f>
        <v>156.13143000000002</v>
      </c>
      <c r="AK73" s="14">
        <f t="shared" si="89"/>
        <v>39.968709584027991</v>
      </c>
      <c r="AL73" s="22">
        <f t="shared" si="58"/>
        <v>341.54107644218203</v>
      </c>
      <c r="AM73" s="62">
        <f t="shared" si="59"/>
        <v>634.87440977551535</v>
      </c>
      <c r="AN73" s="62">
        <f ca="1">AVERAGE(OFFSET($AM$3,0,0,'Données projet'!$E$10+1,1))-AVERAGE(OFFSET($H$3,0,0,'Données projet'!$E$10+1,1))</f>
        <v>287.83167869616227</v>
      </c>
      <c r="AO73" s="62">
        <f t="shared" si="90"/>
        <v>233.84231920589906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26.292919676128019</v>
      </c>
      <c r="AV73" s="23">
        <f>EXP(-LN(2)/25)*AV72+(1-EXP(-LN(2)/25))/(LN(2)/25)*Calculateur!AQ73*Calculateur!AS73*VLOOKUP('Données projet'!$B$10,Paramètres!$A$1:$I$89,3,0)*0.475*44/12</f>
        <v>15.754680688040438</v>
      </c>
      <c r="AW73" s="23">
        <f>EXP(-LN(2)/2)*AW72+(1-EXP(-LN(2)/2))/(LN(2)/2)*AQ73*AT73*VLOOKUP('Données projet'!$B$10,Paramètres!$A$1:$I$89,3,0)*0.475*44/12</f>
        <v>1.1923118698201314</v>
      </c>
      <c r="AX73" s="23">
        <f t="shared" si="60"/>
        <v>43.239912233988591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-1.7053025658242404E-13</v>
      </c>
      <c r="BE73" s="14">
        <f>BD73*VLOOKUP('Données projet'!$B$11,Paramètres!$A$1:$I$89,3,0)*VLOOKUP('Données projet'!$B$11,Paramètres!$A$1:$I$89,5,0)</f>
        <v>-1.064108801074326E-13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262.36903350767881</v>
      </c>
      <c r="BJ73" s="62">
        <f t="shared" si="92"/>
        <v>331.21009482262417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140.96854793177445</v>
      </c>
      <c r="BQ73" s="23">
        <f>EXP(-LN(2)/25)*BQ72+(1-EXP(-LN(2)/25))/(LN(2)/25)*Calculateur!BL73*Calculateur!BN73*VLOOKUP('Données projet'!$B$11,Paramètres!$A$1:$I$89,3,0)*0.475*44/12</f>
        <v>30.512309837111935</v>
      </c>
      <c r="BR73" s="23">
        <f>EXP(-LN(2)/2)*BR72+(1-EXP(-LN(2)/2))/(LN(2)/2)*BL73*BO73*VLOOKUP('Données projet'!$B$11,Paramètres!$A$1:$I$89,3,0)*0.475*44/12</f>
        <v>0.62250683026039166</v>
      </c>
      <c r="BS73" s="24">
        <f t="shared" si="63"/>
        <v>172.10336459914677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8.8662500000000044</v>
      </c>
      <c r="BY73" s="13">
        <f>IF('Données projet'!$A$114&gt;35,BY72+BX73-CG72,IF(A73&lt;'Données projet'!$A$114,$BV$205^A73,IF(A73='Données projet'!$A$114,'Données projet'!$B$114,BY72+BX73-CG72)))</f>
        <v>250.51500000000016</v>
      </c>
      <c r="BZ73" s="14">
        <f>BY73*VLOOKUP('Données projet'!$B$12,Paramètres!$A$1:$I$89,3,0)*VLOOKUP('Données projet'!$B$12,Paramètres!$A$1:$I$89,5,0)</f>
        <v>242.29810800000013</v>
      </c>
      <c r="CA73" s="14">
        <f t="shared" si="93"/>
        <v>58.933705038196834</v>
      </c>
      <c r="CB73" s="22">
        <f t="shared" si="64"/>
        <v>524.64540770819303</v>
      </c>
      <c r="CC73" s="62">
        <f t="shared" si="65"/>
        <v>817.97874104152629</v>
      </c>
      <c r="CD73" s="62">
        <f ca="1">AVERAGE(OFFSET($CC$3,0,0,'Données projet'!$E$12+1,1))-AVERAGE(OFFSET($H$3,0,0,'Données projet'!$E$12+1,1))</f>
        <v>618.83149423524605</v>
      </c>
      <c r="CE73" s="62">
        <f t="shared" si="94"/>
        <v>285.33582535802435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14.10093186505015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14.10093186505015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490.06</v>
      </c>
      <c r="CR73" s="13">
        <f>VLOOKUP(A73,'Données projet'!$A$139:$I$159,9,0)</f>
        <v>11.896999999999997</v>
      </c>
      <c r="CS73" s="13">
        <f t="array" ref="CS73">INDEX(CR:CR,MIN(IF(ISNUMBER(CR73:CR269),ROW(CR73:CR269),"")))</f>
        <v>11.896999999999997</v>
      </c>
      <c r="CT73" s="13">
        <f>IF('Données projet'!$A$140&gt;35,CT72+CS73-DB72,IF(A73&lt;'Données projet'!$A$140,$CQ$205^A73,IF(A73='Données projet'!$A$140,'Données projet'!$B$140,CT72+CS73-DB72)))</f>
        <v>490.06000000000012</v>
      </c>
      <c r="CU73" s="18">
        <f>CT73*VLOOKUP('Données projet'!$B$13,Paramètres!$A$1:$I$89,3,0)*VLOOKUP('Données projet'!$B$13,Paramètres!$A$1:$I$89,5,0)</f>
        <v>293.05588000000012</v>
      </c>
      <c r="CV73" s="14">
        <f t="shared" si="95"/>
        <v>69.718730961493122</v>
      </c>
      <c r="CW73" s="22">
        <f t="shared" si="67"/>
        <v>631.83244742460067</v>
      </c>
      <c r="CX73" s="62">
        <f t="shared" si="68"/>
        <v>925.16578075793404</v>
      </c>
      <c r="CY73" s="62">
        <f ca="1">AVERAGE(OFFSET($CX$3,0,0,'Données projet'!$E$13+1,1))-AVERAGE(OFFSET($H$3,0,0,'Données projet'!$E$13+1,1))</f>
        <v>349.5718186624772</v>
      </c>
      <c r="CZ73" s="62">
        <f t="shared" si="96"/>
        <v>258.14152930815959</v>
      </c>
      <c r="DA73" s="16">
        <f>IF(ISNA(VLOOKUP(A73,'Données projet'!$A$139:$I$159,3,0)),0,VLOOKUP(A73,'Données projet'!$A$139:$I$159,3,0))</f>
        <v>7</v>
      </c>
      <c r="DB73" s="16">
        <f>IF(ISNA(VLOOKUP(A73,'Données projet'!$A$139:$I$159,4,0)),0,VLOOKUP(A73,'Données projet'!$A$139:$I$159,4,0))</f>
        <v>67.88</v>
      </c>
      <c r="DC73" s="17">
        <f>IF(ISNA(VLOOKUP(A73,'Données projet'!$A$139:$I$159,5,0)),0%,VLOOKUP(A73,'Données projet'!$A$139:$I$159,5,0)*VLOOKUP('Données projet'!$B$13,Paramètres!$A$1:$I$89,7,0))</f>
        <v>0.36000000000000004</v>
      </c>
      <c r="DD73" s="17">
        <f>IF(ISNA(VLOOKUP(A73,'Données projet'!$A$139:$I$159,6,0)),0%,VLOOKUP(A73,'Données projet'!$A$139:$I$159,6,0)*VLOOKUP('Données projet'!$B$13,Paramètres!$A$1:$I$89,7,0))</f>
        <v>4.9500000000000002E-2</v>
      </c>
      <c r="DE73" s="17">
        <f>IF(ISNA(VLOOKUP(A73,'Données projet'!$A$139:$I$159,7,0)),0%,VLOOKUP(A73,'Données projet'!$A$139:$I$159,7,0))</f>
        <v>0.09</v>
      </c>
      <c r="DF73" s="23">
        <f>EXP(-LN(2)/35)*DF72+(1-EXP(-LN(2)/35))/(LN(2)/35)*DB73*DC73*VLOOKUP('Données projet'!$B$13,Paramètres!$A$1:$I$89,3,0)*0.475*44/12</f>
        <v>65.052784506036815</v>
      </c>
      <c r="DG73" s="23">
        <f>EXP(-LN(2)/25)*DG72+(1-EXP(-LN(2)/25))/(LN(2)/25)*Calculateur!DB73*Calculateur!DD73*VLOOKUP('Données projet'!$B$13,Paramètres!$A$1:$I$89,3,0)*0.475*44/12</f>
        <v>14.796155960330976</v>
      </c>
      <c r="DH73" s="23">
        <f>EXP(-LN(2)/2)*DH72+(1-EXP(-LN(2)/2))/(LN(2)/2)*DB73*DE73*VLOOKUP('Données projet'!$B$13,Paramètres!$A$1:$I$89,3,0)*0.475*44/12</f>
        <v>4.2758362625054476</v>
      </c>
      <c r="DI73" s="24">
        <f t="shared" si="69"/>
        <v>84.124776728873243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201</v>
      </c>
      <c r="DM73" s="13">
        <f>VLOOKUP(A73,'Données projet'!$A$165:$I$185,9,0)</f>
        <v>4.2</v>
      </c>
      <c r="DN73" s="13">
        <f t="array" ref="DN73">INDEX(DM:DM,MIN(IF(ISNUMBER(DM73:DM269),ROW(DM73:DM269),"")))</f>
        <v>4.2</v>
      </c>
      <c r="DO73" s="13">
        <f>IF('Données projet'!$A$166&gt;35,DO72+DN73-DW72,IF(A73&lt;'Données projet'!$A$166,$DL$205^A73,IF(A73='Données projet'!$A$166,'Données projet'!$B$166,DO72+DN73-DW72)))</f>
        <v>200.99999999999994</v>
      </c>
      <c r="DP73" s="18">
        <f>DO73*VLOOKUP('Données projet'!$B$14,Paramètres!$A$1:$I$89,3,0)*VLOOKUP('Données projet'!$B$14,Paramètres!$A$1:$I$89,5,0)</f>
        <v>175.59359999999995</v>
      </c>
      <c r="DQ73" s="14">
        <f t="shared" si="97"/>
        <v>44.340433728638573</v>
      </c>
      <c r="DR73" s="22">
        <f t="shared" si="70"/>
        <v>383.05177541071203</v>
      </c>
      <c r="DS73" s="62">
        <f t="shared" si="71"/>
        <v>676.38510874404528</v>
      </c>
      <c r="DT73" s="62">
        <f ca="1">AVERAGE(OFFSET($DS$3,0,0,'Données projet'!$E$14+1,1))-AVERAGE(OFFSET($H$3,0,0,'Données projet'!$E$14+1,1))</f>
        <v>300.63505444445104</v>
      </c>
      <c r="DU73" s="62">
        <f t="shared" si="98"/>
        <v>266.32508105927997</v>
      </c>
      <c r="DV73" s="16">
        <f>IF(ISNA(VLOOKUP(A73,'Données projet'!$A$165:$I$185,3,0)),0,VLOOKUP(A73,'Données projet'!$A$165:$I$185,3,0))</f>
        <v>13</v>
      </c>
      <c r="DW73" s="16">
        <f>IF(ISNA(VLOOKUP(A73,'Données projet'!$A$165:$I$185,4,0)),0,VLOOKUP(A73,'Données projet'!$A$165:$I$185,4,0))</f>
        <v>14</v>
      </c>
      <c r="DX73" s="17">
        <f>IF(ISNA(VLOOKUP(A73,'Données projet'!$A$165:$I$185,5,0)),0%,VLOOKUP(A73,'Données projet'!$A$165:$I$185,5,0)*VLOOKUP('Données projet'!$B$14,Paramètres!$A$1:$I$89,7,0))</f>
        <v>0.25800000000000001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17.545533800135011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17.545533800135011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316</v>
      </c>
      <c r="EH73" s="13">
        <f>VLOOKUP(A73,'Données projet'!$A$191:$I$211,9,0)</f>
        <v>4.5999999999999996</v>
      </c>
      <c r="EI73" s="13">
        <f t="array" ref="EI73">INDEX(EH:EH,MIN(IF(ISNUMBER(EH73:EH269),ROW(EH73:EH269),"")))</f>
        <v>4.5999999999999996</v>
      </c>
      <c r="EJ73" s="13">
        <f>IF('Données projet'!$A$192&gt;35,EJ72+EI73-ER72,IF(A73&lt;'Données projet'!$A$192,$EG$205^A73,IF(A73='Données projet'!$A$192,'Données projet'!$B$192,EJ72+EI73-ER72)))</f>
        <v>315.99999999999994</v>
      </c>
      <c r="EK73" s="18">
        <f>EJ73*VLOOKUP('Données projet'!$B$15,Paramètres!$A$1:$I$89,3,0)*VLOOKUP('Données projet'!$B$15,Paramètres!$A$1:$I$89,5,0)</f>
        <v>251.40959999999995</v>
      </c>
      <c r="EL73" s="14">
        <f t="shared" si="99"/>
        <v>60.887686632376123</v>
      </c>
      <c r="EM73" s="22">
        <f t="shared" si="73"/>
        <v>543.917774218055</v>
      </c>
      <c r="EN73" s="62">
        <f t="shared" si="74"/>
        <v>837.25110755138826</v>
      </c>
      <c r="EO73" s="62">
        <f ca="1">AVERAGE(OFFSET($EN$3,0,0,'Données projet'!$E$15+1,1))-AVERAGE(OFFSET($H$3,0,0,'Données projet'!$E$15+1,1))</f>
        <v>353.37024194969638</v>
      </c>
      <c r="EP73" s="62">
        <f t="shared" si="100"/>
        <v>345.4750813433123</v>
      </c>
      <c r="EQ73" s="16">
        <f>IF(ISNA(VLOOKUP(A73,'Données projet'!$A$191:$I$211,3,0)),0,VLOOKUP(A73,'Données projet'!$A$191:$I$211,3,0))</f>
        <v>13</v>
      </c>
      <c r="ER73" s="16">
        <f>IF(ISNA(VLOOKUP(A73,'Données projet'!$A$191:$I$211,4,0)),0,VLOOKUP(A73,'Données projet'!$A$191:$I$211,4,0))</f>
        <v>13</v>
      </c>
      <c r="ES73" s="17">
        <f>IF(ISNA(VLOOKUP(A73,'Données projet'!$A$191:$I$211,5,0)),0%,VLOOKUP(A73,'Données projet'!$A$191:$I$211,5,0)*VLOOKUP('Données projet'!$B$15,Paramètres!$A$1:$I$89,7,0))</f>
        <v>0.371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34.316007329394779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34.316007329394779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237</v>
      </c>
      <c r="FC73" s="13">
        <f>VLOOKUP(A73,'Données projet'!$A$217:$I$237,9,0)</f>
        <v>4.8</v>
      </c>
      <c r="FD73" s="13">
        <f t="array" ref="FD73">INDEX(FC:FC,MIN(IF(ISNUMBER(FC73:FC269),ROW(FC73:FC269),"")))</f>
        <v>4.8</v>
      </c>
      <c r="FE73" s="13">
        <f>IF('Données projet'!$A$218&gt;35,FE72+FD73-FM72,IF(A73&lt;'Données projet'!$A$218,$FB$205^A73,IF(A73='Données projet'!$A$218,'Données projet'!$B$218,FE72+FD73-FM72)))</f>
        <v>237.00000000000014</v>
      </c>
      <c r="FF73" s="18">
        <f>FE73*VLOOKUP('Données projet'!$B$16,Paramètres!$A$1:$I$89,3,0)*VLOOKUP('Données projet'!$B$16,Paramètres!$A$1:$I$89,5,0)</f>
        <v>155.28240000000011</v>
      </c>
      <c r="FG73" s="14">
        <f t="shared" si="101"/>
        <v>39.776601235546444</v>
      </c>
      <c r="FH73" s="22">
        <f t="shared" si="76"/>
        <v>339.72776048524355</v>
      </c>
      <c r="FI73" s="62">
        <f t="shared" si="77"/>
        <v>633.06109381857686</v>
      </c>
      <c r="FJ73" s="62">
        <f ca="1">AVERAGE(OFFSET($FI$3,0,0,'Données projet'!$E$16+1,1))-AVERAGE(OFFSET($H$3,0,0,'Données projet'!$E$16+1,1))</f>
        <v>263.30962868541337</v>
      </c>
      <c r="FK73" s="62">
        <f t="shared" si="102"/>
        <v>269.61868559913404</v>
      </c>
      <c r="FL73" s="16">
        <f>IF(ISNA(VLOOKUP(A73,'Données projet'!$A$217:$I$237,3,0)),0,VLOOKUP(A73,'Données projet'!$A$217:$I$237,3,0))</f>
        <v>13</v>
      </c>
      <c r="FM73" s="16">
        <f>IF(ISNA(VLOOKUP(A73,'Données projet'!$A$217:$I$237,4,0)),0,VLOOKUP(A73,'Données projet'!$A$217:$I$237,4,0))</f>
        <v>19</v>
      </c>
      <c r="FN73" s="17">
        <f>IF(ISNA(VLOOKUP(A73,'Données projet'!$A$217:$I$237,5,0)),0%,VLOOKUP(A73,'Données projet'!$A$217:$I$237,5,0)*VLOOKUP('Données projet'!$B$16,Paramètres!$A$1:$I$89,7,0))</f>
        <v>0.25800000000000001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17.463551539628661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17.463551539628661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6.7866666666666671</v>
      </c>
      <c r="N74" s="14">
        <f>IF('Données projet'!$A$36&gt;35,N73+M74-V73,IF(A74&lt;'Données projet'!$A$36,$K$205^A74,IF(A74='Données projet'!$A$36,'Données projet'!$B$36,N73+M74-V73)))</f>
        <v>245.57333333333324</v>
      </c>
      <c r="O74" s="14">
        <f>N74*VLOOKUP('Données projet'!$B$9,Paramètres!$A$1:$I$89,3,0)*VLOOKUP('Données projet'!$B$9,Paramètres!$A$1:$I$89,5,0)</f>
        <v>146.85285333333329</v>
      </c>
      <c r="P74" s="14">
        <f t="shared" si="87"/>
        <v>37.862505026258198</v>
      </c>
      <c r="Q74" s="22">
        <f t="shared" si="54"/>
        <v>321.71258247628845</v>
      </c>
      <c r="R74" s="62">
        <f t="shared" si="55"/>
        <v>615.04591580962176</v>
      </c>
      <c r="S74" s="62">
        <f ca="1">AVERAGE(OFFSET($R$3,0,0,'Données projet'!$E$9+1,1))-AVERAGE(OFFSET($H$3,0,0,'Données projet'!$E$9+1,1))</f>
        <v>262.06511368698341</v>
      </c>
      <c r="T74" s="62">
        <f t="shared" si="88"/>
        <v>217.15709240080542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18.662550455271333</v>
      </c>
      <c r="AA74" s="23">
        <f>EXP(-LN(2)/25)*AA73+(1-EXP(-LN(2)/25))/(LN(2)/25)*Calculateur!V74*Calculateur!X74*VLOOKUP('Données projet'!$B$9,Paramètres!$A$1:$I$89,3,0)*0.475*44/12</f>
        <v>8.4840716808650409</v>
      </c>
      <c r="AB74" s="23">
        <f>EXP(-LN(2)/2)*AB73+(1-EXP(-LN(2)/2))/(LN(2)/2)*V74*Y74*VLOOKUP('Données projet'!$B$9,Paramètres!$A$1:$I$89,3,0)*0.475*44/12</f>
        <v>0.19465466680070953</v>
      </c>
      <c r="AC74" s="24">
        <f t="shared" si="57"/>
        <v>27.341276802937081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11.169166666666664</v>
      </c>
      <c r="AI74" s="14">
        <f>IF('Données projet'!$A$62&gt;35,AI73+AH74-AQ73,IF(A74&lt;'Données projet'!$A$62,$AF$205^A74,IF(A74='Données projet'!$A$62,'Données projet'!$B$62,AI73+AH74-AQ73)))</f>
        <v>344.78333333333342</v>
      </c>
      <c r="AJ74" s="14">
        <f>AI74*VLOOKUP('Données projet'!$B$10,Paramètres!$A$1:$I$89,3,0)*VLOOKUP('Données projet'!$B$10,Paramètres!$A$1:$I$89,5,0)</f>
        <v>161.35860000000005</v>
      </c>
      <c r="AK74" s="14">
        <f t="shared" si="89"/>
        <v>41.148800467540248</v>
      </c>
      <c r="AL74" s="22">
        <f t="shared" si="58"/>
        <v>352.70038914763268</v>
      </c>
      <c r="AM74" s="62">
        <f t="shared" si="59"/>
        <v>646.03372248096593</v>
      </c>
      <c r="AN74" s="62">
        <f ca="1">AVERAGE(OFFSET($AM$3,0,0,'Données projet'!$E$10+1,1))-AVERAGE(OFFSET($H$3,0,0,'Données projet'!$E$10+1,1))</f>
        <v>287.83167869616227</v>
      </c>
      <c r="AO74" s="62">
        <f t="shared" si="90"/>
        <v>233.84231920589906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25.77733155837662</v>
      </c>
      <c r="AV74" s="23">
        <f>EXP(-LN(2)/25)*AV73+(1-EXP(-LN(2)/25))/(LN(2)/25)*Calculateur!AQ74*Calculateur!AS74*VLOOKUP('Données projet'!$B$10,Paramètres!$A$1:$I$89,3,0)*0.475*44/12</f>
        <v>15.323868116123322</v>
      </c>
      <c r="AW74" s="23">
        <f>EXP(-LN(2)/2)*AW73+(1-EXP(-LN(2)/2))/(LN(2)/2)*AQ74*AT74*VLOOKUP('Données projet'!$B$10,Paramètres!$A$1:$I$89,3,0)*0.475*44/12</f>
        <v>0.84309180843902698</v>
      </c>
      <c r="AX74" s="23">
        <f t="shared" si="60"/>
        <v>41.944291482938965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-1.7053025658242404E-13</v>
      </c>
      <c r="BE74" s="14">
        <f>BD74*VLOOKUP('Données projet'!$B$11,Paramètres!$A$1:$I$89,3,0)*VLOOKUP('Données projet'!$B$11,Paramètres!$A$1:$I$89,5,0)</f>
        <v>-1.064108801074326E-13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262.36903350767881</v>
      </c>
      <c r="BJ74" s="62">
        <f t="shared" si="92"/>
        <v>331.21009482262417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138.20424068915653</v>
      </c>
      <c r="BQ74" s="23">
        <f>EXP(-LN(2)/25)*BQ73+(1-EXP(-LN(2)/25))/(LN(2)/25)*Calculateur!BL74*Calculateur!BN74*VLOOKUP('Données projet'!$B$11,Paramètres!$A$1:$I$89,3,0)*0.475*44/12</f>
        <v>29.677949120043472</v>
      </c>
      <c r="BR74" s="23">
        <f>EXP(-LN(2)/2)*BR73+(1-EXP(-LN(2)/2))/(LN(2)/2)*BL74*BO74*VLOOKUP('Données projet'!$B$11,Paramètres!$A$1:$I$89,3,0)*0.475*44/12</f>
        <v>0.44017880101206608</v>
      </c>
      <c r="BS74" s="24">
        <f t="shared" si="63"/>
        <v>168.32236861021207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8.8662500000000044</v>
      </c>
      <c r="BY74" s="13">
        <f>IF('Données projet'!$A$114&gt;35,BY73+BX74-CG73,IF(A74&lt;'Données projet'!$A$114,$BV$205^A74,IF(A74='Données projet'!$A$114,'Données projet'!$B$114,BY73+BX74-CG73)))</f>
        <v>259.38125000000014</v>
      </c>
      <c r="BZ74" s="14">
        <f>BY74*VLOOKUP('Données projet'!$B$12,Paramètres!$A$1:$I$89,3,0)*VLOOKUP('Données projet'!$B$12,Paramètres!$A$1:$I$89,5,0)</f>
        <v>250.87354500000012</v>
      </c>
      <c r="CA74" s="14">
        <f t="shared" si="93"/>
        <v>60.772959375994262</v>
      </c>
      <c r="CB74" s="22">
        <f t="shared" si="64"/>
        <v>542.78432845485679</v>
      </c>
      <c r="CC74" s="62">
        <f t="shared" si="65"/>
        <v>836.11766178819016</v>
      </c>
      <c r="CD74" s="62">
        <f ca="1">AVERAGE(OFFSET($CC$3,0,0,'Données projet'!$E$12+1,1))-AVERAGE(OFFSET($H$3,0,0,'Données projet'!$E$12+1,1))</f>
        <v>618.83149423524605</v>
      </c>
      <c r="CE74" s="62">
        <f t="shared" si="94"/>
        <v>285.33582535802435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13.824421191895704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13.824421191895704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9.782</v>
      </c>
      <c r="CT74" s="13">
        <f>IF('Données projet'!$A$140&gt;35,CT73+CS74-DB73,IF(A74&lt;'Données projet'!$A$140,$CQ$205^A74,IF(A74='Données projet'!$A$140,'Données projet'!$B$140,CT73+CS74-DB73)))</f>
        <v>431.9620000000001</v>
      </c>
      <c r="CU74" s="18">
        <f>CT74*VLOOKUP('Données projet'!$B$13,Paramètres!$A$1:$I$89,3,0)*VLOOKUP('Données projet'!$B$13,Paramètres!$A$1:$I$89,5,0)</f>
        <v>258.31327600000009</v>
      </c>
      <c r="CV74" s="14">
        <f t="shared" si="95"/>
        <v>62.362700481716175</v>
      </c>
      <c r="CW74" s="22">
        <f t="shared" si="67"/>
        <v>558.51065903898916</v>
      </c>
      <c r="CX74" s="62">
        <f t="shared" si="68"/>
        <v>851.84399237232242</v>
      </c>
      <c r="CY74" s="62">
        <f ca="1">AVERAGE(OFFSET($CX$3,0,0,'Données projet'!$E$13+1,1))-AVERAGE(OFFSET($H$3,0,0,'Données projet'!$E$13+1,1))</f>
        <v>349.5718186624772</v>
      </c>
      <c r="CZ74" s="62">
        <f t="shared" si="96"/>
        <v>258.14152930815959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63.777139080154079</v>
      </c>
      <c r="DG74" s="23">
        <f>EXP(-LN(2)/25)*DG73+(1-EXP(-LN(2)/25))/(LN(2)/25)*Calculateur!DB74*Calculateur!DD74*VLOOKUP('Données projet'!$B$13,Paramètres!$A$1:$I$89,3,0)*0.475*44/12</f>
        <v>14.391554297499701</v>
      </c>
      <c r="DH74" s="23">
        <f>EXP(-LN(2)/2)*DH73+(1-EXP(-LN(2)/2))/(LN(2)/2)*DB74*DE74*VLOOKUP('Données projet'!$B$13,Paramètres!$A$1:$I$89,3,0)*0.475*44/12</f>
        <v>3.023472816460945</v>
      </c>
      <c r="DI74" s="24">
        <f t="shared" si="69"/>
        <v>81.192166194114719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</v>
      </c>
      <c r="DO74" s="13">
        <f>IF('Données projet'!$A$166&gt;35,DO73+DN74-DW73,IF(A74&lt;'Données projet'!$A$166,$DL$205^A74,IF(A74='Données projet'!$A$166,'Données projet'!$B$166,DO73+DN74-DW73)))</f>
        <v>190.39999999999995</v>
      </c>
      <c r="DP74" s="18">
        <f>DO74*VLOOKUP('Données projet'!$B$14,Paramètres!$A$1:$I$89,3,0)*VLOOKUP('Données projet'!$B$14,Paramètres!$A$1:$I$89,5,0)</f>
        <v>166.33343999999997</v>
      </c>
      <c r="DQ74" s="14">
        <f t="shared" si="97"/>
        <v>42.267796944897761</v>
      </c>
      <c r="DR74" s="22">
        <f t="shared" si="70"/>
        <v>363.31382101236346</v>
      </c>
      <c r="DS74" s="62">
        <f t="shared" si="71"/>
        <v>656.64715434569678</v>
      </c>
      <c r="DT74" s="62">
        <f ca="1">AVERAGE(OFFSET($DS$3,0,0,'Données projet'!$E$14+1,1))-AVERAGE(OFFSET($H$3,0,0,'Données projet'!$E$14+1,1))</f>
        <v>300.63505444445104</v>
      </c>
      <c r="DU74" s="62">
        <f t="shared" si="98"/>
        <v>266.32508105927997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17.201476584033276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17.201476584033276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4.2</v>
      </c>
      <c r="EJ74" s="13">
        <f>IF('Données projet'!$A$192&gt;35,EJ73+EI74-ER73,IF(A74&lt;'Données projet'!$A$192,$EG$205^A74,IF(A74='Données projet'!$A$192,'Données projet'!$B$192,EJ73+EI74-ER73)))</f>
        <v>307.19999999999993</v>
      </c>
      <c r="EK74" s="18">
        <f>EJ74*VLOOKUP('Données projet'!$B$15,Paramètres!$A$1:$I$89,3,0)*VLOOKUP('Données projet'!$B$15,Paramètres!$A$1:$I$89,5,0)</f>
        <v>244.40831999999995</v>
      </c>
      <c r="EL74" s="14">
        <f t="shared" si="99"/>
        <v>59.38699493610541</v>
      </c>
      <c r="EM74" s="22">
        <f t="shared" si="73"/>
        <v>529.11017351371675</v>
      </c>
      <c r="EN74" s="62">
        <f t="shared" si="74"/>
        <v>822.44350684705</v>
      </c>
      <c r="EO74" s="62">
        <f ca="1">AVERAGE(OFFSET($EN$3,0,0,'Données projet'!$E$15+1,1))-AVERAGE(OFFSET($H$3,0,0,'Données projet'!$E$15+1,1))</f>
        <v>353.37024194969638</v>
      </c>
      <c r="EP74" s="62">
        <f t="shared" si="100"/>
        <v>345.4750813433123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33.643091356363087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33.643091356363087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4.5999999999999996</v>
      </c>
      <c r="FE74" s="13">
        <f>IF('Données projet'!$A$218&gt;35,FE73+FD74-FM73,IF(A74&lt;'Données projet'!$A$218,$FB$205^A74,IF(A74='Données projet'!$A$218,'Données projet'!$B$218,FE73+FD74-FM73)))</f>
        <v>222.60000000000014</v>
      </c>
      <c r="FF74" s="18">
        <f>FE74*VLOOKUP('Données projet'!$B$16,Paramètres!$A$1:$I$89,3,0)*VLOOKUP('Données projet'!$B$16,Paramètres!$A$1:$I$89,5,0)</f>
        <v>145.84752000000009</v>
      </c>
      <c r="FG74" s="14">
        <f t="shared" si="101"/>
        <v>37.633383344887093</v>
      </c>
      <c r="FH74" s="22">
        <f t="shared" si="76"/>
        <v>319.56257332567844</v>
      </c>
      <c r="FI74" s="62">
        <f t="shared" si="77"/>
        <v>612.89590665901176</v>
      </c>
      <c r="FJ74" s="62">
        <f ca="1">AVERAGE(OFFSET($FI$3,0,0,'Données projet'!$E$16+1,1))-AVERAGE(OFFSET($H$3,0,0,'Données projet'!$E$16+1,1))</f>
        <v>263.30962868541337</v>
      </c>
      <c r="FK74" s="62">
        <f t="shared" si="102"/>
        <v>269.61868559913404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17.121101945651212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17.121101945651212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6.7866666666666671</v>
      </c>
      <c r="N75" s="14">
        <f>IF('Données projet'!$A$36&gt;35,N74+M75-V74,IF(A75&lt;'Données projet'!$A$36,$K$205^A75,IF(A75='Données projet'!$A$36,'Données projet'!$B$36,N74+M75-V74)))</f>
        <v>252.3599999999999</v>
      </c>
      <c r="O75" s="14">
        <f>N75*VLOOKUP('Données projet'!$B$9,Paramètres!$A$1:$I$89,3,0)*VLOOKUP('Données projet'!$B$9,Paramètres!$A$1:$I$89,5,0)</f>
        <v>150.91127999999995</v>
      </c>
      <c r="P75" s="14">
        <f t="shared" si="87"/>
        <v>38.785604213098914</v>
      </c>
      <c r="Q75" s="22">
        <f t="shared" si="54"/>
        <v>330.3887400044805</v>
      </c>
      <c r="R75" s="62">
        <f t="shared" si="55"/>
        <v>623.72207333781375</v>
      </c>
      <c r="S75" s="62">
        <f ca="1">AVERAGE(OFFSET($R$3,0,0,'Données projet'!$E$9+1,1))-AVERAGE(OFFSET($H$3,0,0,'Données projet'!$E$9+1,1))</f>
        <v>262.06511368698341</v>
      </c>
      <c r="T75" s="62">
        <f t="shared" si="88"/>
        <v>217.15709240080542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18.296589223875259</v>
      </c>
      <c r="AA75" s="23">
        <f>EXP(-LN(2)/25)*AA74+(1-EXP(-LN(2)/25))/(LN(2)/25)*Calculateur!V75*Calculateur!X75*VLOOKUP('Données projet'!$B$9,Paramètres!$A$1:$I$89,3,0)*0.475*44/12</f>
        <v>8.2520742945938466</v>
      </c>
      <c r="AB75" s="23">
        <f>EXP(-LN(2)/2)*AB74+(1-EXP(-LN(2)/2))/(LN(2)/2)*V75*Y75*VLOOKUP('Données projet'!$B$9,Paramètres!$A$1:$I$89,3,0)*0.475*44/12</f>
        <v>0.13764163488438963</v>
      </c>
      <c r="AC75" s="24">
        <f t="shared" si="57"/>
        <v>26.686305153353494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11.169166666666664</v>
      </c>
      <c r="AI75" s="14">
        <f>IF('Données projet'!$A$62&gt;35,AI74+AH75-AQ74,IF(A75&lt;'Données projet'!$A$62,$AF$205^A75,IF(A75='Données projet'!$A$62,'Données projet'!$B$62,AI74+AH75-AQ74)))</f>
        <v>355.9525000000001</v>
      </c>
      <c r="AJ75" s="14">
        <f>AI75*VLOOKUP('Données projet'!$B$10,Paramètres!$A$1:$I$89,3,0)*VLOOKUP('Données projet'!$B$10,Paramètres!$A$1:$I$89,5,0)</f>
        <v>166.58577000000005</v>
      </c>
      <c r="AK75" s="14">
        <f t="shared" si="89"/>
        <v>42.324449084137981</v>
      </c>
      <c r="AL75" s="22">
        <f t="shared" si="58"/>
        <v>363.85196490487368</v>
      </c>
      <c r="AM75" s="62">
        <f t="shared" si="59"/>
        <v>657.185298238207</v>
      </c>
      <c r="AN75" s="62">
        <f ca="1">AVERAGE(OFFSET($AM$3,0,0,'Données projet'!$E$10+1,1))-AVERAGE(OFFSET($H$3,0,0,'Données projet'!$E$10+1,1))</f>
        <v>287.83167869616227</v>
      </c>
      <c r="AO75" s="62">
        <f t="shared" si="90"/>
        <v>233.84231920589906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25.271853809136626</v>
      </c>
      <c r="AV75" s="23">
        <f>EXP(-LN(2)/25)*AV74+(1-EXP(-LN(2)/25))/(LN(2)/25)*Calculateur!AQ75*Calculateur!AS75*VLOOKUP('Données projet'!$B$10,Paramètres!$A$1:$I$89,3,0)*0.475*44/12</f>
        <v>14.904836136640728</v>
      </c>
      <c r="AW75" s="23">
        <f>EXP(-LN(2)/2)*AW74+(1-EXP(-LN(2)/2))/(LN(2)/2)*AQ75*AT75*VLOOKUP('Données projet'!$B$10,Paramètres!$A$1:$I$89,3,0)*0.475*44/12</f>
        <v>0.59615593491006569</v>
      </c>
      <c r="AX75" s="23">
        <f t="shared" si="60"/>
        <v>40.77284588068742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-1.7053025658242404E-13</v>
      </c>
      <c r="BE75" s="14">
        <f>BD75*VLOOKUP('Données projet'!$B$11,Paramètres!$A$1:$I$89,3,0)*VLOOKUP('Données projet'!$B$11,Paramètres!$A$1:$I$89,5,0)</f>
        <v>-1.064108801074326E-13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262.36903350767881</v>
      </c>
      <c r="BJ75" s="62">
        <f t="shared" si="92"/>
        <v>331.21009482262417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135.49413982550544</v>
      </c>
      <c r="BQ75" s="23">
        <f>EXP(-LN(2)/25)*BQ74+(1-EXP(-LN(2)/25))/(LN(2)/25)*Calculateur!BL75*Calculateur!BN75*VLOOKUP('Données projet'!$B$11,Paramètres!$A$1:$I$89,3,0)*0.475*44/12</f>
        <v>28.86640404066037</v>
      </c>
      <c r="BR75" s="23">
        <f>EXP(-LN(2)/2)*BR74+(1-EXP(-LN(2)/2))/(LN(2)/2)*BL75*BO75*VLOOKUP('Données projet'!$B$11,Paramètres!$A$1:$I$89,3,0)*0.475*44/12</f>
        <v>0.31125341513019589</v>
      </c>
      <c r="BS75" s="24">
        <f t="shared" si="63"/>
        <v>164.67179728129602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8.8662500000000044</v>
      </c>
      <c r="BY75" s="13">
        <f>IF('Données projet'!$A$114&gt;35,BY74+BX75-CG74,IF(A75&lt;'Données projet'!$A$114,$BV$205^A75,IF(A75='Données projet'!$A$114,'Données projet'!$B$114,BY74+BX75-CG74)))</f>
        <v>268.24750000000012</v>
      </c>
      <c r="BZ75" s="14">
        <f>BY75*VLOOKUP('Données projet'!$B$12,Paramètres!$A$1:$I$89,3,0)*VLOOKUP('Données projet'!$B$12,Paramètres!$A$1:$I$89,5,0)</f>
        <v>259.44898200000011</v>
      </c>
      <c r="CA75" s="14">
        <f t="shared" si="93"/>
        <v>62.604908687011665</v>
      </c>
      <c r="CB75" s="22">
        <f t="shared" si="64"/>
        <v>560.91052627987881</v>
      </c>
      <c r="CC75" s="62">
        <f t="shared" si="65"/>
        <v>854.24385961321218</v>
      </c>
      <c r="CD75" s="62">
        <f ca="1">AVERAGE(OFFSET($CC$3,0,0,'Données projet'!$E$12+1,1))-AVERAGE(OFFSET($H$3,0,0,'Données projet'!$E$12+1,1))</f>
        <v>618.83149423524605</v>
      </c>
      <c r="CE75" s="62">
        <f t="shared" si="94"/>
        <v>285.33582535802435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13.553332724386959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13.553332724386959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9.782</v>
      </c>
      <c r="CT75" s="13">
        <f>IF('Données projet'!$A$140&gt;35,CT74+CS75-DB74,IF(A75&lt;'Données projet'!$A$140,$CQ$205^A75,IF(A75='Données projet'!$A$140,'Données projet'!$B$140,CT74+CS75-DB74)))</f>
        <v>441.74400000000009</v>
      </c>
      <c r="CU75" s="18">
        <f>CT75*VLOOKUP('Données projet'!$B$13,Paramètres!$A$1:$I$89,3,0)*VLOOKUP('Données projet'!$B$13,Paramètres!$A$1:$I$89,5,0)</f>
        <v>264.16291200000006</v>
      </c>
      <c r="CV75" s="14">
        <f t="shared" si="95"/>
        <v>63.608920560680907</v>
      </c>
      <c r="CW75" s="22">
        <f t="shared" si="67"/>
        <v>570.86927504318601</v>
      </c>
      <c r="CX75" s="62">
        <f t="shared" si="68"/>
        <v>864.20260837651927</v>
      </c>
      <c r="CY75" s="62">
        <f ca="1">AVERAGE(OFFSET($CX$3,0,0,'Données projet'!$E$13+1,1))-AVERAGE(OFFSET($H$3,0,0,'Données projet'!$E$13+1,1))</f>
        <v>349.5718186624772</v>
      </c>
      <c r="CZ75" s="62">
        <f t="shared" si="96"/>
        <v>258.14152930815959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62.526508283006017</v>
      </c>
      <c r="DG75" s="23">
        <f>EXP(-LN(2)/25)*DG74+(1-EXP(-LN(2)/25))/(LN(2)/25)*Calculateur!DB75*Calculateur!DD75*VLOOKUP('Données projet'!$B$13,Paramètres!$A$1:$I$89,3,0)*0.475*44/12</f>
        <v>13.998016488415622</v>
      </c>
      <c r="DH75" s="23">
        <f>EXP(-LN(2)/2)*DH74+(1-EXP(-LN(2)/2))/(LN(2)/2)*DB75*DE75*VLOOKUP('Données projet'!$B$13,Paramètres!$A$1:$I$89,3,0)*0.475*44/12</f>
        <v>2.1379181312527242</v>
      </c>
      <c r="DI75" s="24">
        <f t="shared" si="69"/>
        <v>78.662442902674357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</v>
      </c>
      <c r="DO75" s="13">
        <f>IF('Données projet'!$A$166&gt;35,DO74+DN75-DW74,IF(A75&lt;'Données projet'!$A$166,$DL$205^A75,IF(A75='Données projet'!$A$166,'Données projet'!$B$166,DO74+DN75-DW74)))</f>
        <v>193.79999999999995</v>
      </c>
      <c r="DP75" s="18">
        <f>DO75*VLOOKUP('Données projet'!$B$14,Paramètres!$A$1:$I$89,3,0)*VLOOKUP('Données projet'!$B$14,Paramètres!$A$1:$I$89,5,0)</f>
        <v>169.30367999999999</v>
      </c>
      <c r="DQ75" s="14">
        <f t="shared" si="97"/>
        <v>42.934033834973214</v>
      </c>
      <c r="DR75" s="22">
        <f t="shared" si="70"/>
        <v>369.64735159591163</v>
      </c>
      <c r="DS75" s="62">
        <f t="shared" si="71"/>
        <v>662.98068492924494</v>
      </c>
      <c r="DT75" s="62">
        <f ca="1">AVERAGE(OFFSET($DS$3,0,0,'Données projet'!$E$14+1,1))-AVERAGE(OFFSET($H$3,0,0,'Données projet'!$E$14+1,1))</f>
        <v>300.63505444445104</v>
      </c>
      <c r="DU75" s="62">
        <f t="shared" si="98"/>
        <v>266.32508105927997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16.864166120085116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16.864166120085116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4.2</v>
      </c>
      <c r="EJ75" s="13">
        <f>IF('Données projet'!$A$192&gt;35,EJ74+EI75-ER74,IF(A75&lt;'Données projet'!$A$192,$EG$205^A75,IF(A75='Données projet'!$A$192,'Données projet'!$B$192,EJ74+EI75-ER74)))</f>
        <v>311.39999999999992</v>
      </c>
      <c r="EK75" s="18">
        <f>EJ75*VLOOKUP('Données projet'!$B$15,Paramètres!$A$1:$I$89,3,0)*VLOOKUP('Données projet'!$B$15,Paramètres!$A$1:$I$89,5,0)</f>
        <v>247.74983999999995</v>
      </c>
      <c r="EL75" s="14">
        <f t="shared" si="99"/>
        <v>60.103849700617872</v>
      </c>
      <c r="EM75" s="22">
        <f t="shared" si="73"/>
        <v>536.17850956190932</v>
      </c>
      <c r="EN75" s="62">
        <f t="shared" si="74"/>
        <v>829.51184289524258</v>
      </c>
      <c r="EO75" s="62">
        <f ca="1">AVERAGE(OFFSET($EN$3,0,0,'Données projet'!$E$15+1,1))-AVERAGE(OFFSET($H$3,0,0,'Données projet'!$E$15+1,1))</f>
        <v>353.37024194969638</v>
      </c>
      <c r="EP75" s="62">
        <f t="shared" si="100"/>
        <v>345.4750813433123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32.983370855124328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32.983370855124328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4.5999999999999996</v>
      </c>
      <c r="FE75" s="13">
        <f>IF('Données projet'!$A$218&gt;35,FE74+FD75-FM74,IF(A75&lt;'Données projet'!$A$218,$FB$205^A75,IF(A75='Données projet'!$A$218,'Données projet'!$B$218,FE74+FD75-FM74)))</f>
        <v>227.20000000000013</v>
      </c>
      <c r="FF75" s="18">
        <f>FE75*VLOOKUP('Données projet'!$B$16,Paramètres!$A$1:$I$89,3,0)*VLOOKUP('Données projet'!$B$16,Paramètres!$A$1:$I$89,5,0)</f>
        <v>148.86144000000007</v>
      </c>
      <c r="FG75" s="14">
        <f t="shared" si="101"/>
        <v>38.319729148991954</v>
      </c>
      <c r="FH75" s="22">
        <f t="shared" si="76"/>
        <v>326.00720293449439</v>
      </c>
      <c r="FI75" s="62">
        <f t="shared" si="77"/>
        <v>619.3405362678277</v>
      </c>
      <c r="FJ75" s="62">
        <f ca="1">AVERAGE(OFFSET($FI$3,0,0,'Données projet'!$E$16+1,1))-AVERAGE(OFFSET($H$3,0,0,'Données projet'!$E$16+1,1))</f>
        <v>263.30962868541337</v>
      </c>
      <c r="FK75" s="62">
        <f t="shared" si="102"/>
        <v>269.61868559913404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16.785367579338033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16.785367579338033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6.7866666666666671</v>
      </c>
      <c r="N76" s="14">
        <f>IF('Données projet'!$A$36&gt;35,N75+M76-V75,IF(A76&lt;'Données projet'!$A$36,$K$205^A76,IF(A76='Données projet'!$A$36,'Données projet'!$B$36,N75+M76-V75)))</f>
        <v>259.14666666666659</v>
      </c>
      <c r="O76" s="14">
        <f>N76*VLOOKUP('Données projet'!$B$9,Paramètres!$A$1:$I$89,3,0)*VLOOKUP('Données projet'!$B$9,Paramètres!$A$1:$I$89,5,0)</f>
        <v>154.96970666666664</v>
      </c>
      <c r="P76" s="14">
        <f t="shared" si="87"/>
        <v>39.705817952901363</v>
      </c>
      <c r="Q76" s="22">
        <f t="shared" si="54"/>
        <v>339.05987204574757</v>
      </c>
      <c r="R76" s="62">
        <f t="shared" si="55"/>
        <v>632.39320537908088</v>
      </c>
      <c r="S76" s="62">
        <f ca="1">AVERAGE(OFFSET($R$3,0,0,'Données projet'!$E$9+1,1))-AVERAGE(OFFSET($H$3,0,0,'Données projet'!$E$9+1,1))</f>
        <v>262.06511368698341</v>
      </c>
      <c r="T76" s="62">
        <f t="shared" si="88"/>
        <v>217.15709240080542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17.937804269012553</v>
      </c>
      <c r="AA76" s="23">
        <f>EXP(-LN(2)/25)*AA75+(1-EXP(-LN(2)/25))/(LN(2)/25)*Calculateur!V76*Calculateur!X76*VLOOKUP('Données projet'!$B$9,Paramètres!$A$1:$I$89,3,0)*0.475*44/12</f>
        <v>8.0264208890504509</v>
      </c>
      <c r="AB76" s="23">
        <f>EXP(-LN(2)/2)*AB75+(1-EXP(-LN(2)/2))/(LN(2)/2)*V76*Y76*VLOOKUP('Données projet'!$B$9,Paramètres!$A$1:$I$89,3,0)*0.475*44/12</f>
        <v>9.7327333400354765E-2</v>
      </c>
      <c r="AC76" s="24">
        <f t="shared" si="57"/>
        <v>26.061552491463356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11.169166666666664</v>
      </c>
      <c r="AI76" s="14">
        <f>IF('Données projet'!$A$62&gt;35,AI75+AH76-AQ75,IF(A76&lt;'Données projet'!$A$62,$AF$205^A76,IF(A76='Données projet'!$A$62,'Données projet'!$B$62,AI75+AH76-AQ75)))</f>
        <v>367.12166666666678</v>
      </c>
      <c r="AJ76" s="14">
        <f>AI76*VLOOKUP('Données projet'!$B$10,Paramètres!$A$1:$I$89,3,0)*VLOOKUP('Données projet'!$B$10,Paramètres!$A$1:$I$89,5,0)</f>
        <v>171.81294000000005</v>
      </c>
      <c r="AK76" s="14">
        <f t="shared" si="89"/>
        <v>43.495810817346396</v>
      </c>
      <c r="AL76" s="22">
        <f t="shared" si="58"/>
        <v>374.99607434021169</v>
      </c>
      <c r="AM76" s="62">
        <f t="shared" si="59"/>
        <v>668.32940767354501</v>
      </c>
      <c r="AN76" s="62">
        <f ca="1">AVERAGE(OFFSET($AM$3,0,0,'Données projet'!$E$10+1,1))-AVERAGE(OFFSET($H$3,0,0,'Données projet'!$E$10+1,1))</f>
        <v>287.83167869616227</v>
      </c>
      <c r="AO76" s="62">
        <f t="shared" si="90"/>
        <v>233.84231920589906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24.776288170248243</v>
      </c>
      <c r="AV76" s="23">
        <f>EXP(-LN(2)/25)*AV75+(1-EXP(-LN(2)/25))/(LN(2)/25)*Calculateur!AQ76*Calculateur!AS76*VLOOKUP('Données projet'!$B$10,Paramètres!$A$1:$I$89,3,0)*0.475*44/12</f>
        <v>14.497262608673021</v>
      </c>
      <c r="AW76" s="23">
        <f>EXP(-LN(2)/2)*AW75+(1-EXP(-LN(2)/2))/(LN(2)/2)*AQ76*AT76*VLOOKUP('Données projet'!$B$10,Paramètres!$A$1:$I$89,3,0)*0.475*44/12</f>
        <v>0.42154590421951349</v>
      </c>
      <c r="AX76" s="23">
        <f t="shared" si="60"/>
        <v>39.695096683140775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-1.7053025658242404E-13</v>
      </c>
      <c r="BE76" s="14">
        <f>BD76*VLOOKUP('Données projet'!$B$11,Paramètres!$A$1:$I$89,3,0)*VLOOKUP('Données projet'!$B$11,Paramètres!$A$1:$I$89,5,0)</f>
        <v>-1.064108801074326E-13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262.36903350767881</v>
      </c>
      <c r="BJ76" s="62">
        <f t="shared" si="92"/>
        <v>331.21009482262417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132.83718238679222</v>
      </c>
      <c r="BQ76" s="23">
        <f>EXP(-LN(2)/25)*BQ75+(1-EXP(-LN(2)/25))/(LN(2)/25)*Calculateur!BL76*Calculateur!BN76*VLOOKUP('Données projet'!$B$11,Paramètres!$A$1:$I$89,3,0)*0.475*44/12</f>
        <v>28.077050704150299</v>
      </c>
      <c r="BR76" s="23">
        <f>EXP(-LN(2)/2)*BR75+(1-EXP(-LN(2)/2))/(LN(2)/2)*BL76*BO76*VLOOKUP('Données projet'!$B$11,Paramètres!$A$1:$I$89,3,0)*0.475*44/12</f>
        <v>0.22008940050603307</v>
      </c>
      <c r="BS76" s="24">
        <f t="shared" si="63"/>
        <v>161.13432249144856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8.8662500000000044</v>
      </c>
      <c r="BY76" s="13">
        <f>IF('Données projet'!$A$114&gt;35,BY75+BX76-CG75,IF(A76&lt;'Données projet'!$A$114,$BV$205^A76,IF(A76='Données projet'!$A$114,'Données projet'!$B$114,BY75+BX76-CG75)))</f>
        <v>277.1137500000001</v>
      </c>
      <c r="BZ76" s="14">
        <f>BY76*VLOOKUP('Données projet'!$B$12,Paramètres!$A$1:$I$89,3,0)*VLOOKUP('Données projet'!$B$12,Paramètres!$A$1:$I$89,5,0)</f>
        <v>268.02441900000014</v>
      </c>
      <c r="CA76" s="14">
        <f t="shared" si="93"/>
        <v>64.429822106997378</v>
      </c>
      <c r="CB76" s="22">
        <f t="shared" si="64"/>
        <v>579.02446992802072</v>
      </c>
      <c r="CC76" s="62">
        <f t="shared" si="65"/>
        <v>872.35780326135409</v>
      </c>
      <c r="CD76" s="62">
        <f ca="1">AVERAGE(OFFSET($CC$3,0,0,'Données projet'!$E$12+1,1))-AVERAGE(OFFSET($H$3,0,0,'Données projet'!$E$12+1,1))</f>
        <v>618.83149423524605</v>
      </c>
      <c r="CE76" s="62">
        <f t="shared" si="94"/>
        <v>285.33582535802435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13.287560136378422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13.287560136378422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9.782</v>
      </c>
      <c r="CT76" s="13">
        <f>IF('Données projet'!$A$140&gt;35,CT75+CS76-DB75,IF(A76&lt;'Données projet'!$A$140,$CQ$205^A76,IF(A76='Données projet'!$A$140,'Données projet'!$B$140,CT75+CS76-DB75)))</f>
        <v>451.52600000000007</v>
      </c>
      <c r="CU76" s="18">
        <f>CT76*VLOOKUP('Données projet'!$B$13,Paramètres!$A$1:$I$89,3,0)*VLOOKUP('Données projet'!$B$13,Paramètres!$A$1:$I$89,5,0)</f>
        <v>270.01254800000004</v>
      </c>
      <c r="CV76" s="14">
        <f t="shared" si="95"/>
        <v>64.851932282926271</v>
      </c>
      <c r="CW76" s="22">
        <f t="shared" si="67"/>
        <v>583.22230315943</v>
      </c>
      <c r="CX76" s="62">
        <f t="shared" si="68"/>
        <v>876.55563649276337</v>
      </c>
      <c r="CY76" s="62">
        <f ca="1">AVERAGE(OFFSET($CX$3,0,0,'Données projet'!$E$13+1,1))-AVERAGE(OFFSET($H$3,0,0,'Données projet'!$E$13+1,1))</f>
        <v>349.5718186624772</v>
      </c>
      <c r="CZ76" s="62">
        <f t="shared" si="96"/>
        <v>258.14152930815959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61.300401592980563</v>
      </c>
      <c r="DG76" s="23">
        <f>EXP(-LN(2)/25)*DG75+(1-EXP(-LN(2)/25))/(LN(2)/25)*Calculateur!DB76*Calculateur!DD76*VLOOKUP('Données projet'!$B$13,Paramètres!$A$1:$I$89,3,0)*0.475*44/12</f>
        <v>13.615239991416203</v>
      </c>
      <c r="DH76" s="23">
        <f>EXP(-LN(2)/2)*DH75+(1-EXP(-LN(2)/2))/(LN(2)/2)*DB76*DE76*VLOOKUP('Données projet'!$B$13,Paramètres!$A$1:$I$89,3,0)*0.475*44/12</f>
        <v>1.5117364082304727</v>
      </c>
      <c r="DI76" s="24">
        <f t="shared" si="69"/>
        <v>76.427377992627243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</v>
      </c>
      <c r="DO76" s="13">
        <f>IF('Données projet'!$A$166&gt;35,DO75+DN76-DW75,IF(A76&lt;'Données projet'!$A$166,$DL$205^A76,IF(A76='Données projet'!$A$166,'Données projet'!$B$166,DO75+DN76-DW75)))</f>
        <v>197.19999999999996</v>
      </c>
      <c r="DP76" s="18">
        <f>DO76*VLOOKUP('Données projet'!$B$14,Paramètres!$A$1:$I$89,3,0)*VLOOKUP('Données projet'!$B$14,Paramètres!$A$1:$I$89,5,0)</f>
        <v>172.27391999999998</v>
      </c>
      <c r="DQ76" s="14">
        <f t="shared" si="97"/>
        <v>43.598911513699605</v>
      </c>
      <c r="DR76" s="22">
        <f t="shared" si="70"/>
        <v>375.97851488636002</v>
      </c>
      <c r="DS76" s="62">
        <f t="shared" si="71"/>
        <v>669.31184821969327</v>
      </c>
      <c r="DT76" s="62">
        <f ca="1">AVERAGE(OFFSET($DS$3,0,0,'Données projet'!$E$14+1,1))-AVERAGE(OFFSET($H$3,0,0,'Données projet'!$E$14+1,1))</f>
        <v>300.63505444445104</v>
      </c>
      <c r="DU76" s="62">
        <f t="shared" si="98"/>
        <v>266.32508105927997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16.53347010859591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16.53347010859591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4.2</v>
      </c>
      <c r="EJ76" s="13">
        <f>IF('Données projet'!$A$192&gt;35,EJ75+EI76-ER75,IF(A76&lt;'Données projet'!$A$192,$EG$205^A76,IF(A76='Données projet'!$A$192,'Données projet'!$B$192,EJ75+EI76-ER75)))</f>
        <v>315.59999999999991</v>
      </c>
      <c r="EK76" s="18">
        <f>EJ76*VLOOKUP('Données projet'!$B$15,Paramètres!$A$1:$I$89,3,0)*VLOOKUP('Données projet'!$B$15,Paramètres!$A$1:$I$89,5,0)</f>
        <v>251.09135999999995</v>
      </c>
      <c r="EL76" s="14">
        <f t="shared" si="99"/>
        <v>60.81957989149403</v>
      </c>
      <c r="EM76" s="22">
        <f t="shared" si="73"/>
        <v>543.24488697768527</v>
      </c>
      <c r="EN76" s="62">
        <f t="shared" si="74"/>
        <v>836.57822031101864</v>
      </c>
      <c r="EO76" s="62">
        <f ca="1">AVERAGE(OFFSET($EN$3,0,0,'Données projet'!$E$15+1,1))-AVERAGE(OFFSET($H$3,0,0,'Données projet'!$E$15+1,1))</f>
        <v>353.37024194969638</v>
      </c>
      <c r="EP76" s="62">
        <f t="shared" si="100"/>
        <v>345.4750813433123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32.336587070525084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32.336587070525084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4.5999999999999996</v>
      </c>
      <c r="FE76" s="13">
        <f>IF('Données projet'!$A$218&gt;35,FE75+FD76-FM75,IF(A76&lt;'Données projet'!$A$218,$FB$205^A76,IF(A76='Données projet'!$A$218,'Données projet'!$B$218,FE75+FD76-FM75)))</f>
        <v>231.80000000000013</v>
      </c>
      <c r="FF76" s="18">
        <f>FE76*VLOOKUP('Données projet'!$B$16,Paramètres!$A$1:$I$89,3,0)*VLOOKUP('Données projet'!$B$16,Paramètres!$A$1:$I$89,5,0)</f>
        <v>151.87536000000009</v>
      </c>
      <c r="FG76" s="14">
        <f t="shared" si="101"/>
        <v>39.004459236504758</v>
      </c>
      <c r="FH76" s="22">
        <f t="shared" si="76"/>
        <v>332.44901850357923</v>
      </c>
      <c r="FI76" s="62">
        <f t="shared" si="77"/>
        <v>625.78235183691254</v>
      </c>
      <c r="FJ76" s="62">
        <f ca="1">AVERAGE(OFFSET($FI$3,0,0,'Données projet'!$E$16+1,1))-AVERAGE(OFFSET($H$3,0,0,'Données projet'!$E$16+1,1))</f>
        <v>263.30962868541337</v>
      </c>
      <c r="FK76" s="62">
        <f t="shared" si="102"/>
        <v>269.61868559913404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16.456216759170513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16.456216759170513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6.7866666666666671</v>
      </c>
      <c r="N77" s="14">
        <f>IF('Données projet'!$A$36&gt;35,N76+M77-V76,IF(A77&lt;'Données projet'!$A$36,$K$205^A77,IF(A77='Données projet'!$A$36,'Données projet'!$B$36,N76+M77-V76)))</f>
        <v>265.93333333333328</v>
      </c>
      <c r="O77" s="14">
        <f>N77*VLOOKUP('Données projet'!$B$9,Paramètres!$A$1:$I$89,3,0)*VLOOKUP('Données projet'!$B$9,Paramètres!$A$1:$I$89,5,0)</f>
        <v>159.0281333333333</v>
      </c>
      <c r="P77" s="14">
        <f t="shared" si="87"/>
        <v>40.623230498118033</v>
      </c>
      <c r="Q77" s="22">
        <f t="shared" si="54"/>
        <v>347.72612533977775</v>
      </c>
      <c r="R77" s="62">
        <f t="shared" si="55"/>
        <v>641.05945867311107</v>
      </c>
      <c r="S77" s="62">
        <f ca="1">AVERAGE(OFFSET($R$3,0,0,'Données projet'!$E$9+1,1))-AVERAGE(OFFSET($H$3,0,0,'Données projet'!$E$9+1,1))</f>
        <v>262.06511368698341</v>
      </c>
      <c r="T77" s="62">
        <f t="shared" si="88"/>
        <v>217.15709240080542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17.58605486827749</v>
      </c>
      <c r="AA77" s="23">
        <f>EXP(-LN(2)/25)*AA76+(1-EXP(-LN(2)/25))/(LN(2)/25)*Calculateur!V77*Calculateur!X77*VLOOKUP('Données projet'!$B$9,Paramètres!$A$1:$I$89,3,0)*0.475*44/12</f>
        <v>7.8069379877482366</v>
      </c>
      <c r="AB77" s="23">
        <f>EXP(-LN(2)/2)*AB76+(1-EXP(-LN(2)/2))/(LN(2)/2)*V77*Y77*VLOOKUP('Données projet'!$B$9,Paramètres!$A$1:$I$89,3,0)*0.475*44/12</f>
        <v>6.8820817442194815E-2</v>
      </c>
      <c r="AC77" s="24">
        <f t="shared" si="57"/>
        <v>25.461813673467923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11.169166666666664</v>
      </c>
      <c r="AI77" s="14">
        <f>IF('Données projet'!$A$62&gt;35,AI76+AH77-AQ76,IF(A77&lt;'Données projet'!$A$62,$AF$205^A77,IF(A77='Données projet'!$A$62,'Données projet'!$B$62,AI76+AH77-AQ76)))</f>
        <v>378.29083333333347</v>
      </c>
      <c r="AJ77" s="14">
        <f>AI77*VLOOKUP('Données projet'!$B$10,Paramètres!$A$1:$I$89,3,0)*VLOOKUP('Données projet'!$B$10,Paramètres!$A$1:$I$89,5,0)</f>
        <v>177.04011000000008</v>
      </c>
      <c r="AK77" s="14">
        <f t="shared" si="89"/>
        <v>44.663031058795241</v>
      </c>
      <c r="AL77" s="22">
        <f t="shared" si="58"/>
        <v>386.13297067740183</v>
      </c>
      <c r="AM77" s="62">
        <f t="shared" si="59"/>
        <v>679.46630401073514</v>
      </c>
      <c r="AN77" s="62">
        <f ca="1">AVERAGE(OFFSET($AM$3,0,0,'Données projet'!$E$10+1,1))-AVERAGE(OFFSET($H$3,0,0,'Données projet'!$E$10+1,1))</f>
        <v>287.83167869616227</v>
      </c>
      <c r="AO77" s="62">
        <f t="shared" si="90"/>
        <v>233.84231920589906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24.290440271273269</v>
      </c>
      <c r="AV77" s="23">
        <f>EXP(-LN(2)/25)*AV76+(1-EXP(-LN(2)/25))/(LN(2)/25)*Calculateur!AQ77*Calculateur!AS77*VLOOKUP('Données projet'!$B$10,Paramètres!$A$1:$I$89,3,0)*0.475*44/12</f>
        <v>14.10083420026095</v>
      </c>
      <c r="AW77" s="23">
        <f>EXP(-LN(2)/2)*AW76+(1-EXP(-LN(2)/2))/(LN(2)/2)*AQ77*AT77*VLOOKUP('Données projet'!$B$10,Paramètres!$A$1:$I$89,3,0)*0.475*44/12</f>
        <v>0.29807796745503284</v>
      </c>
      <c r="AX77" s="23">
        <f t="shared" si="60"/>
        <v>38.689352438989253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-1.7053025658242404E-13</v>
      </c>
      <c r="BE77" s="14">
        <f>BD77*VLOOKUP('Données projet'!$B$11,Paramètres!$A$1:$I$89,3,0)*VLOOKUP('Données projet'!$B$11,Paramètres!$A$1:$I$89,5,0)</f>
        <v>-1.064108801074326E-13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262.36903350767881</v>
      </c>
      <c r="BJ77" s="62">
        <f t="shared" si="92"/>
        <v>331.21009482262417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130.23232626286816</v>
      </c>
      <c r="BQ77" s="23">
        <f>EXP(-LN(2)/25)*BQ76+(1-EXP(-LN(2)/25))/(LN(2)/25)*Calculateur!BL77*Calculateur!BN77*VLOOKUP('Données projet'!$B$11,Paramètres!$A$1:$I$89,3,0)*0.475*44/12</f>
        <v>27.309282276137385</v>
      </c>
      <c r="BR77" s="23">
        <f>EXP(-LN(2)/2)*BR76+(1-EXP(-LN(2)/2))/(LN(2)/2)*BL77*BO77*VLOOKUP('Données projet'!$B$11,Paramètres!$A$1:$I$89,3,0)*0.475*44/12</f>
        <v>0.15562670756509794</v>
      </c>
      <c r="BS77" s="24">
        <f t="shared" si="63"/>
        <v>157.69723524657064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285.98</v>
      </c>
      <c r="BW77" s="13">
        <f>VLOOKUP(A77,'Données projet'!$A$113:$I$133,9,0)</f>
        <v>8.8662500000000044</v>
      </c>
      <c r="BX77" s="13">
        <f t="array" ref="BX77">INDEX(BW:BW,MIN(IF(ISNUMBER(BW77:BW273),ROW(BW77:BW273),"")))</f>
        <v>8.8662500000000044</v>
      </c>
      <c r="BY77" s="13">
        <f>IF('Données projet'!$A$114&gt;35,BY76+BX77-CG76,IF(A77&lt;'Données projet'!$A$114,$BV$205^A77,IF(A77='Données projet'!$A$114,'Données projet'!$B$114,BY76+BX77-CG76)))</f>
        <v>285.98000000000008</v>
      </c>
      <c r="BZ77" s="14">
        <f>BY77*VLOOKUP('Données projet'!$B$12,Paramètres!$A$1:$I$89,3,0)*VLOOKUP('Données projet'!$B$12,Paramètres!$A$1:$I$89,5,0)</f>
        <v>276.59985600000005</v>
      </c>
      <c r="CA77" s="14">
        <f t="shared" si="93"/>
        <v>66.247950571856578</v>
      </c>
      <c r="CB77" s="22">
        <f t="shared" si="64"/>
        <v>597.12659644598352</v>
      </c>
      <c r="CC77" s="62">
        <f t="shared" si="65"/>
        <v>890.45992977931678</v>
      </c>
      <c r="CD77" s="62">
        <f ca="1">AVERAGE(OFFSET($CC$3,0,0,'Données projet'!$E$12+1,1))-AVERAGE(OFFSET($H$3,0,0,'Données projet'!$E$12+1,1))</f>
        <v>618.83149423524605</v>
      </c>
      <c r="CE77" s="62">
        <f t="shared" si="94"/>
        <v>285.33582535802435</v>
      </c>
      <c r="CF77" s="16">
        <f>IF(ISNA(VLOOKUP(A77,'Données projet'!$A$113:$I$133,3,0)),0,VLOOKUP(A77,'Données projet'!$A$113:$I$133,3,0))</f>
        <v>5</v>
      </c>
      <c r="CG77" s="16">
        <f>IF(ISNA(VLOOKUP(A77,'Données projet'!$A$113:$I$133,4,0)),0,VLOOKUP(A77,'Données projet'!$A$113:$I$133,4,0))</f>
        <v>47.4</v>
      </c>
      <c r="CH77" s="17">
        <f>IF(ISNA(VLOOKUP(A77,'Données projet'!$A$113:$I$133,5,0)),0%,VLOOKUP(A77,'Données projet'!$A$113:$I$133,5,0)*VLOOKUP('Données projet'!$B$12,Paramètres!$A$1:$I$89,7,0))</f>
        <v>0.17200000000000001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21.744062228715293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21.744062228715293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9.782</v>
      </c>
      <c r="CT77" s="13">
        <f>IF('Données projet'!$A$140&gt;35,CT76+CS77-DB76,IF(A77&lt;'Données projet'!$A$140,$CQ$205^A77,IF(A77='Données projet'!$A$140,'Données projet'!$B$140,CT76+CS77-DB76)))</f>
        <v>461.30800000000005</v>
      </c>
      <c r="CU77" s="18">
        <f>CT77*VLOOKUP('Données projet'!$B$13,Paramètres!$A$1:$I$89,3,0)*VLOOKUP('Données projet'!$B$13,Paramètres!$A$1:$I$89,5,0)</f>
        <v>275.86218400000007</v>
      </c>
      <c r="CV77" s="14">
        <f t="shared" si="95"/>
        <v>66.091813160377626</v>
      </c>
      <c r="CW77" s="22">
        <f t="shared" si="67"/>
        <v>595.5698783876577</v>
      </c>
      <c r="CX77" s="62">
        <f t="shared" si="68"/>
        <v>888.90321172099107</v>
      </c>
      <c r="CY77" s="62">
        <f ca="1">AVERAGE(OFFSET($CX$3,0,0,'Données projet'!$E$13+1,1))-AVERAGE(OFFSET($H$3,0,0,'Données projet'!$E$13+1,1))</f>
        <v>349.5718186624772</v>
      </c>
      <c r="CZ77" s="62">
        <f t="shared" si="96"/>
        <v>258.14152930815959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60.098338107295277</v>
      </c>
      <c r="DG77" s="23">
        <f>EXP(-LN(2)/25)*DG76+(1-EXP(-LN(2)/25))/(LN(2)/25)*Calculateur!DB77*Calculateur!DD77*VLOOKUP('Données projet'!$B$13,Paramètres!$A$1:$I$89,3,0)*0.475*44/12</f>
        <v>13.242930537856575</v>
      </c>
      <c r="DH77" s="23">
        <f>EXP(-LN(2)/2)*DH76+(1-EXP(-LN(2)/2))/(LN(2)/2)*DB77*DE77*VLOOKUP('Données projet'!$B$13,Paramètres!$A$1:$I$89,3,0)*0.475*44/12</f>
        <v>1.0689590656263623</v>
      </c>
      <c r="DI77" s="24">
        <f t="shared" si="69"/>
        <v>74.410227710778216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</v>
      </c>
      <c r="DO77" s="13">
        <f>IF('Données projet'!$A$166&gt;35,DO76+DN77-DW76,IF(A77&lt;'Données projet'!$A$166,$DL$205^A77,IF(A77='Données projet'!$A$166,'Données projet'!$B$166,DO76+DN77-DW76)))</f>
        <v>200.59999999999997</v>
      </c>
      <c r="DP77" s="18">
        <f>DO77*VLOOKUP('Données projet'!$B$14,Paramètres!$A$1:$I$89,3,0)*VLOOKUP('Données projet'!$B$14,Paramètres!$A$1:$I$89,5,0)</f>
        <v>175.24415999999999</v>
      </c>
      <c r="DQ77" s="14">
        <f t="shared" si="97"/>
        <v>44.262456119927037</v>
      </c>
      <c r="DR77" s="22">
        <f t="shared" si="70"/>
        <v>382.30735640887292</v>
      </c>
      <c r="DS77" s="62">
        <f t="shared" si="71"/>
        <v>675.64068974220618</v>
      </c>
      <c r="DT77" s="62">
        <f ca="1">AVERAGE(OFFSET($DS$3,0,0,'Données projet'!$E$14+1,1))-AVERAGE(OFFSET($H$3,0,0,'Données projet'!$E$14+1,1))</f>
        <v>300.63505444445104</v>
      </c>
      <c r="DU77" s="62">
        <f t="shared" si="98"/>
        <v>266.32508105927997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16.209258844187357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16.209258844187357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4.2</v>
      </c>
      <c r="EJ77" s="13">
        <f>IF('Données projet'!$A$192&gt;35,EJ76+EI77-ER76,IF(A77&lt;'Données projet'!$A$192,$EG$205^A77,IF(A77='Données projet'!$A$192,'Données projet'!$B$192,EJ76+EI77-ER76)))</f>
        <v>319.7999999999999</v>
      </c>
      <c r="EK77" s="18">
        <f>EJ77*VLOOKUP('Données projet'!$B$15,Paramètres!$A$1:$I$89,3,0)*VLOOKUP('Données projet'!$B$15,Paramètres!$A$1:$I$89,5,0)</f>
        <v>254.43287999999995</v>
      </c>
      <c r="EL77" s="14">
        <f t="shared" si="99"/>
        <v>61.534202204620392</v>
      </c>
      <c r="EM77" s="22">
        <f t="shared" si="73"/>
        <v>550.30933483971376</v>
      </c>
      <c r="EN77" s="62">
        <f t="shared" si="74"/>
        <v>843.64266817304701</v>
      </c>
      <c r="EO77" s="62">
        <f ca="1">AVERAGE(OFFSET($EN$3,0,0,'Données projet'!$E$15+1,1))-AVERAGE(OFFSET($H$3,0,0,'Données projet'!$E$15+1,1))</f>
        <v>353.37024194969638</v>
      </c>
      <c r="EP77" s="62">
        <f t="shared" si="100"/>
        <v>345.4750813433123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31.702486321442681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31.702486321442681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4.5999999999999996</v>
      </c>
      <c r="FE77" s="13">
        <f>IF('Données projet'!$A$218&gt;35,FE76+FD77-FM76,IF(A77&lt;'Données projet'!$A$218,$FB$205^A77,IF(A77='Données projet'!$A$218,'Données projet'!$B$218,FE76+FD77-FM76)))</f>
        <v>236.40000000000012</v>
      </c>
      <c r="FF77" s="18">
        <f>FE77*VLOOKUP('Données projet'!$B$16,Paramètres!$A$1:$I$89,3,0)*VLOOKUP('Données projet'!$B$16,Paramètres!$A$1:$I$89,5,0)</f>
        <v>154.8892800000001</v>
      </c>
      <c r="FG77" s="14">
        <f t="shared" si="101"/>
        <v>39.687609366432291</v>
      </c>
      <c r="FH77" s="22">
        <f t="shared" si="76"/>
        <v>338.88808231320309</v>
      </c>
      <c r="FI77" s="62">
        <f t="shared" si="77"/>
        <v>632.22141564653634</v>
      </c>
      <c r="FJ77" s="62">
        <f ca="1">AVERAGE(OFFSET($FI$3,0,0,'Données projet'!$E$16+1,1))-AVERAGE(OFFSET($H$3,0,0,'Données projet'!$E$16+1,1))</f>
        <v>263.30962868541337</v>
      </c>
      <c r="FK77" s="62">
        <f t="shared" si="102"/>
        <v>269.61868559913404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16.133520385824301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16.133520385824301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272.72000000000003</v>
      </c>
      <c r="L78" s="13">
        <f>VLOOKUP(A78,'Données projet'!$A$35:$I$55,9,0)</f>
        <v>6.7866666666666671</v>
      </c>
      <c r="M78" s="13">
        <f t="array" ref="M78">INDEX(L:L,MIN(IF(ISNUMBER(L78:L274),ROW(L78:L274),"")))</f>
        <v>6.7866666666666671</v>
      </c>
      <c r="N78" s="14">
        <f>IF('Données projet'!$A$36&gt;35,N77+M78-V77,IF(A78&lt;'Données projet'!$A$36,$K$205^A78,IF(A78='Données projet'!$A$36,'Données projet'!$B$36,N77+M78-V77)))</f>
        <v>272.71999999999997</v>
      </c>
      <c r="O78" s="14">
        <f>N78*VLOOKUP('Données projet'!$B$9,Paramètres!$A$1:$I$89,3,0)*VLOOKUP('Données projet'!$B$9,Paramètres!$A$1:$I$89,5,0)</f>
        <v>163.08655999999999</v>
      </c>
      <c r="P78" s="14">
        <f t="shared" si="87"/>
        <v>41.537921555913933</v>
      </c>
      <c r="Q78" s="22">
        <f t="shared" si="54"/>
        <v>356.38763870988345</v>
      </c>
      <c r="R78" s="62">
        <f t="shared" si="55"/>
        <v>649.72097204321676</v>
      </c>
      <c r="S78" s="62">
        <f ca="1">AVERAGE(OFFSET($R$3,0,0,'Données projet'!$E$9+1,1))-AVERAGE(OFFSET($H$3,0,0,'Données projet'!$E$9+1,1))</f>
        <v>262.06511368698341</v>
      </c>
      <c r="T78" s="62">
        <f t="shared" si="88"/>
        <v>217.15709240080542</v>
      </c>
      <c r="U78" s="16">
        <f>IF(ISNA(VLOOKUP(A78,'Données projet'!$A$35:$I$55,3,0)),0,VLOOKUP(A78,'Données projet'!$A$35:$I$55,3,0))</f>
        <v>3</v>
      </c>
      <c r="V78" s="16">
        <f>IF(ISNA(VLOOKUP(A78,'Données projet'!$A$35:$I$55,4,0)),0,VLOOKUP(A78,'Données projet'!$A$35:$I$55,4,0))</f>
        <v>75.069999999999993</v>
      </c>
      <c r="W78" s="17">
        <f>IF(ISNA(VLOOKUP(A78,'Données projet'!$A$35:$I$55,5,0)),0%,VLOOKUP(A78,'Données projet'!$A$35:$I$55,5,0)*VLOOKUP('Données projet'!$B$9,Paramètres!$A$1:$I$89,7,0))</f>
        <v>0.315</v>
      </c>
      <c r="X78" s="17">
        <f>IF(ISNA(VLOOKUP(A78,'Données projet'!$A$35:$I$55,6,0)),0%,VLOOKUP(A78,'Données projet'!$A$35:$I$55,6,0)*VLOOKUP('Données projet'!$B$9,Paramètres!$A$1:$I$89,7,0))</f>
        <v>7.6500000000000012E-2</v>
      </c>
      <c r="Y78" s="17">
        <f>IF(ISNA(VLOOKUP(A78,'Données projet'!$A$35:$I$55,7,0)),0%,VLOOKUP(A78,'Données projet'!$A$35:$I$55,7,0))</f>
        <v>0.13</v>
      </c>
      <c r="Z78" s="23">
        <f>EXP(-LN(2)/35)*Z77+(1-EXP(-LN(2)/35))/(LN(2)/35)*V78*W78*VLOOKUP('Données projet'!$B$9,Paramètres!$A$1:$I$89,3,0)*0.475*44/12</f>
        <v>36.000065990333837</v>
      </c>
      <c r="AA78" s="23">
        <f>EXP(-LN(2)/25)*AA77+(1-EXP(-LN(2)/25))/(LN(2)/25)*Calculateur!V78*Calculateur!X78*VLOOKUP('Données projet'!$B$9,Paramètres!$A$1:$I$89,3,0)*0.475*44/12</f>
        <v>12.131243092055412</v>
      </c>
      <c r="AB78" s="23">
        <f>EXP(-LN(2)/2)*AB77+(1-EXP(-LN(2)/2))/(LN(2)/2)*V78*Y78*VLOOKUP('Données projet'!$B$9,Paramètres!$A$1:$I$89,3,0)*0.475*44/12</f>
        <v>6.6563054591449156</v>
      </c>
      <c r="AC78" s="24">
        <f t="shared" si="57"/>
        <v>54.787614541534168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389.46</v>
      </c>
      <c r="AG78" s="13">
        <f>VLOOKUP(A78,'Données projet'!$A$61:$I$81,9,0)</f>
        <v>11.169166666666664</v>
      </c>
      <c r="AH78" s="13">
        <f t="array" ref="AH78">INDEX(AG:AG,MIN(IF(ISNUMBER(AG78:AG274),ROW(AG78:AG274),"")))</f>
        <v>11.169166666666664</v>
      </c>
      <c r="AI78" s="14">
        <f>IF('Données projet'!$A$62&gt;35,AI77+AH78-AQ77,IF(A78&lt;'Données projet'!$A$62,$AF$205^A78,IF(A78='Données projet'!$A$62,'Données projet'!$B$62,AI77+AH78-AQ77)))</f>
        <v>389.46000000000015</v>
      </c>
      <c r="AJ78" s="14">
        <f>AI78*VLOOKUP('Données projet'!$B$10,Paramètres!$A$1:$I$89,3,0)*VLOOKUP('Données projet'!$B$10,Paramètres!$A$1:$I$89,5,0)</f>
        <v>182.26728000000008</v>
      </c>
      <c r="AK78" s="14">
        <f t="shared" si="89"/>
        <v>45.82624612656528</v>
      </c>
      <c r="AL78" s="22">
        <f t="shared" si="58"/>
        <v>397.26289133710134</v>
      </c>
      <c r="AM78" s="62">
        <f t="shared" si="59"/>
        <v>690.59622467043459</v>
      </c>
      <c r="AN78" s="62">
        <f ca="1">AVERAGE(OFFSET($AM$3,0,0,'Données projet'!$E$10+1,1))-AVERAGE(OFFSET($H$3,0,0,'Données projet'!$E$10+1,1))</f>
        <v>287.83167869616227</v>
      </c>
      <c r="AO78" s="62">
        <f t="shared" si="90"/>
        <v>233.84231920589906</v>
      </c>
      <c r="AP78" s="16">
        <f>IF(ISNA(VLOOKUP(A78,'Données projet'!$A$61:$I$81,3,0)),0,VLOOKUP(A78,'Données projet'!$A$61:$I$81,3,0))</f>
        <v>3</v>
      </c>
      <c r="AQ78" s="16">
        <f>IF(ISNA(VLOOKUP(A78,'Données projet'!$A$61:$I$81,4,0)),0,VLOOKUP(A78,'Données projet'!$A$61:$I$81,4,0))</f>
        <v>92.44</v>
      </c>
      <c r="AR78" s="17">
        <f>IF(ISNA(VLOOKUP(A78,'Données projet'!$A$61:$I$81,5,0)),0%,VLOOKUP(A78,'Données projet'!$A$61:$I$81,5,0)*VLOOKUP('Données projet'!$B$10,Paramètres!$A$1:$I$89,7,0))</f>
        <v>0.33</v>
      </c>
      <c r="AS78" s="17">
        <f>IF(ISNA(VLOOKUP(A78,'Données projet'!$A$61:$I$81,6,0)),0%,VLOOKUP(A78,'Données projet'!$A$61:$I$81,6,0)*VLOOKUP('Données projet'!$B$10,Paramètres!$A$1:$I$89,7,0))</f>
        <v>0.12100000000000001</v>
      </c>
      <c r="AT78" s="17">
        <f>IF(ISNA(VLOOKUP(A78,'Données projet'!$A$61:$I$81,7,0)),0%,VLOOKUP(A78,'Données projet'!$A$61:$I$81,7,0))</f>
        <v>0.18</v>
      </c>
      <c r="AU78" s="23">
        <f>EXP(-LN(2)/35)*AU77+(1-EXP(-LN(2)/35))/(LN(2)/35)*AQ78*AR78*VLOOKUP('Données projet'!$B$10,Paramètres!$A$1:$I$89,3,0)*0.475*44/12</f>
        <v>42.752728917461994</v>
      </c>
      <c r="AV78" s="23">
        <f>EXP(-LN(2)/25)*AV77+(1-EXP(-LN(2)/25))/(LN(2)/25)*Calculateur!AQ78*Calculateur!AS78*VLOOKUP('Données projet'!$B$10,Paramètres!$A$1:$I$89,3,0)*0.475*44/12</f>
        <v>20.632061123276166</v>
      </c>
      <c r="AW78" s="23">
        <f>EXP(-LN(2)/2)*AW77+(1-EXP(-LN(2)/2))/(LN(2)/2)*AQ78*AT78*VLOOKUP('Données projet'!$B$10,Paramètres!$A$1:$I$89,3,0)*0.475*44/12</f>
        <v>9.0276307059708643</v>
      </c>
      <c r="AX78" s="23">
        <f t="shared" si="60"/>
        <v>72.412420746709017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-1.7053025658242404E-13</v>
      </c>
      <c r="BE78" s="14">
        <f>BD78*VLOOKUP('Données projet'!$B$11,Paramètres!$A$1:$I$89,3,0)*VLOOKUP('Données projet'!$B$11,Paramètres!$A$1:$I$89,5,0)</f>
        <v>-1.064108801074326E-13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262.36903350767881</v>
      </c>
      <c r="BJ78" s="62">
        <f t="shared" si="92"/>
        <v>331.21009482262417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127.67854977872889</v>
      </c>
      <c r="BQ78" s="23">
        <f>EXP(-LN(2)/25)*BQ77+(1-EXP(-LN(2)/25))/(LN(2)/25)*Calculateur!BL78*Calculateur!BN78*VLOOKUP('Données projet'!$B$11,Paramètres!$A$1:$I$89,3,0)*0.475*44/12</f>
        <v>26.562508516163668</v>
      </c>
      <c r="BR78" s="23">
        <f>EXP(-LN(2)/2)*BR77+(1-EXP(-LN(2)/2))/(LN(2)/2)*BL78*BO78*VLOOKUP('Données projet'!$B$11,Paramètres!$A$1:$I$89,3,0)*0.475*44/12</f>
        <v>0.11004470025301653</v>
      </c>
      <c r="BS78" s="24">
        <f t="shared" si="63"/>
        <v>154.35110299514557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8.6770000000000014</v>
      </c>
      <c r="BY78" s="13">
        <f>IF('Données projet'!$A$114&gt;35,BY77+BX78-CG77,IF(A78&lt;'Données projet'!$A$114,$BV$205^A78,IF(A78='Données projet'!$A$114,'Données projet'!$B$114,BY77+BX78-CG77)))</f>
        <v>247.25700000000009</v>
      </c>
      <c r="BZ78" s="14">
        <f>BY78*VLOOKUP('Données projet'!$B$12,Paramètres!$A$1:$I$89,3,0)*VLOOKUP('Données projet'!$B$12,Paramètres!$A$1:$I$89,5,0)</f>
        <v>239.1469704000001</v>
      </c>
      <c r="CA78" s="14">
        <f t="shared" si="93"/>
        <v>58.255958992346976</v>
      </c>
      <c r="CB78" s="22">
        <f t="shared" si="64"/>
        <v>517.97676869167117</v>
      </c>
      <c r="CC78" s="62">
        <f t="shared" si="65"/>
        <v>811.31010202500443</v>
      </c>
      <c r="CD78" s="62">
        <f ca="1">AVERAGE(OFFSET($CC$3,0,0,'Données projet'!$E$12+1,1))-AVERAGE(OFFSET($H$3,0,0,'Données projet'!$E$12+1,1))</f>
        <v>618.83149423524605</v>
      </c>
      <c r="CE78" s="62">
        <f t="shared" si="94"/>
        <v>285.33582535802435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21.317674430978578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21.317674430978578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9.782</v>
      </c>
      <c r="CT78" s="13">
        <f>IF('Données projet'!$A$140&gt;35,CT77+CS78-DB77,IF(A78&lt;'Données projet'!$A$140,$CQ$205^A78,IF(A78='Données projet'!$A$140,'Données projet'!$B$140,CT77+CS78-DB77)))</f>
        <v>471.09000000000003</v>
      </c>
      <c r="CU78" s="18">
        <f>CT78*VLOOKUP('Données projet'!$B$13,Paramètres!$A$1:$I$89,3,0)*VLOOKUP('Données projet'!$B$13,Paramètres!$A$1:$I$89,5,0)</f>
        <v>281.71182000000005</v>
      </c>
      <c r="CV78" s="14">
        <f t="shared" si="95"/>
        <v>67.328637229880215</v>
      </c>
      <c r="CW78" s="22">
        <f t="shared" si="67"/>
        <v>607.91212967537479</v>
      </c>
      <c r="CX78" s="62">
        <f t="shared" si="68"/>
        <v>901.24546300870816</v>
      </c>
      <c r="CY78" s="62">
        <f ca="1">AVERAGE(OFFSET($CX$3,0,0,'Données projet'!$E$13+1,1))-AVERAGE(OFFSET($H$3,0,0,'Données projet'!$E$13+1,1))</f>
        <v>349.5718186624772</v>
      </c>
      <c r="CZ78" s="62">
        <f t="shared" si="96"/>
        <v>258.14152930815959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58.919846353377949</v>
      </c>
      <c r="DG78" s="23">
        <f>EXP(-LN(2)/25)*DG77+(1-EXP(-LN(2)/25))/(LN(2)/25)*Calculateur!DB78*Calculateur!DD78*VLOOKUP('Données projet'!$B$13,Paramètres!$A$1:$I$89,3,0)*0.475*44/12</f>
        <v>12.880801905883438</v>
      </c>
      <c r="DH78" s="23">
        <f>EXP(-LN(2)/2)*DH77+(1-EXP(-LN(2)/2))/(LN(2)/2)*DB78*DE78*VLOOKUP('Données projet'!$B$13,Paramètres!$A$1:$I$89,3,0)*0.475*44/12</f>
        <v>0.75586820411523659</v>
      </c>
      <c r="DI78" s="24">
        <f t="shared" si="69"/>
        <v>72.55651646337661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204</v>
      </c>
      <c r="DM78" s="13">
        <f>VLOOKUP(A78,'Données projet'!$A$165:$I$185,9,0)</f>
        <v>3.4</v>
      </c>
      <c r="DN78" s="13">
        <f t="array" ref="DN78">INDEX(DM:DM,MIN(IF(ISNUMBER(DM78:DM274),ROW(DM78:DM274),"")))</f>
        <v>3.4</v>
      </c>
      <c r="DO78" s="13">
        <f>IF('Données projet'!$A$166&gt;35,DO77+DN78-DW77,IF(A78&lt;'Données projet'!$A$166,$DL$205^A78,IF(A78='Données projet'!$A$166,'Données projet'!$B$166,DO77+DN78-DW77)))</f>
        <v>203.99999999999997</v>
      </c>
      <c r="DP78" s="18">
        <f>DO78*VLOOKUP('Données projet'!$B$14,Paramètres!$A$1:$I$89,3,0)*VLOOKUP('Données projet'!$B$14,Paramètres!$A$1:$I$89,5,0)</f>
        <v>178.21440000000001</v>
      </c>
      <c r="DQ78" s="14">
        <f t="shared" si="97"/>
        <v>44.924692855664368</v>
      </c>
      <c r="DR78" s="22">
        <f t="shared" si="70"/>
        <v>388.63392005694874</v>
      </c>
      <c r="DS78" s="62">
        <f t="shared" si="71"/>
        <v>681.96725339028205</v>
      </c>
      <c r="DT78" s="62">
        <f ca="1">AVERAGE(OFFSET($DS$3,0,0,'Données projet'!$E$14+1,1))-AVERAGE(OFFSET($H$3,0,0,'Données projet'!$E$14+1,1))</f>
        <v>300.63505444445104</v>
      </c>
      <c r="DU78" s="62">
        <f t="shared" si="98"/>
        <v>266.32508105927997</v>
      </c>
      <c r="DV78" s="16">
        <f>IF(ISNA(VLOOKUP(A78,'Données projet'!$A$165:$I$185,3,0)),0,VLOOKUP(A78,'Données projet'!$A$165:$I$185,3,0))</f>
        <v>14</v>
      </c>
      <c r="DW78" s="16">
        <f>IF(ISNA(VLOOKUP(A78,'Données projet'!$A$165:$I$185,4,0)),0,VLOOKUP(A78,'Données projet'!$A$165:$I$185,4,0))</f>
        <v>12</v>
      </c>
      <c r="DX78" s="17">
        <f>IF(ISNA(VLOOKUP(A78,'Données projet'!$A$165:$I$185,5,0)),0%,VLOOKUP(A78,'Données projet'!$A$165:$I$185,5,0)*VLOOKUP('Données projet'!$B$14,Paramètres!$A$1:$I$89,7,0))</f>
        <v>0.25800000000000001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18.881332872266224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18.881332872266224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324</v>
      </c>
      <c r="EH78" s="13">
        <f>VLOOKUP(A78,'Données projet'!$A$191:$I$211,9,0)</f>
        <v>4.2</v>
      </c>
      <c r="EI78" s="13">
        <f t="array" ref="EI78">INDEX(EH:EH,MIN(IF(ISNUMBER(EH78:EH274),ROW(EH78:EH274),"")))</f>
        <v>4.2</v>
      </c>
      <c r="EJ78" s="13">
        <f>IF('Données projet'!$A$192&gt;35,EJ77+EI78-ER77,IF(A78&lt;'Données projet'!$A$192,$EG$205^A78,IF(A78='Données projet'!$A$192,'Données projet'!$B$192,EJ77+EI78-ER77)))</f>
        <v>323.99999999999989</v>
      </c>
      <c r="EK78" s="18">
        <f>EJ78*VLOOKUP('Données projet'!$B$15,Paramètres!$A$1:$I$89,3,0)*VLOOKUP('Données projet'!$B$15,Paramètres!$A$1:$I$89,5,0)</f>
        <v>257.77439999999996</v>
      </c>
      <c r="EL78" s="14">
        <f t="shared" si="99"/>
        <v>62.247732872134293</v>
      </c>
      <c r="EM78" s="22">
        <f t="shared" si="73"/>
        <v>557.37188141896718</v>
      </c>
      <c r="EN78" s="62">
        <f t="shared" si="74"/>
        <v>850.70521475230044</v>
      </c>
      <c r="EO78" s="62">
        <f ca="1">AVERAGE(OFFSET($EN$3,0,0,'Données projet'!$E$15+1,1))-AVERAGE(OFFSET($H$3,0,0,'Données projet'!$E$15+1,1))</f>
        <v>353.37024194969638</v>
      </c>
      <c r="EP78" s="62">
        <f t="shared" si="100"/>
        <v>345.4750813433123</v>
      </c>
      <c r="EQ78" s="16">
        <f>IF(ISNA(VLOOKUP(A78,'Données projet'!$A$191:$I$211,3,0)),0,VLOOKUP(A78,'Données projet'!$A$191:$I$211,3,0))</f>
        <v>14</v>
      </c>
      <c r="ER78" s="16">
        <f>IF(ISNA(VLOOKUP(A78,'Données projet'!$A$191:$I$211,4,0)),0,VLOOKUP(A78,'Données projet'!$A$191:$I$211,4,0))</f>
        <v>12</v>
      </c>
      <c r="ES78" s="17">
        <f>IF(ISNA(VLOOKUP(A78,'Données projet'!$A$191:$I$211,5,0)),0%,VLOOKUP(A78,'Données projet'!$A$191:$I$211,5,0)*VLOOKUP('Données projet'!$B$15,Paramètres!$A$1:$I$89,7,0))</f>
        <v>0.42400000000000004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35.555778147656753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35.555778147656753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241</v>
      </c>
      <c r="FC78" s="13">
        <f>VLOOKUP(A78,'Données projet'!$A$217:$I$237,9,0)</f>
        <v>4.5999999999999996</v>
      </c>
      <c r="FD78" s="13">
        <f t="array" ref="FD78">INDEX(FC:FC,MIN(IF(ISNUMBER(FC78:FC274),ROW(FC78:FC274),"")))</f>
        <v>4.5999999999999996</v>
      </c>
      <c r="FE78" s="13">
        <f>IF('Données projet'!$A$218&gt;35,FE77+FD78-FM77,IF(A78&lt;'Données projet'!$A$218,$FB$205^A78,IF(A78='Données projet'!$A$218,'Données projet'!$B$218,FE77+FD78-FM77)))</f>
        <v>241.00000000000011</v>
      </c>
      <c r="FF78" s="18">
        <f>FE78*VLOOKUP('Données projet'!$B$16,Paramètres!$A$1:$I$89,3,0)*VLOOKUP('Données projet'!$B$16,Paramètres!$A$1:$I$89,5,0)</f>
        <v>157.90320000000008</v>
      </c>
      <c r="FG78" s="14">
        <f t="shared" si="101"/>
        <v>40.369213826539486</v>
      </c>
      <c r="FH78" s="22">
        <f t="shared" si="76"/>
        <v>345.32445408122311</v>
      </c>
      <c r="FI78" s="62">
        <f t="shared" si="77"/>
        <v>638.65778741455642</v>
      </c>
      <c r="FJ78" s="62">
        <f ca="1">AVERAGE(OFFSET($FI$3,0,0,'Données projet'!$E$16+1,1))-AVERAGE(OFFSET($H$3,0,0,'Données projet'!$E$16+1,1))</f>
        <v>263.30962868541337</v>
      </c>
      <c r="FK78" s="62">
        <f t="shared" si="102"/>
        <v>269.61868559913404</v>
      </c>
      <c r="FL78" s="16">
        <f>IF(ISNA(VLOOKUP(A78,'Données projet'!$A$217:$I$237,3,0)),0,VLOOKUP(A78,'Données projet'!$A$217:$I$237,3,0))</f>
        <v>14</v>
      </c>
      <c r="FM78" s="16">
        <f>IF(ISNA(VLOOKUP(A78,'Données projet'!$A$217:$I$237,4,0)),0,VLOOKUP(A78,'Données projet'!$A$217:$I$237,4,0))</f>
        <v>18</v>
      </c>
      <c r="FN78" s="17">
        <f>IF(ISNA(VLOOKUP(A78,'Données projet'!$A$217:$I$237,5,0)),0%,VLOOKUP(A78,'Données projet'!$A$217:$I$237,5,0)*VLOOKUP('Données projet'!$B$16,Paramètres!$A$1:$I$89,7,0))</f>
        <v>0.25800000000000001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19.180820562293484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19.180820562293484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6.2826666666666631</v>
      </c>
      <c r="N79" s="14">
        <f>IF('Données projet'!$A$36&gt;35,N78+M79-V78,IF(A79&lt;'Données projet'!$A$36,$K$205^A79,IF(A79='Données projet'!$A$36,'Données projet'!$B$36,N78+M79-V78)))</f>
        <v>203.93266666666665</v>
      </c>
      <c r="O79" s="14">
        <f>N79*VLOOKUP('Données projet'!$B$9,Paramètres!$A$1:$I$89,3,0)*VLOOKUP('Données projet'!$B$9,Paramètres!$A$1:$I$89,5,0)</f>
        <v>121.95173466666667</v>
      </c>
      <c r="P79" s="14">
        <f t="shared" si="87"/>
        <v>32.129781041923692</v>
      </c>
      <c r="Q79" s="22">
        <f t="shared" si="54"/>
        <v>268.35863985912823</v>
      </c>
      <c r="R79" s="62">
        <f t="shared" si="55"/>
        <v>561.69197319246155</v>
      </c>
      <c r="S79" s="62">
        <f ca="1">AVERAGE(OFFSET($R$3,0,0,'Données projet'!$E$9+1,1))-AVERAGE(OFFSET($H$3,0,0,'Données projet'!$E$9+1,1))</f>
        <v>262.06511368698341</v>
      </c>
      <c r="T79" s="62">
        <f t="shared" si="88"/>
        <v>217.15709240080542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35.294126654135482</v>
      </c>
      <c r="AA79" s="23">
        <f>EXP(-LN(2)/25)*AA78+(1-EXP(-LN(2)/25))/(LN(2)/25)*Calculateur!V79*Calculateur!X79*VLOOKUP('Données projet'!$B$9,Paramètres!$A$1:$I$89,3,0)*0.475*44/12</f>
        <v>11.799513611748809</v>
      </c>
      <c r="AB79" s="23">
        <f>EXP(-LN(2)/2)*AB78+(1-EXP(-LN(2)/2))/(LN(2)/2)*V79*Y79*VLOOKUP('Données projet'!$B$9,Paramètres!$A$1:$I$89,3,0)*0.475*44/12</f>
        <v>4.7067187278104061</v>
      </c>
      <c r="AC79" s="24">
        <f t="shared" si="57"/>
        <v>51.800358993694694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10.26166666666667</v>
      </c>
      <c r="AI79" s="14">
        <f>IF('Données projet'!$A$62&gt;35,AI78+AH79-AQ78,IF(A79&lt;'Données projet'!$A$62,$AF$205^A79,IF(A79='Données projet'!$A$62,'Données projet'!$B$62,AI78+AH79-AQ78)))</f>
        <v>307.28166666666681</v>
      </c>
      <c r="AJ79" s="14">
        <f>AI79*VLOOKUP('Données projet'!$B$10,Paramètres!$A$1:$I$89,3,0)*VLOOKUP('Données projet'!$B$10,Paramètres!$A$1:$I$89,5,0)</f>
        <v>143.80782000000008</v>
      </c>
      <c r="AK79" s="14">
        <f t="shared" si="89"/>
        <v>37.167956515233485</v>
      </c>
      <c r="AL79" s="22">
        <f t="shared" si="58"/>
        <v>315.19947743069849</v>
      </c>
      <c r="AM79" s="62">
        <f t="shared" si="59"/>
        <v>608.53281076403186</v>
      </c>
      <c r="AN79" s="62">
        <f ca="1">AVERAGE(OFFSET($AM$3,0,0,'Données projet'!$E$10+1,1))-AVERAGE(OFFSET($H$3,0,0,'Données projet'!$E$10+1,1))</f>
        <v>287.83167869616227</v>
      </c>
      <c r="AO79" s="62">
        <f t="shared" si="90"/>
        <v>233.84231920589906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41.914373979980354</v>
      </c>
      <c r="AV79" s="23">
        <f>EXP(-LN(2)/25)*AV78+(1-EXP(-LN(2)/25))/(LN(2)/25)*Calculateur!AQ79*Calculateur!AS79*VLOOKUP('Données projet'!$B$10,Paramètres!$A$1:$I$89,3,0)*0.475*44/12</f>
        <v>20.067876326867239</v>
      </c>
      <c r="AW79" s="23">
        <f>EXP(-LN(2)/2)*AW78+(1-EXP(-LN(2)/2))/(LN(2)/2)*AQ79*AT79*VLOOKUP('Données projet'!$B$10,Paramètres!$A$1:$I$89,3,0)*0.475*44/12</f>
        <v>6.3834988902398981</v>
      </c>
      <c r="AX79" s="23">
        <f t="shared" si="60"/>
        <v>68.365749197087482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-1.7053025658242404E-13</v>
      </c>
      <c r="BE79" s="14">
        <f>BD79*VLOOKUP('Données projet'!$B$11,Paramètres!$A$1:$I$89,3,0)*VLOOKUP('Données projet'!$B$11,Paramètres!$A$1:$I$89,5,0)</f>
        <v>-1.064108801074326E-13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262.36903350767881</v>
      </c>
      <c r="BJ79" s="62">
        <f t="shared" si="92"/>
        <v>331.21009482262417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125.17485129379375</v>
      </c>
      <c r="BQ79" s="23">
        <f>EXP(-LN(2)/25)*BQ78+(1-EXP(-LN(2)/25))/(LN(2)/25)*Calculateur!BL79*Calculateur!BN79*VLOOKUP('Données projet'!$B$11,Paramètres!$A$1:$I$89,3,0)*0.475*44/12</f>
        <v>25.83615532392756</v>
      </c>
      <c r="BR79" s="23">
        <f>EXP(-LN(2)/2)*BR78+(1-EXP(-LN(2)/2))/(LN(2)/2)*BL79*BO79*VLOOKUP('Données projet'!$B$11,Paramètres!$A$1:$I$89,3,0)*0.475*44/12</f>
        <v>7.7813353782548972E-2</v>
      </c>
      <c r="BS79" s="24">
        <f t="shared" si="63"/>
        <v>151.08881997150385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8.6770000000000014</v>
      </c>
      <c r="BY79" s="13">
        <f>IF('Données projet'!$A$114&gt;35,BY78+BX79-CG78,IF(A79&lt;'Données projet'!$A$114,$BV$205^A79,IF(A79='Données projet'!$A$114,'Données projet'!$B$114,BY78+BX79-CG78)))</f>
        <v>255.93400000000008</v>
      </c>
      <c r="BZ79" s="14">
        <f>BY79*VLOOKUP('Données projet'!$B$12,Paramètres!$A$1:$I$89,3,0)*VLOOKUP('Données projet'!$B$12,Paramètres!$A$1:$I$89,5,0)</f>
        <v>247.5393648000001</v>
      </c>
      <c r="CA79" s="14">
        <f t="shared" si="93"/>
        <v>60.058729915302607</v>
      </c>
      <c r="CB79" s="22">
        <f t="shared" si="64"/>
        <v>535.73334829581881</v>
      </c>
      <c r="CC79" s="62">
        <f t="shared" si="65"/>
        <v>829.06668162915207</v>
      </c>
      <c r="CD79" s="62">
        <f ca="1">AVERAGE(OFFSET($CC$3,0,0,'Données projet'!$E$12+1,1))-AVERAGE(OFFSET($H$3,0,0,'Données projet'!$E$12+1,1))</f>
        <v>618.83149423524605</v>
      </c>
      <c r="CE79" s="62">
        <f t="shared" si="94"/>
        <v>285.33582535802435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20.899647837884601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20.899647837884601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9.782</v>
      </c>
      <c r="CT79" s="13">
        <f>IF('Données projet'!$A$140&gt;35,CT78+CS79-DB78,IF(A79&lt;'Données projet'!$A$140,$CQ$205^A79,IF(A79='Données projet'!$A$140,'Données projet'!$B$140,CT78+CS79-DB78)))</f>
        <v>480.87200000000001</v>
      </c>
      <c r="CU79" s="18">
        <f>CT79*VLOOKUP('Données projet'!$B$13,Paramètres!$A$1:$I$89,3,0)*VLOOKUP('Données projet'!$B$13,Paramètres!$A$1:$I$89,5,0)</f>
        <v>287.56145600000002</v>
      </c>
      <c r="CV79" s="14">
        <f t="shared" si="95"/>
        <v>68.562475277867222</v>
      </c>
      <c r="CW79" s="22">
        <f t="shared" si="67"/>
        <v>620.24918030895208</v>
      </c>
      <c r="CX79" s="62">
        <f t="shared" si="68"/>
        <v>913.58251364228545</v>
      </c>
      <c r="CY79" s="62">
        <f ca="1">AVERAGE(OFFSET($CX$3,0,0,'Données projet'!$E$13+1,1))-AVERAGE(OFFSET($H$3,0,0,'Données projet'!$E$13+1,1))</f>
        <v>349.5718186624772</v>
      </c>
      <c r="CZ79" s="62">
        <f t="shared" si="96"/>
        <v>258.14152930815959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57.764464103945947</v>
      </c>
      <c r="DG79" s="23">
        <f>EXP(-LN(2)/25)*DG78+(1-EXP(-LN(2)/25))/(LN(2)/25)*Calculateur!DB79*Calculateur!DD79*VLOOKUP('Données projet'!$B$13,Paramètres!$A$1:$I$89,3,0)*0.475*44/12</f>
        <v>12.528575700395121</v>
      </c>
      <c r="DH79" s="23">
        <f>EXP(-LN(2)/2)*DH78+(1-EXP(-LN(2)/2))/(LN(2)/2)*DB79*DE79*VLOOKUP('Données projet'!$B$13,Paramètres!$A$1:$I$89,3,0)*0.475*44/12</f>
        <v>0.53447953281318128</v>
      </c>
      <c r="DI79" s="24">
        <f t="shared" si="69"/>
        <v>70.827519337154243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3.2</v>
      </c>
      <c r="DO79" s="13">
        <f>IF('Données projet'!$A$166&gt;35,DO78+DN79-DW78,IF(A79&lt;'Données projet'!$A$166,$DL$205^A79,IF(A79='Données projet'!$A$166,'Données projet'!$B$166,DO78+DN79-DW78)))</f>
        <v>195.19999999999996</v>
      </c>
      <c r="DP79" s="18">
        <f>DO79*VLOOKUP('Données projet'!$B$14,Paramètres!$A$1:$I$89,3,0)*VLOOKUP('Données projet'!$B$14,Paramètres!$A$1:$I$89,5,0)</f>
        <v>170.52671999999998</v>
      </c>
      <c r="DQ79" s="14">
        <f t="shared" si="97"/>
        <v>43.207970095682747</v>
      </c>
      <c r="DR79" s="22">
        <f t="shared" si="70"/>
        <v>372.25458524998072</v>
      </c>
      <c r="DS79" s="62">
        <f t="shared" si="71"/>
        <v>665.58791858331404</v>
      </c>
      <c r="DT79" s="62">
        <f ca="1">AVERAGE(OFFSET($DS$3,0,0,'Données projet'!$E$14+1,1))-AVERAGE(OFFSET($H$3,0,0,'Données projet'!$E$14+1,1))</f>
        <v>300.63505444445104</v>
      </c>
      <c r="DU79" s="62">
        <f t="shared" si="98"/>
        <v>266.32508105927997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18.511081451116979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18.511081451116979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3.6</v>
      </c>
      <c r="EJ79" s="13">
        <f>IF('Données projet'!$A$192&gt;35,EJ78+EI79-ER78,IF(A79&lt;'Données projet'!$A$192,$EG$205^A79,IF(A79='Données projet'!$A$192,'Données projet'!$B$192,EJ78+EI79-ER78)))</f>
        <v>315.59999999999991</v>
      </c>
      <c r="EK79" s="18">
        <f>EJ79*VLOOKUP('Données projet'!$B$15,Paramètres!$A$1:$I$89,3,0)*VLOOKUP('Données projet'!$B$15,Paramètres!$A$1:$I$89,5,0)</f>
        <v>251.09135999999995</v>
      </c>
      <c r="EL79" s="14">
        <f t="shared" si="99"/>
        <v>60.81957989149403</v>
      </c>
      <c r="EM79" s="22">
        <f t="shared" si="73"/>
        <v>543.24488697768527</v>
      </c>
      <c r="EN79" s="62">
        <f t="shared" si="74"/>
        <v>836.57822031101864</v>
      </c>
      <c r="EO79" s="62">
        <f ca="1">AVERAGE(OFFSET($EN$3,0,0,'Données projet'!$E$15+1,1))-AVERAGE(OFFSET($H$3,0,0,'Données projet'!$E$15+1,1))</f>
        <v>353.37024194969638</v>
      </c>
      <c r="EP79" s="62">
        <f t="shared" si="100"/>
        <v>345.4750813433123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34.858551025064472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34.858551025064472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4.2</v>
      </c>
      <c r="FE79" s="13">
        <f>IF('Données projet'!$A$218&gt;35,FE78+FD79-FM78,IF(A79&lt;'Données projet'!$A$218,$FB$205^A79,IF(A79='Données projet'!$A$218,'Données projet'!$B$218,FE78+FD79-FM78)))</f>
        <v>227.2000000000001</v>
      </c>
      <c r="FF79" s="18">
        <f>FE79*VLOOKUP('Données projet'!$B$16,Paramètres!$A$1:$I$89,3,0)*VLOOKUP('Données projet'!$B$16,Paramètres!$A$1:$I$89,5,0)</f>
        <v>148.86144000000007</v>
      </c>
      <c r="FG79" s="14">
        <f t="shared" si="101"/>
        <v>38.319729148991954</v>
      </c>
      <c r="FH79" s="22">
        <f t="shared" si="76"/>
        <v>326.00720293449439</v>
      </c>
      <c r="FI79" s="62">
        <f t="shared" si="77"/>
        <v>619.3405362678277</v>
      </c>
      <c r="FJ79" s="62">
        <f ca="1">AVERAGE(OFFSET($FI$3,0,0,'Données projet'!$E$16+1,1))-AVERAGE(OFFSET($H$3,0,0,'Données projet'!$E$16+1,1))</f>
        <v>263.30962868541337</v>
      </c>
      <c r="FK79" s="62">
        <f t="shared" si="102"/>
        <v>269.61868559913404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18.804696370212255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18.804696370212255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6.2826666666666631</v>
      </c>
      <c r="N80" s="14">
        <f>IF('Données projet'!$A$36&gt;35,N79+M80-V79,IF(A80&lt;'Données projet'!$A$36,$K$205^A80,IF(A80='Données projet'!$A$36,'Données projet'!$B$36,N79+M80-V79)))</f>
        <v>210.21533333333332</v>
      </c>
      <c r="O80" s="14">
        <f>N80*VLOOKUP('Données projet'!$B$9,Paramètres!$A$1:$I$89,3,0)*VLOOKUP('Données projet'!$B$9,Paramètres!$A$1:$I$89,5,0)</f>
        <v>125.70876933333332</v>
      </c>
      <c r="P80" s="14">
        <f t="shared" si="87"/>
        <v>33.002853131212461</v>
      </c>
      <c r="Q80" s="22">
        <f t="shared" si="54"/>
        <v>276.42274245908385</v>
      </c>
      <c r="R80" s="62">
        <f t="shared" si="55"/>
        <v>569.75607579241716</v>
      </c>
      <c r="S80" s="62">
        <f ca="1">AVERAGE(OFFSET($R$3,0,0,'Données projet'!$E$9+1,1))-AVERAGE(OFFSET($H$3,0,0,'Données projet'!$E$9+1,1))</f>
        <v>262.06511368698341</v>
      </c>
      <c r="T80" s="62">
        <f t="shared" si="88"/>
        <v>217.15709240080542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34.602030357739501</v>
      </c>
      <c r="AA80" s="23">
        <f>EXP(-LN(2)/25)*AA79+(1-EXP(-LN(2)/25))/(LN(2)/25)*Calculateur!V80*Calculateur!X80*VLOOKUP('Données projet'!$B$9,Paramètres!$A$1:$I$89,3,0)*0.475*44/12</f>
        <v>11.476855291526086</v>
      </c>
      <c r="AB80" s="23">
        <f>EXP(-LN(2)/2)*AB79+(1-EXP(-LN(2)/2))/(LN(2)/2)*V80*Y80*VLOOKUP('Données projet'!$B$9,Paramètres!$A$1:$I$89,3,0)*0.475*44/12</f>
        <v>3.3281527295724582</v>
      </c>
      <c r="AC80" s="24">
        <f t="shared" si="57"/>
        <v>49.407038378838045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10.26166666666667</v>
      </c>
      <c r="AI80" s="14">
        <f>IF('Données projet'!$A$62&gt;35,AI79+AH80-AQ79,IF(A80&lt;'Données projet'!$A$62,$AF$205^A80,IF(A80='Données projet'!$A$62,'Données projet'!$B$62,AI79+AH80-AQ79)))</f>
        <v>317.54333333333346</v>
      </c>
      <c r="AJ80" s="14">
        <f>AI80*VLOOKUP('Données projet'!$B$10,Paramètres!$A$1:$I$89,3,0)*VLOOKUP('Données projet'!$B$10,Paramètres!$A$1:$I$89,5,0)</f>
        <v>148.61028000000007</v>
      </c>
      <c r="AK80" s="14">
        <f t="shared" si="89"/>
        <v>38.262595880895944</v>
      </c>
      <c r="AL80" s="22">
        <f t="shared" si="58"/>
        <v>325.47025882589389</v>
      </c>
      <c r="AM80" s="62">
        <f t="shared" si="59"/>
        <v>618.80359215922726</v>
      </c>
      <c r="AN80" s="62">
        <f ca="1">AVERAGE(OFFSET($AM$3,0,0,'Données projet'!$E$10+1,1))-AVERAGE(OFFSET($H$3,0,0,'Données projet'!$E$10+1,1))</f>
        <v>287.83167869616227</v>
      </c>
      <c r="AO80" s="62">
        <f t="shared" si="90"/>
        <v>233.84231920589906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41.092458671476706</v>
      </c>
      <c r="AV80" s="23">
        <f>EXP(-LN(2)/25)*AV79+(1-EXP(-LN(2)/25))/(LN(2)/25)*Calculateur!AQ80*Calculateur!AS80*VLOOKUP('Données projet'!$B$10,Paramètres!$A$1:$I$89,3,0)*0.475*44/12</f>
        <v>19.519119193385304</v>
      </c>
      <c r="AW80" s="23">
        <f>EXP(-LN(2)/2)*AW79+(1-EXP(-LN(2)/2))/(LN(2)/2)*AQ80*AT80*VLOOKUP('Données projet'!$B$10,Paramètres!$A$1:$I$89,3,0)*0.475*44/12</f>
        <v>4.513815352985433</v>
      </c>
      <c r="AX80" s="23">
        <f t="shared" si="60"/>
        <v>65.125393217847446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-1.7053025658242404E-13</v>
      </c>
      <c r="BE80" s="14">
        <f>BD80*VLOOKUP('Données projet'!$B$11,Paramètres!$A$1:$I$89,3,0)*VLOOKUP('Données projet'!$B$11,Paramètres!$A$1:$I$89,5,0)</f>
        <v>-1.064108801074326E-13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262.36903350767881</v>
      </c>
      <c r="BJ80" s="62">
        <f t="shared" si="92"/>
        <v>331.21009482262417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122.7202488090429</v>
      </c>
      <c r="BQ80" s="23">
        <f>EXP(-LN(2)/25)*BQ79+(1-EXP(-LN(2)/25))/(LN(2)/25)*Calculateur!BL80*Calculateur!BN80*VLOOKUP('Données projet'!$B$11,Paramètres!$A$1:$I$89,3,0)*0.475*44/12</f>
        <v>25.1296642979304</v>
      </c>
      <c r="BR80" s="23">
        <f>EXP(-LN(2)/2)*BR79+(1-EXP(-LN(2)/2))/(LN(2)/2)*BL80*BO80*VLOOKUP('Données projet'!$B$11,Paramètres!$A$1:$I$89,3,0)*0.475*44/12</f>
        <v>5.5022350126508267E-2</v>
      </c>
      <c r="BS80" s="24">
        <f t="shared" si="63"/>
        <v>147.90493545709981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8.6770000000000014</v>
      </c>
      <c r="BY80" s="13">
        <f>IF('Données projet'!$A$114&gt;35,BY79+BX80-CG79,IF(A80&lt;'Données projet'!$A$114,$BV$205^A80,IF(A80='Données projet'!$A$114,'Données projet'!$B$114,BY79+BX80-CG79)))</f>
        <v>264.6110000000001</v>
      </c>
      <c r="BZ80" s="14">
        <f>BY80*VLOOKUP('Données projet'!$B$12,Paramètres!$A$1:$I$89,3,0)*VLOOKUP('Données projet'!$B$12,Paramètres!$A$1:$I$89,5,0)</f>
        <v>255.9317592000001</v>
      </c>
      <c r="CA80" s="14">
        <f t="shared" si="93"/>
        <v>61.854399071847673</v>
      </c>
      <c r="CB80" s="22">
        <f t="shared" si="64"/>
        <v>553.47755899013487</v>
      </c>
      <c r="CC80" s="62">
        <f t="shared" si="65"/>
        <v>846.81089232346812</v>
      </c>
      <c r="CD80" s="62">
        <f ca="1">AVERAGE(OFFSET($CC$3,0,0,'Données projet'!$E$12+1,1))-AVERAGE(OFFSET($H$3,0,0,'Données projet'!$E$12+1,1))</f>
        <v>618.83149423524605</v>
      </c>
      <c r="CE80" s="62">
        <f t="shared" si="94"/>
        <v>285.33582535802435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20.48981849131015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20.48981849131015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9.782</v>
      </c>
      <c r="CT80" s="13">
        <f>IF('Données projet'!$A$140&gt;35,CT79+CS80-DB79,IF(A80&lt;'Données projet'!$A$140,$CQ$205^A80,IF(A80='Données projet'!$A$140,'Données projet'!$B$140,CT79+CS80-DB79)))</f>
        <v>490.654</v>
      </c>
      <c r="CU80" s="18">
        <f>CT80*VLOOKUP('Données projet'!$B$13,Paramètres!$A$1:$I$89,3,0)*VLOOKUP('Données projet'!$B$13,Paramètres!$A$1:$I$89,5,0)</f>
        <v>293.411092</v>
      </c>
      <c r="CV80" s="14">
        <f t="shared" si="95"/>
        <v>69.79339504623151</v>
      </c>
      <c r="CW80" s="22">
        <f t="shared" si="67"/>
        <v>632.58114827218651</v>
      </c>
      <c r="CX80" s="62">
        <f t="shared" si="68"/>
        <v>925.91448160551977</v>
      </c>
      <c r="CY80" s="62">
        <f ca="1">AVERAGE(OFFSET($CX$3,0,0,'Données projet'!$E$13+1,1))-AVERAGE(OFFSET($H$3,0,0,'Données projet'!$E$13+1,1))</f>
        <v>349.5718186624772</v>
      </c>
      <c r="CZ80" s="62">
        <f t="shared" si="96"/>
        <v>258.14152930815959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56.631738195711719</v>
      </c>
      <c r="DG80" s="23">
        <f>EXP(-LN(2)/25)*DG79+(1-EXP(-LN(2)/25))/(LN(2)/25)*Calculateur!DB80*Calculateur!DD80*VLOOKUP('Données projet'!$B$13,Paramètres!$A$1:$I$89,3,0)*0.475*44/12</f>
        <v>12.185981139018656</v>
      </c>
      <c r="DH80" s="23">
        <f>EXP(-LN(2)/2)*DH79+(1-EXP(-LN(2)/2))/(LN(2)/2)*DB80*DE80*VLOOKUP('Données projet'!$B$13,Paramètres!$A$1:$I$89,3,0)*0.475*44/12</f>
        <v>0.37793410205761835</v>
      </c>
      <c r="DI80" s="24">
        <f t="shared" si="69"/>
        <v>69.195653436787993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3.2</v>
      </c>
      <c r="DO80" s="13">
        <f>IF('Données projet'!$A$166&gt;35,DO79+DN80-DW79,IF(A80&lt;'Données projet'!$A$166,$DL$205^A80,IF(A80='Données projet'!$A$166,'Données projet'!$B$166,DO79+DN80-DW79)))</f>
        <v>198.39999999999995</v>
      </c>
      <c r="DP80" s="18">
        <f>DO80*VLOOKUP('Données projet'!$B$14,Paramètres!$A$1:$I$89,3,0)*VLOOKUP('Données projet'!$B$14,Paramètres!$A$1:$I$89,5,0)</f>
        <v>173.32223999999999</v>
      </c>
      <c r="DQ80" s="14">
        <f t="shared" si="97"/>
        <v>43.833254629845122</v>
      </c>
      <c r="DR80" s="22">
        <f t="shared" si="70"/>
        <v>378.2124864803136</v>
      </c>
      <c r="DS80" s="62">
        <f t="shared" si="71"/>
        <v>671.54581981364686</v>
      </c>
      <c r="DT80" s="62">
        <f ca="1">AVERAGE(OFFSET($DS$3,0,0,'Données projet'!$E$14+1,1))-AVERAGE(OFFSET($H$3,0,0,'Données projet'!$E$14+1,1))</f>
        <v>300.63505444445104</v>
      </c>
      <c r="DU80" s="62">
        <f t="shared" si="98"/>
        <v>266.32508105927997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18.148090434505402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18.148090434505402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3.6</v>
      </c>
      <c r="EJ80" s="13">
        <f>IF('Données projet'!$A$192&gt;35,EJ79+EI80-ER79,IF(A80&lt;'Données projet'!$A$192,$EG$205^A80,IF(A80='Données projet'!$A$192,'Données projet'!$B$192,EJ79+EI80-ER79)))</f>
        <v>319.19999999999993</v>
      </c>
      <c r="EK80" s="18">
        <f>EJ80*VLOOKUP('Données projet'!$B$15,Paramètres!$A$1:$I$89,3,0)*VLOOKUP('Données projet'!$B$15,Paramètres!$A$1:$I$89,5,0)</f>
        <v>253.95551999999998</v>
      </c>
      <c r="EL80" s="14">
        <f t="shared" si="99"/>
        <v>61.432180511879253</v>
      </c>
      <c r="EM80" s="22">
        <f t="shared" si="73"/>
        <v>549.30024505818972</v>
      </c>
      <c r="EN80" s="62">
        <f t="shared" si="74"/>
        <v>842.63357839152309</v>
      </c>
      <c r="EO80" s="62">
        <f ca="1">AVERAGE(OFFSET($EN$3,0,0,'Données projet'!$E$15+1,1))-AVERAGE(OFFSET($H$3,0,0,'Données projet'!$E$15+1,1))</f>
        <v>353.37024194969638</v>
      </c>
      <c r="EP80" s="62">
        <f t="shared" si="100"/>
        <v>345.4750813433123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34.174996101079671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34.174996101079671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4.2</v>
      </c>
      <c r="FE80" s="13">
        <f>IF('Données projet'!$A$218&gt;35,FE79+FD80-FM79,IF(A80&lt;'Données projet'!$A$218,$FB$205^A80,IF(A80='Données projet'!$A$218,'Données projet'!$B$218,FE79+FD80-FM79)))</f>
        <v>231.40000000000009</v>
      </c>
      <c r="FF80" s="18">
        <f>FE80*VLOOKUP('Données projet'!$B$16,Paramètres!$A$1:$I$89,3,0)*VLOOKUP('Données projet'!$B$16,Paramètres!$A$1:$I$89,5,0)</f>
        <v>151.61328000000006</v>
      </c>
      <c r="FG80" s="14">
        <f t="shared" si="101"/>
        <v>38.944980714143632</v>
      </c>
      <c r="FH80" s="22">
        <f t="shared" si="76"/>
        <v>331.88897074380026</v>
      </c>
      <c r="FI80" s="62">
        <f t="shared" si="77"/>
        <v>625.22230407713357</v>
      </c>
      <c r="FJ80" s="62">
        <f ca="1">AVERAGE(OFFSET($FI$3,0,0,'Données projet'!$E$16+1,1))-AVERAGE(OFFSET($H$3,0,0,'Données projet'!$E$16+1,1))</f>
        <v>263.30962868541337</v>
      </c>
      <c r="FK80" s="62">
        <f t="shared" si="102"/>
        <v>269.61868559913404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18.435947744124636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18.435947744124636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6.2826666666666631</v>
      </c>
      <c r="N81" s="14">
        <f>IF('Données projet'!$A$36&gt;35,N80+M81-V80,IF(A81&lt;'Données projet'!$A$36,$K$205^A81,IF(A81='Données projet'!$A$36,'Données projet'!$B$36,N80+M81-V80)))</f>
        <v>216.49799999999999</v>
      </c>
      <c r="O81" s="14">
        <f>N81*VLOOKUP('Données projet'!$B$9,Paramètres!$A$1:$I$89,3,0)*VLOOKUP('Données projet'!$B$9,Paramètres!$A$1:$I$89,5,0)</f>
        <v>129.46580399999999</v>
      </c>
      <c r="P81" s="14">
        <f t="shared" si="87"/>
        <v>33.872892755257119</v>
      </c>
      <c r="Q81" s="22">
        <f t="shared" si="54"/>
        <v>284.48156351540609</v>
      </c>
      <c r="R81" s="62">
        <f t="shared" si="55"/>
        <v>577.81489684873941</v>
      </c>
      <c r="S81" s="62">
        <f ca="1">AVERAGE(OFFSET($R$3,0,0,'Données projet'!$E$9+1,1))-AVERAGE(OFFSET($H$3,0,0,'Données projet'!$E$9+1,1))</f>
        <v>262.06511368698341</v>
      </c>
      <c r="T81" s="62">
        <f t="shared" si="88"/>
        <v>217.15709240080542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33.923505647578786</v>
      </c>
      <c r="AA81" s="23">
        <f>EXP(-LN(2)/25)*AA80+(1-EXP(-LN(2)/25))/(LN(2)/25)*Calculateur!V81*Calculateur!X81*VLOOKUP('Données projet'!$B$9,Paramètres!$A$1:$I$89,3,0)*0.475*44/12</f>
        <v>11.163020080037716</v>
      </c>
      <c r="AB81" s="23">
        <f>EXP(-LN(2)/2)*AB80+(1-EXP(-LN(2)/2))/(LN(2)/2)*V81*Y81*VLOOKUP('Données projet'!$B$9,Paramètres!$A$1:$I$89,3,0)*0.475*44/12</f>
        <v>2.3533593639052031</v>
      </c>
      <c r="AC81" s="24">
        <f t="shared" si="57"/>
        <v>47.43988509152171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10.26166666666667</v>
      </c>
      <c r="AI81" s="14">
        <f>IF('Données projet'!$A$62&gt;35,AI80+AH81-AQ80,IF(A81&lt;'Données projet'!$A$62,$AF$205^A81,IF(A81='Données projet'!$A$62,'Données projet'!$B$62,AI80+AH81-AQ80)))</f>
        <v>327.80500000000012</v>
      </c>
      <c r="AJ81" s="14">
        <f>AI81*VLOOKUP('Données projet'!$B$10,Paramètres!$A$1:$I$89,3,0)*VLOOKUP('Données projet'!$B$10,Paramètres!$A$1:$I$89,5,0)</f>
        <v>153.41274000000007</v>
      </c>
      <c r="AK81" s="14">
        <f t="shared" si="89"/>
        <v>39.3531246745872</v>
      </c>
      <c r="AL81" s="22">
        <f t="shared" si="58"/>
        <v>335.73388097490619</v>
      </c>
      <c r="AM81" s="62">
        <f t="shared" si="59"/>
        <v>629.0672143082395</v>
      </c>
      <c r="AN81" s="62">
        <f ca="1">AVERAGE(OFFSET($AM$3,0,0,'Données projet'!$E$10+1,1))-AVERAGE(OFFSET($H$3,0,0,'Données projet'!$E$10+1,1))</f>
        <v>287.83167869616227</v>
      </c>
      <c r="AO81" s="62">
        <f t="shared" si="90"/>
        <v>233.84231920589906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40.286660620853979</v>
      </c>
      <c r="AV81" s="23">
        <f>EXP(-LN(2)/25)*AV80+(1-EXP(-LN(2)/25))/(LN(2)/25)*Calculateur!AQ81*Calculateur!AS81*VLOOKUP('Données projet'!$B$10,Paramètres!$A$1:$I$89,3,0)*0.475*44/12</f>
        <v>18.985367852576317</v>
      </c>
      <c r="AW81" s="23">
        <f>EXP(-LN(2)/2)*AW80+(1-EXP(-LN(2)/2))/(LN(2)/2)*AQ81*AT81*VLOOKUP('Données projet'!$B$10,Paramètres!$A$1:$I$89,3,0)*0.475*44/12</f>
        <v>3.1917494451199495</v>
      </c>
      <c r="AX81" s="23">
        <f t="shared" si="60"/>
        <v>62.46377791855025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-1.7053025658242404E-13</v>
      </c>
      <c r="BE81" s="14">
        <f>BD81*VLOOKUP('Données projet'!$B$11,Paramètres!$A$1:$I$89,3,0)*VLOOKUP('Données projet'!$B$11,Paramètres!$A$1:$I$89,5,0)</f>
        <v>-1.064108801074326E-13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262.36903350767881</v>
      </c>
      <c r="BJ81" s="62">
        <f t="shared" si="92"/>
        <v>331.21009482262417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120.31377958185833</v>
      </c>
      <c r="BQ81" s="23">
        <f>EXP(-LN(2)/25)*BQ80+(1-EXP(-LN(2)/25))/(LN(2)/25)*Calculateur!BL81*Calculateur!BN81*VLOOKUP('Données projet'!$B$11,Paramètres!$A$1:$I$89,3,0)*0.475*44/12</f>
        <v>24.442492306191884</v>
      </c>
      <c r="BR81" s="23">
        <f>EXP(-LN(2)/2)*BR80+(1-EXP(-LN(2)/2))/(LN(2)/2)*BL81*BO81*VLOOKUP('Données projet'!$B$11,Paramètres!$A$1:$I$89,3,0)*0.475*44/12</f>
        <v>3.8906676891274486E-2</v>
      </c>
      <c r="BS81" s="24">
        <f t="shared" si="63"/>
        <v>144.79517856494149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8.6770000000000014</v>
      </c>
      <c r="BY81" s="13">
        <f>IF('Données projet'!$A$114&gt;35,BY80+BX81-CG80,IF(A81&lt;'Données projet'!$A$114,$BV$205^A81,IF(A81='Données projet'!$A$114,'Données projet'!$B$114,BY80+BX81-CG80)))</f>
        <v>273.28800000000012</v>
      </c>
      <c r="BZ81" s="14">
        <f>BY81*VLOOKUP('Données projet'!$B$12,Paramètres!$A$1:$I$89,3,0)*VLOOKUP('Données projet'!$B$12,Paramètres!$A$1:$I$89,5,0)</f>
        <v>264.32415360000016</v>
      </c>
      <c r="CA81" s="14">
        <f t="shared" si="93"/>
        <v>63.643226045681423</v>
      </c>
      <c r="CB81" s="22">
        <f t="shared" si="64"/>
        <v>571.20985288289546</v>
      </c>
      <c r="CC81" s="62">
        <f t="shared" si="65"/>
        <v>864.54318621622883</v>
      </c>
      <c r="CD81" s="62">
        <f ca="1">AVERAGE(OFFSET($CC$3,0,0,'Données projet'!$E$12+1,1))-AVERAGE(OFFSET($H$3,0,0,'Données projet'!$E$12+1,1))</f>
        <v>618.83149423524605</v>
      </c>
      <c r="CE81" s="62">
        <f t="shared" si="94"/>
        <v>285.33582535802435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20.088025648250806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20.088025648250806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9.782</v>
      </c>
      <c r="CT81" s="13">
        <f>IF('Données projet'!$A$140&gt;35,CT80+CS81-DB80,IF(A81&lt;'Données projet'!$A$140,$CQ$205^A81,IF(A81='Données projet'!$A$140,'Données projet'!$B$140,CT80+CS81-DB80)))</f>
        <v>500.43599999999998</v>
      </c>
      <c r="CU81" s="18">
        <f>CT81*VLOOKUP('Données projet'!$B$13,Paramètres!$A$1:$I$89,3,0)*VLOOKUP('Données projet'!$B$13,Paramètres!$A$1:$I$89,5,0)</f>
        <v>299.26072800000003</v>
      </c>
      <c r="CV81" s="14">
        <f t="shared" si="95"/>
        <v>71.021461421315166</v>
      </c>
      <c r="CW81" s="22">
        <f t="shared" si="67"/>
        <v>644.90814657545729</v>
      </c>
      <c r="CX81" s="62">
        <f t="shared" si="68"/>
        <v>938.24147990879055</v>
      </c>
      <c r="CY81" s="62">
        <f ca="1">AVERAGE(OFFSET($CX$3,0,0,'Données projet'!$E$13+1,1))-AVERAGE(OFFSET($H$3,0,0,'Données projet'!$E$13+1,1))</f>
        <v>349.5718186624772</v>
      </c>
      <c r="CZ81" s="62">
        <f t="shared" si="96"/>
        <v>258.14152930815959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55.521224351643376</v>
      </c>
      <c r="DG81" s="23">
        <f>EXP(-LN(2)/25)*DG80+(1-EXP(-LN(2)/25))/(LN(2)/25)*Calculateur!DB81*Calculateur!DD81*VLOOKUP('Données projet'!$B$13,Paramètres!$A$1:$I$89,3,0)*0.475*44/12</f>
        <v>11.852754843939294</v>
      </c>
      <c r="DH81" s="23">
        <f>EXP(-LN(2)/2)*DH80+(1-EXP(-LN(2)/2))/(LN(2)/2)*DB81*DE81*VLOOKUP('Données projet'!$B$13,Paramètres!$A$1:$I$89,3,0)*0.475*44/12</f>
        <v>0.2672397664065907</v>
      </c>
      <c r="DI81" s="24">
        <f t="shared" si="69"/>
        <v>67.641218961989267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3.2</v>
      </c>
      <c r="DO81" s="13">
        <f>IF('Données projet'!$A$166&gt;35,DO80+DN81-DW80,IF(A81&lt;'Données projet'!$A$166,$DL$205^A81,IF(A81='Données projet'!$A$166,'Données projet'!$B$166,DO80+DN81-DW80)))</f>
        <v>201.59999999999994</v>
      </c>
      <c r="DP81" s="18">
        <f>DO81*VLOOKUP('Données projet'!$B$14,Paramètres!$A$1:$I$89,3,0)*VLOOKUP('Données projet'!$B$14,Paramètres!$A$1:$I$89,5,0)</f>
        <v>176.11775999999998</v>
      </c>
      <c r="DQ81" s="14">
        <f t="shared" si="97"/>
        <v>44.457366290237204</v>
      </c>
      <c r="DR81" s="22">
        <f t="shared" si="70"/>
        <v>384.16834495549637</v>
      </c>
      <c r="DS81" s="62">
        <f t="shared" si="71"/>
        <v>677.50167828882968</v>
      </c>
      <c r="DT81" s="62">
        <f ca="1">AVERAGE(OFFSET($DS$3,0,0,'Données projet'!$E$14+1,1))-AVERAGE(OFFSET($H$3,0,0,'Données projet'!$E$14+1,1))</f>
        <v>300.63505444445104</v>
      </c>
      <c r="DU81" s="62">
        <f t="shared" si="98"/>
        <v>266.32508105927997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17.79221745032692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17.79221745032692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3.6</v>
      </c>
      <c r="EJ81" s="13">
        <f>IF('Données projet'!$A$192&gt;35,EJ80+EI81-ER80,IF(A81&lt;'Données projet'!$A$192,$EG$205^A81,IF(A81='Données projet'!$A$192,'Données projet'!$B$192,EJ80+EI81-ER80)))</f>
        <v>322.79999999999995</v>
      </c>
      <c r="EK81" s="18">
        <f>EJ81*VLOOKUP('Données projet'!$B$15,Paramètres!$A$1:$I$89,3,0)*VLOOKUP('Données projet'!$B$15,Paramètres!$A$1:$I$89,5,0)</f>
        <v>256.81968000000001</v>
      </c>
      <c r="EL81" s="14">
        <f t="shared" si="99"/>
        <v>62.043977430851903</v>
      </c>
      <c r="EM81" s="22">
        <f t="shared" si="73"/>
        <v>555.35420335873368</v>
      </c>
      <c r="EN81" s="62">
        <f t="shared" si="74"/>
        <v>848.68753669206694</v>
      </c>
      <c r="EO81" s="62">
        <f ca="1">AVERAGE(OFFSET($EN$3,0,0,'Données projet'!$E$15+1,1))-AVERAGE(OFFSET($H$3,0,0,'Données projet'!$E$15+1,1))</f>
        <v>353.37024194969638</v>
      </c>
      <c r="EP81" s="62">
        <f t="shared" si="100"/>
        <v>345.4750813433123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33.504845272226881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33.504845272226881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4.2</v>
      </c>
      <c r="FE81" s="13">
        <f>IF('Données projet'!$A$218&gt;35,FE80+FD81-FM80,IF(A81&lt;'Données projet'!$A$218,$FB$205^A81,IF(A81='Données projet'!$A$218,'Données projet'!$B$218,FE80+FD81-FM80)))</f>
        <v>235.60000000000008</v>
      </c>
      <c r="FF81" s="18">
        <f>FE81*VLOOKUP('Données projet'!$B$16,Paramètres!$A$1:$I$89,3,0)*VLOOKUP('Données projet'!$B$16,Paramètres!$A$1:$I$89,5,0)</f>
        <v>154.36512000000005</v>
      </c>
      <c r="FG81" s="14">
        <f t="shared" si="101"/>
        <v>39.568912624848309</v>
      </c>
      <c r="FH81" s="22">
        <f t="shared" si="76"/>
        <v>337.76844015494419</v>
      </c>
      <c r="FI81" s="62">
        <f t="shared" si="77"/>
        <v>631.10177348827756</v>
      </c>
      <c r="FJ81" s="62">
        <f ca="1">AVERAGE(OFFSET($FI$3,0,0,'Données projet'!$E$16+1,1))-AVERAGE(OFFSET($H$3,0,0,'Données projet'!$E$16+1,1))</f>
        <v>263.30962868541337</v>
      </c>
      <c r="FK81" s="62">
        <f t="shared" si="102"/>
        <v>269.61868559913404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18.074430053680143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18.074430053680143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6.2826666666666631</v>
      </c>
      <c r="N82" s="14">
        <f>IF('Données projet'!$A$36&gt;35,N81+M82-V81,IF(A82&lt;'Données projet'!$A$36,$K$205^A82,IF(A82='Données projet'!$A$36,'Données projet'!$B$36,N81+M82-V81)))</f>
        <v>222.78066666666666</v>
      </c>
      <c r="O82" s="14">
        <f>N82*VLOOKUP('Données projet'!$B$9,Paramètres!$A$1:$I$89,3,0)*VLOOKUP('Données projet'!$B$9,Paramètres!$A$1:$I$89,5,0)</f>
        <v>133.22283866666666</v>
      </c>
      <c r="P82" s="14">
        <f t="shared" si="87"/>
        <v>34.739998020170823</v>
      </c>
      <c r="Q82" s="22">
        <f t="shared" si="54"/>
        <v>292.5352738962419</v>
      </c>
      <c r="R82" s="62">
        <f t="shared" si="55"/>
        <v>585.86860722957522</v>
      </c>
      <c r="S82" s="62">
        <f ca="1">AVERAGE(OFFSET($R$3,0,0,'Données projet'!$E$9+1,1))-AVERAGE(OFFSET($H$3,0,0,'Données projet'!$E$9+1,1))</f>
        <v>262.06511368698341</v>
      </c>
      <c r="T82" s="62">
        <f t="shared" si="88"/>
        <v>217.15709240080542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33.258286393125118</v>
      </c>
      <c r="AA82" s="23">
        <f>EXP(-LN(2)/25)*AA81+(1-EXP(-LN(2)/25))/(LN(2)/25)*Calculateur!V82*Calculateur!X82*VLOOKUP('Données projet'!$B$9,Paramètres!$A$1:$I$89,3,0)*0.475*44/12</f>
        <v>10.857766708911372</v>
      </c>
      <c r="AB82" s="23">
        <f>EXP(-LN(2)/2)*AB81+(1-EXP(-LN(2)/2))/(LN(2)/2)*V82*Y82*VLOOKUP('Données projet'!$B$9,Paramètres!$A$1:$I$89,3,0)*0.475*44/12</f>
        <v>1.6640763647862291</v>
      </c>
      <c r="AC82" s="24">
        <f t="shared" si="57"/>
        <v>45.780129466822714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10.26166666666667</v>
      </c>
      <c r="AI82" s="14">
        <f>IF('Données projet'!$A$62&gt;35,AI81+AH82-AQ81,IF(A82&lt;'Données projet'!$A$62,$AF$205^A82,IF(A82='Données projet'!$A$62,'Données projet'!$B$62,AI81+AH82-AQ81)))</f>
        <v>338.06666666666678</v>
      </c>
      <c r="AJ82" s="14">
        <f>AI82*VLOOKUP('Données projet'!$B$10,Paramètres!$A$1:$I$89,3,0)*VLOOKUP('Données projet'!$B$10,Paramètres!$A$1:$I$89,5,0)</f>
        <v>158.21520000000004</v>
      </c>
      <c r="AK82" s="14">
        <f t="shared" si="89"/>
        <v>40.439686338648897</v>
      </c>
      <c r="AL82" s="22">
        <f t="shared" si="58"/>
        <v>345.99059370648024</v>
      </c>
      <c r="AM82" s="62">
        <f t="shared" si="59"/>
        <v>639.3239270398135</v>
      </c>
      <c r="AN82" s="62">
        <f ca="1">AVERAGE(OFFSET($AM$3,0,0,'Données projet'!$E$10+1,1))-AVERAGE(OFFSET($H$3,0,0,'Données projet'!$E$10+1,1))</f>
        <v>287.83167869616227</v>
      </c>
      <c r="AO82" s="62">
        <f t="shared" si="90"/>
        <v>233.84231920589906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39.496663778515682</v>
      </c>
      <c r="AV82" s="23">
        <f>EXP(-LN(2)/25)*AV81+(1-EXP(-LN(2)/25))/(LN(2)/25)*Calculateur!AQ82*Calculateur!AS82*VLOOKUP('Données projet'!$B$10,Paramètres!$A$1:$I$89,3,0)*0.475*44/12</f>
        <v>18.466211970250516</v>
      </c>
      <c r="AW82" s="23">
        <f>EXP(-LN(2)/2)*AW81+(1-EXP(-LN(2)/2))/(LN(2)/2)*AQ82*AT82*VLOOKUP('Données projet'!$B$10,Paramètres!$A$1:$I$89,3,0)*0.475*44/12</f>
        <v>2.256907676492717</v>
      </c>
      <c r="AX82" s="23">
        <f t="shared" si="60"/>
        <v>60.21978342525891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-1.7053025658242404E-13</v>
      </c>
      <c r="BE82" s="14">
        <f>BD82*VLOOKUP('Données projet'!$B$11,Paramètres!$A$1:$I$89,3,0)*VLOOKUP('Données projet'!$B$11,Paramètres!$A$1:$I$89,5,0)</f>
        <v>-1.064108801074326E-13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262.36903350767881</v>
      </c>
      <c r="BJ82" s="62">
        <f t="shared" si="92"/>
        <v>331.21009482262417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117.95449974841755</v>
      </c>
      <c r="BQ82" s="23">
        <f>EXP(-LN(2)/25)*BQ81+(1-EXP(-LN(2)/25))/(LN(2)/25)*Calculateur!BL82*Calculateur!BN82*VLOOKUP('Données projet'!$B$11,Paramètres!$A$1:$I$89,3,0)*0.475*44/12</f>
        <v>23.774111068704261</v>
      </c>
      <c r="BR82" s="23">
        <f>EXP(-LN(2)/2)*BR81+(1-EXP(-LN(2)/2))/(LN(2)/2)*BL82*BO82*VLOOKUP('Données projet'!$B$11,Paramètres!$A$1:$I$89,3,0)*0.475*44/12</f>
        <v>2.7511175063254133E-2</v>
      </c>
      <c r="BS82" s="24">
        <f t="shared" si="63"/>
        <v>141.75612199218509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8.6770000000000014</v>
      </c>
      <c r="BY82" s="13">
        <f>IF('Données projet'!$A$114&gt;35,BY81+BX82-CG81,IF(A82&lt;'Données projet'!$A$114,$BV$205^A82,IF(A82='Données projet'!$A$114,'Données projet'!$B$114,BY81+BX82-CG81)))</f>
        <v>281.96500000000015</v>
      </c>
      <c r="BZ82" s="14">
        <f>BY82*VLOOKUP('Données projet'!$B$12,Paramètres!$A$1:$I$89,3,0)*VLOOKUP('Données projet'!$B$12,Paramètres!$A$1:$I$89,5,0)</f>
        <v>272.71654800000016</v>
      </c>
      <c r="CA82" s="14">
        <f t="shared" si="93"/>
        <v>65.425453000689586</v>
      </c>
      <c r="CB82" s="22">
        <f t="shared" si="64"/>
        <v>588.93065174286789</v>
      </c>
      <c r="CC82" s="62">
        <f t="shared" si="65"/>
        <v>882.26398507620115</v>
      </c>
      <c r="CD82" s="62">
        <f ca="1">AVERAGE(OFFSET($CC$3,0,0,'Données projet'!$E$12+1,1))-AVERAGE(OFFSET($H$3,0,0,'Données projet'!$E$12+1,1))</f>
        <v>618.83149423524605</v>
      </c>
      <c r="CE82" s="62">
        <f t="shared" si="94"/>
        <v>285.33582535802435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19.694111717774419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19.694111717774419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9.782</v>
      </c>
      <c r="CT82" s="13">
        <f>IF('Données projet'!$A$140&gt;35,CT81+CS82-DB81,IF(A82&lt;'Données projet'!$A$140,$CQ$205^A82,IF(A82='Données projet'!$A$140,'Données projet'!$B$140,CT81+CS82-DB81)))</f>
        <v>510.21799999999996</v>
      </c>
      <c r="CU82" s="18">
        <f>CT82*VLOOKUP('Données projet'!$B$13,Paramètres!$A$1:$I$89,3,0)*VLOOKUP('Données projet'!$B$13,Paramètres!$A$1:$I$89,5,0)</f>
        <v>305.110364</v>
      </c>
      <c r="CV82" s="14">
        <f t="shared" si="95"/>
        <v>72.246736607705117</v>
      </c>
      <c r="CW82" s="22">
        <f t="shared" si="67"/>
        <v>657.23028355841973</v>
      </c>
      <c r="CX82" s="62">
        <f t="shared" si="68"/>
        <v>950.5636168917531</v>
      </c>
      <c r="CY82" s="62">
        <f ca="1">AVERAGE(OFFSET($CX$3,0,0,'Données projet'!$E$13+1,1))-AVERAGE(OFFSET($H$3,0,0,'Données projet'!$E$13+1,1))</f>
        <v>349.5718186624772</v>
      </c>
      <c r="CZ82" s="62">
        <f t="shared" si="96"/>
        <v>258.14152930815959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54.432487006710652</v>
      </c>
      <c r="DG82" s="23">
        <f>EXP(-LN(2)/25)*DG81+(1-EXP(-LN(2)/25))/(LN(2)/25)*Calculateur!DB82*Calculateur!DD82*VLOOKUP('Données projet'!$B$13,Paramètres!$A$1:$I$89,3,0)*0.475*44/12</f>
        <v>11.528640639422488</v>
      </c>
      <c r="DH82" s="23">
        <f>EXP(-LN(2)/2)*DH81+(1-EXP(-LN(2)/2))/(LN(2)/2)*DB82*DE82*VLOOKUP('Données projet'!$B$13,Paramètres!$A$1:$I$89,3,0)*0.475*44/12</f>
        <v>0.1889670510288092</v>
      </c>
      <c r="DI82" s="24">
        <f t="shared" si="69"/>
        <v>66.150094697161947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3.2</v>
      </c>
      <c r="DO82" s="13">
        <f>IF('Données projet'!$A$166&gt;35,DO81+DN82-DW81,IF(A82&lt;'Données projet'!$A$166,$DL$205^A82,IF(A82='Données projet'!$A$166,'Données projet'!$B$166,DO81+DN82-DW81)))</f>
        <v>204.79999999999993</v>
      </c>
      <c r="DP82" s="18">
        <f>DO82*VLOOKUP('Données projet'!$B$14,Paramètres!$A$1:$I$89,3,0)*VLOOKUP('Données projet'!$B$14,Paramètres!$A$1:$I$89,5,0)</f>
        <v>178.91327999999996</v>
      </c>
      <c r="DQ82" s="14">
        <f t="shared" si="97"/>
        <v>45.080325843494805</v>
      </c>
      <c r="DR82" s="22">
        <f t="shared" si="70"/>
        <v>390.12219684408677</v>
      </c>
      <c r="DS82" s="62">
        <f t="shared" si="71"/>
        <v>683.45553017742009</v>
      </c>
      <c r="DT82" s="62">
        <f ca="1">AVERAGE(OFFSET($DS$3,0,0,'Données projet'!$E$14+1,1))-AVERAGE(OFFSET($H$3,0,0,'Données projet'!$E$14+1,1))</f>
        <v>300.63505444445104</v>
      </c>
      <c r="DU82" s="62">
        <f t="shared" si="98"/>
        <v>266.32508105927997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17.443322918307089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17.443322918307089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3.6</v>
      </c>
      <c r="EJ82" s="13">
        <f>IF('Données projet'!$A$192&gt;35,EJ81+EI82-ER81,IF(A82&lt;'Données projet'!$A$192,$EG$205^A82,IF(A82='Données projet'!$A$192,'Données projet'!$B$192,EJ81+EI82-ER81)))</f>
        <v>326.39999999999998</v>
      </c>
      <c r="EK82" s="18">
        <f>EJ82*VLOOKUP('Données projet'!$B$15,Paramètres!$A$1:$I$89,3,0)*VLOOKUP('Données projet'!$B$15,Paramètres!$A$1:$I$89,5,0)</f>
        <v>259.68384000000003</v>
      </c>
      <c r="EL82" s="14">
        <f t="shared" si="99"/>
        <v>62.654980648867358</v>
      </c>
      <c r="EM82" s="22">
        <f t="shared" si="73"/>
        <v>561.40677929677736</v>
      </c>
      <c r="EN82" s="62">
        <f t="shared" si="74"/>
        <v>854.74011263011062</v>
      </c>
      <c r="EO82" s="62">
        <f ca="1">AVERAGE(OFFSET($EN$3,0,0,'Données projet'!$E$15+1,1))-AVERAGE(OFFSET($H$3,0,0,'Données projet'!$E$15+1,1))</f>
        <v>353.37024194969638</v>
      </c>
      <c r="EP82" s="62">
        <f t="shared" si="100"/>
        <v>345.4750813433123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32.847835692376243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32.847835692376243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4.2</v>
      </c>
      <c r="FE82" s="13">
        <f>IF('Données projet'!$A$218&gt;35,FE81+FD82-FM81,IF(A82&lt;'Données projet'!$A$218,$FB$205^A82,IF(A82='Données projet'!$A$218,'Données projet'!$B$218,FE81+FD82-FM81)))</f>
        <v>239.80000000000007</v>
      </c>
      <c r="FF82" s="18">
        <f>FE82*VLOOKUP('Données projet'!$B$16,Paramètres!$A$1:$I$89,3,0)*VLOOKUP('Données projet'!$B$16,Paramètres!$A$1:$I$89,5,0)</f>
        <v>157.11696000000003</v>
      </c>
      <c r="FG82" s="14">
        <f t="shared" si="101"/>
        <v>40.191551120265856</v>
      </c>
      <c r="FH82" s="22">
        <f t="shared" si="76"/>
        <v>343.6456568677965</v>
      </c>
      <c r="FI82" s="62">
        <f t="shared" si="77"/>
        <v>636.97899020112982</v>
      </c>
      <c r="FJ82" s="62">
        <f ca="1">AVERAGE(OFFSET($FI$3,0,0,'Données projet'!$E$16+1,1))-AVERAGE(OFFSET($H$3,0,0,'Données projet'!$E$16+1,1))</f>
        <v>263.30962868541337</v>
      </c>
      <c r="FK82" s="62">
        <f t="shared" si="102"/>
        <v>269.61868559913404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17.720001504641246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17.720001504641246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6.2826666666666631</v>
      </c>
      <c r="N83" s="14">
        <f>IF('Données projet'!$A$36&gt;35,N82+M83-V82,IF(A83&lt;'Données projet'!$A$36,$K$205^A83,IF(A83='Données projet'!$A$36,'Données projet'!$B$36,N82+M83-V82)))</f>
        <v>229.06333333333333</v>
      </c>
      <c r="O83" s="14">
        <f>N83*VLOOKUP('Données projet'!$B$9,Paramètres!$A$1:$I$89,3,0)*VLOOKUP('Données projet'!$B$9,Paramètres!$A$1:$I$89,5,0)</f>
        <v>136.97987333333333</v>
      </c>
      <c r="P83" s="14">
        <f t="shared" si="87"/>
        <v>35.604261183871309</v>
      </c>
      <c r="Q83" s="22">
        <f t="shared" si="54"/>
        <v>300.58403428413141</v>
      </c>
      <c r="R83" s="62">
        <f t="shared" si="55"/>
        <v>593.91736761746472</v>
      </c>
      <c r="S83" s="62">
        <f ca="1">AVERAGE(OFFSET($R$3,0,0,'Données projet'!$E$9+1,1))-AVERAGE(OFFSET($H$3,0,0,'Données projet'!$E$9+1,1))</f>
        <v>262.06511368698341</v>
      </c>
      <c r="T83" s="62">
        <f t="shared" si="88"/>
        <v>217.15709240080542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32.606111682507603</v>
      </c>
      <c r="AA83" s="23">
        <f>EXP(-LN(2)/25)*AA82+(1-EXP(-LN(2)/25))/(LN(2)/25)*Calculateur!V83*Calculateur!X83*VLOOKUP('Données projet'!$B$9,Paramètres!$A$1:$I$89,3,0)*0.475*44/12</f>
        <v>10.560860507271055</v>
      </c>
      <c r="AB83" s="23">
        <f>EXP(-LN(2)/2)*AB82+(1-EXP(-LN(2)/2))/(LN(2)/2)*V83*Y83*VLOOKUP('Données projet'!$B$9,Paramètres!$A$1:$I$89,3,0)*0.475*44/12</f>
        <v>1.1766796819526015</v>
      </c>
      <c r="AC83" s="24">
        <f t="shared" si="57"/>
        <v>44.343651871731261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10.26166666666667</v>
      </c>
      <c r="AI83" s="14">
        <f>IF('Données projet'!$A$62&gt;35,AI82+AH83-AQ82,IF(A83&lt;'Données projet'!$A$62,$AF$205^A83,IF(A83='Données projet'!$A$62,'Données projet'!$B$62,AI82+AH83-AQ82)))</f>
        <v>348.32833333333343</v>
      </c>
      <c r="AJ83" s="14">
        <f>AI83*VLOOKUP('Données projet'!$B$10,Paramètres!$A$1:$I$89,3,0)*VLOOKUP('Données projet'!$B$10,Paramètres!$A$1:$I$89,5,0)</f>
        <v>163.01766000000003</v>
      </c>
      <c r="AK83" s="14">
        <f t="shared" si="89"/>
        <v>41.522415112497548</v>
      </c>
      <c r="AL83" s="22">
        <f t="shared" si="58"/>
        <v>356.24063082093329</v>
      </c>
      <c r="AM83" s="62">
        <f t="shared" si="59"/>
        <v>649.5739641542666</v>
      </c>
      <c r="AN83" s="62">
        <f ca="1">AVERAGE(OFFSET($AM$3,0,0,'Données projet'!$E$10+1,1))-AVERAGE(OFFSET($H$3,0,0,'Données projet'!$E$10+1,1))</f>
        <v>287.83167869616227</v>
      </c>
      <c r="AO83" s="62">
        <f t="shared" si="90"/>
        <v>233.84231920589906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38.722158292405148</v>
      </c>
      <c r="AV83" s="23">
        <f>EXP(-LN(2)/25)*AV82+(1-EXP(-LN(2)/25))/(LN(2)/25)*Calculateur!AQ83*Calculateur!AS83*VLOOKUP('Données projet'!$B$10,Paramètres!$A$1:$I$89,3,0)*0.475*44/12</f>
        <v>17.961252432828132</v>
      </c>
      <c r="AW83" s="23">
        <f>EXP(-LN(2)/2)*AW82+(1-EXP(-LN(2)/2))/(LN(2)/2)*AQ83*AT83*VLOOKUP('Données projet'!$B$10,Paramètres!$A$1:$I$89,3,0)*0.475*44/12</f>
        <v>1.5958747225599752</v>
      </c>
      <c r="AX83" s="23">
        <f t="shared" si="60"/>
        <v>58.279285447793256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-1.7053025658242404E-13</v>
      </c>
      <c r="BE83" s="14">
        <f>BD83*VLOOKUP('Données projet'!$B$11,Paramètres!$A$1:$I$89,3,0)*VLOOKUP('Données projet'!$B$11,Paramètres!$A$1:$I$89,5,0)</f>
        <v>-1.064108801074326E-13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262.36903350767881</v>
      </c>
      <c r="BJ83" s="62">
        <f t="shared" si="92"/>
        <v>331.21009482262417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115.64148395349193</v>
      </c>
      <c r="BQ83" s="23">
        <f>EXP(-LN(2)/25)*BQ82+(1-EXP(-LN(2)/25))/(LN(2)/25)*Calculateur!BL83*Calculateur!BN83*VLOOKUP('Données projet'!$B$11,Paramètres!$A$1:$I$89,3,0)*0.475*44/12</f>
        <v>23.124006751304378</v>
      </c>
      <c r="BR83" s="23">
        <f>EXP(-LN(2)/2)*BR82+(1-EXP(-LN(2)/2))/(LN(2)/2)*BL83*BO83*VLOOKUP('Données projet'!$B$11,Paramètres!$A$1:$I$89,3,0)*0.475*44/12</f>
        <v>1.9453338445637243E-2</v>
      </c>
      <c r="BS83" s="24">
        <f t="shared" si="63"/>
        <v>138.78494404324195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8.6770000000000014</v>
      </c>
      <c r="BY83" s="13">
        <f>IF('Données projet'!$A$114&gt;35,BY82+BX83-CG82,IF(A83&lt;'Données projet'!$A$114,$BV$205^A83,IF(A83='Données projet'!$A$114,'Données projet'!$B$114,BY82+BX83-CG82)))</f>
        <v>290.64200000000017</v>
      </c>
      <c r="BZ83" s="14">
        <f>BY83*VLOOKUP('Données projet'!$B$12,Paramètres!$A$1:$I$89,3,0)*VLOOKUP('Données projet'!$B$12,Paramètres!$A$1:$I$89,5,0)</f>
        <v>281.10894240000016</v>
      </c>
      <c r="CA83" s="14">
        <f t="shared" si="93"/>
        <v>67.20130634962284</v>
      </c>
      <c r="CB83" s="22">
        <f t="shared" si="64"/>
        <v>606.64034990559333</v>
      </c>
      <c r="CC83" s="62">
        <f t="shared" si="65"/>
        <v>899.9736832389267</v>
      </c>
      <c r="CD83" s="62">
        <f ca="1">AVERAGE(OFFSET($CC$3,0,0,'Données projet'!$E$12+1,1))-AVERAGE(OFFSET($H$3,0,0,'Données projet'!$E$12+1,1))</f>
        <v>618.83149423524605</v>
      </c>
      <c r="CE83" s="62">
        <f t="shared" si="94"/>
        <v>285.33582535802435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19.307922199210903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19.307922199210903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520</v>
      </c>
      <c r="CR83" s="13">
        <f>VLOOKUP(A83,'Données projet'!$A$139:$I$159,9,0)</f>
        <v>9.782</v>
      </c>
      <c r="CS83" s="13">
        <f t="array" ref="CS83">INDEX(CR:CR,MIN(IF(ISNUMBER(CR83:CR279),ROW(CR83:CR279),"")))</f>
        <v>9.782</v>
      </c>
      <c r="CT83" s="13">
        <f>IF('Données projet'!$A$140&gt;35,CT82+CS83-DB82,IF(A83&lt;'Données projet'!$A$140,$CQ$205^A83,IF(A83='Données projet'!$A$140,'Données projet'!$B$140,CT82+CS83-DB82)))</f>
        <v>520</v>
      </c>
      <c r="CU83" s="18">
        <f>CT83*VLOOKUP('Données projet'!$B$13,Paramètres!$A$1:$I$89,3,0)*VLOOKUP('Données projet'!$B$13,Paramètres!$A$1:$I$89,5,0)</f>
        <v>310.96000000000004</v>
      </c>
      <c r="CV83" s="14">
        <f t="shared" si="95"/>
        <v>73.469280288324128</v>
      </c>
      <c r="CW83" s="22">
        <f t="shared" si="67"/>
        <v>669.54766316883126</v>
      </c>
      <c r="CX83" s="62">
        <f t="shared" si="68"/>
        <v>962.88099650216463</v>
      </c>
      <c r="CY83" s="62">
        <f ca="1">AVERAGE(OFFSET($CX$3,0,0,'Données projet'!$E$13+1,1))-AVERAGE(OFFSET($H$3,0,0,'Données projet'!$E$13+1,1))</f>
        <v>349.5718186624772</v>
      </c>
      <c r="CZ83" s="62">
        <f t="shared" si="96"/>
        <v>258.14152930815959</v>
      </c>
      <c r="DA83" s="16">
        <f>IF(ISNA(VLOOKUP(A83,'Données projet'!$A$139:$I$159,3,0)),0,VLOOKUP(A83,'Données projet'!$A$139:$I$159,3,0))</f>
        <v>8</v>
      </c>
      <c r="DB83" s="16">
        <f>IF(ISNA(VLOOKUP(A83,'Données projet'!$A$139:$I$159,4,0)),0,VLOOKUP(A83,'Données projet'!$A$139:$I$159,4,0))</f>
        <v>520</v>
      </c>
      <c r="DC83" s="17">
        <f>IF(ISNA(VLOOKUP(A83,'Données projet'!$A$139:$I$159,5,0)),0%,VLOOKUP(A83,'Données projet'!$A$139:$I$159,5,0)*VLOOKUP('Données projet'!$B$13,Paramètres!$A$1:$I$89,7,0))</f>
        <v>0.36000000000000004</v>
      </c>
      <c r="DD83" s="17">
        <f>IF(ISNA(VLOOKUP(A83,'Données projet'!$A$139:$I$159,6,0)),0%,VLOOKUP(A83,'Données projet'!$A$139:$I$159,6,0)*VLOOKUP('Données projet'!$B$13,Paramètres!$A$1:$I$89,7,0))</f>
        <v>4.9500000000000002E-2</v>
      </c>
      <c r="DE83" s="17">
        <f>IF(ISNA(VLOOKUP(A83,'Données projet'!$A$139:$I$159,7,0)),0%,VLOOKUP(A83,'Données projet'!$A$139:$I$159,7,0))</f>
        <v>0.09</v>
      </c>
      <c r="DF83" s="23">
        <f>EXP(-LN(2)/35)*DF82+(1-EXP(-LN(2)/35))/(LN(2)/35)*DB83*DC83*VLOOKUP('Données projet'!$B$13,Paramètres!$A$1:$I$89,3,0)*0.475*44/12</f>
        <v>201.86815303990045</v>
      </c>
      <c r="DG83" s="23">
        <f>EXP(-LN(2)/25)*DG82+(1-EXP(-LN(2)/25))/(LN(2)/25)*Calculateur!DB83*Calculateur!DD83*VLOOKUP('Données projet'!$B$13,Paramètres!$A$1:$I$89,3,0)*0.475*44/12</f>
        <v>31.552161214259012</v>
      </c>
      <c r="DH83" s="23">
        <f>EXP(-LN(2)/2)*DH82+(1-EXP(-LN(2)/2))/(LN(2)/2)*DB83*DE83*VLOOKUP('Données projet'!$B$13,Paramètres!$A$1:$I$89,3,0)*0.475*44/12</f>
        <v>31.820725854697983</v>
      </c>
      <c r="DI83" s="24">
        <f t="shared" si="69"/>
        <v>265.24104010885742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208</v>
      </c>
      <c r="DM83" s="13">
        <f>VLOOKUP(A83,'Données projet'!$A$165:$I$185,9,0)</f>
        <v>3.2</v>
      </c>
      <c r="DN83" s="13">
        <f t="array" ref="DN83">INDEX(DM:DM,MIN(IF(ISNUMBER(DM83:DM279),ROW(DM83:DM279),"")))</f>
        <v>3.2</v>
      </c>
      <c r="DO83" s="13">
        <f>IF('Données projet'!$A$166&gt;35,DO82+DN83-DW82,IF(A83&lt;'Données projet'!$A$166,$DL$205^A83,IF(A83='Données projet'!$A$166,'Données projet'!$B$166,DO82+DN83-DW82)))</f>
        <v>207.99999999999991</v>
      </c>
      <c r="DP83" s="18">
        <f>DO83*VLOOKUP('Données projet'!$B$14,Paramètres!$A$1:$I$89,3,0)*VLOOKUP('Données projet'!$B$14,Paramètres!$A$1:$I$89,5,0)</f>
        <v>181.70879999999994</v>
      </c>
      <c r="DQ83" s="14">
        <f t="shared" si="97"/>
        <v>45.702153370067769</v>
      </c>
      <c r="DR83" s="22">
        <f t="shared" si="70"/>
        <v>396.07407711953459</v>
      </c>
      <c r="DS83" s="62">
        <f t="shared" si="71"/>
        <v>689.40741045286791</v>
      </c>
      <c r="DT83" s="62">
        <f ca="1">AVERAGE(OFFSET($DS$3,0,0,'Données projet'!$E$14+1,1))-AVERAGE(OFFSET($H$3,0,0,'Données projet'!$E$14+1,1))</f>
        <v>300.63505444445104</v>
      </c>
      <c r="DU83" s="62">
        <f t="shared" si="98"/>
        <v>266.32508105927997</v>
      </c>
      <c r="DV83" s="16">
        <f>IF(ISNA(VLOOKUP(A83,'Données projet'!$A$165:$I$185,3,0)),0,VLOOKUP(A83,'Données projet'!$A$165:$I$185,3,0))</f>
        <v>15</v>
      </c>
      <c r="DW83" s="16">
        <f>IF(ISNA(VLOOKUP(A83,'Données projet'!$A$165:$I$185,4,0)),0,VLOOKUP(A83,'Données projet'!$A$165:$I$185,4,0))</f>
        <v>11</v>
      </c>
      <c r="DX83" s="17">
        <f>IF(ISNA(VLOOKUP(A83,'Données projet'!$A$165:$I$185,5,0)),0%,VLOOKUP(A83,'Données projet'!$A$165:$I$185,5,0)*VLOOKUP('Données projet'!$B$14,Paramètres!$A$1:$I$89,7,0))</f>
        <v>0.30099999999999999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20.29883157116263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20.29883157116263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330</v>
      </c>
      <c r="EH83" s="13">
        <f>VLOOKUP(A83,'Données projet'!$A$191:$I$211,9,0)</f>
        <v>3.6</v>
      </c>
      <c r="EI83" s="13">
        <f t="array" ref="EI83">INDEX(EH:EH,MIN(IF(ISNUMBER(EH83:EH279),ROW(EH83:EH279),"")))</f>
        <v>3.6</v>
      </c>
      <c r="EJ83" s="13">
        <f>IF('Données projet'!$A$192&gt;35,EJ82+EI83-ER82,IF(A83&lt;'Données projet'!$A$192,$EG$205^A83,IF(A83='Données projet'!$A$192,'Données projet'!$B$192,EJ82+EI83-ER82)))</f>
        <v>330</v>
      </c>
      <c r="EK83" s="18">
        <f>EJ83*VLOOKUP('Données projet'!$B$15,Paramètres!$A$1:$I$89,3,0)*VLOOKUP('Données projet'!$B$15,Paramètres!$A$1:$I$89,5,0)</f>
        <v>262.548</v>
      </c>
      <c r="EL83" s="14">
        <f t="shared" si="99"/>
        <v>63.265199933079444</v>
      </c>
      <c r="EM83" s="22">
        <f t="shared" si="73"/>
        <v>567.45798988344666</v>
      </c>
      <c r="EN83" s="62">
        <f t="shared" si="74"/>
        <v>860.79132321678003</v>
      </c>
      <c r="EO83" s="62">
        <f ca="1">AVERAGE(OFFSET($EN$3,0,0,'Données projet'!$E$15+1,1))-AVERAGE(OFFSET($H$3,0,0,'Données projet'!$E$15+1,1))</f>
        <v>353.37024194969638</v>
      </c>
      <c r="EP83" s="62">
        <f t="shared" si="100"/>
        <v>345.4750813433123</v>
      </c>
      <c r="EQ83" s="16">
        <f>IF(ISNA(VLOOKUP(A83,'Données projet'!$A$191:$I$211,3,0)),0,VLOOKUP(A83,'Données projet'!$A$191:$I$211,3,0))</f>
        <v>15</v>
      </c>
      <c r="ER83" s="16">
        <f>IF(ISNA(VLOOKUP(A83,'Données projet'!$A$191:$I$211,4,0)),0,VLOOKUP(A83,'Données projet'!$A$191:$I$211,4,0))</f>
        <v>330</v>
      </c>
      <c r="ES83" s="17">
        <f>IF(ISNA(VLOOKUP(A83,'Données projet'!$A$191:$I$211,5,0)),0%,VLOOKUP(A83,'Données projet'!$A$191:$I$211,5,0)*VLOOKUP('Données projet'!$B$15,Paramètres!$A$1:$I$89,7,0))</f>
        <v>0.42400000000000004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155.26506144483182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155.26506144483182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244</v>
      </c>
      <c r="FC83" s="13">
        <f>VLOOKUP(A83,'Données projet'!$A$217:$I$237,9,0)</f>
        <v>4.2</v>
      </c>
      <c r="FD83" s="13">
        <f t="array" ref="FD83">INDEX(FC:FC,MIN(IF(ISNUMBER(FC83:FC279),ROW(FC83:FC279),"")))</f>
        <v>4.2</v>
      </c>
      <c r="FE83" s="13">
        <f>IF('Données projet'!$A$218&gt;35,FE82+FD83-FM82,IF(A83&lt;'Données projet'!$A$218,$FB$205^A83,IF(A83='Données projet'!$A$218,'Données projet'!$B$218,FE82+FD83-FM82)))</f>
        <v>244.00000000000006</v>
      </c>
      <c r="FF83" s="18">
        <f>FE83*VLOOKUP('Données projet'!$B$16,Paramètres!$A$1:$I$89,3,0)*VLOOKUP('Données projet'!$B$16,Paramètres!$A$1:$I$89,5,0)</f>
        <v>159.86880000000002</v>
      </c>
      <c r="FG83" s="14">
        <f t="shared" si="101"/>
        <v>40.812921467768035</v>
      </c>
      <c r="FH83" s="22">
        <f t="shared" si="76"/>
        <v>349.52066488969604</v>
      </c>
      <c r="FI83" s="62">
        <f t="shared" si="77"/>
        <v>642.85399822302929</v>
      </c>
      <c r="FJ83" s="62">
        <f ca="1">AVERAGE(OFFSET($FI$3,0,0,'Données projet'!$E$16+1,1))-AVERAGE(OFFSET($H$3,0,0,'Données projet'!$E$16+1,1))</f>
        <v>263.30962868541337</v>
      </c>
      <c r="FK83" s="62">
        <f t="shared" si="102"/>
        <v>269.61868559913404</v>
      </c>
      <c r="FL83" s="16">
        <f>IF(ISNA(VLOOKUP(A83,'Données projet'!$A$217:$I$237,3,0)),0,VLOOKUP(A83,'Données projet'!$A$217:$I$237,3,0))</f>
        <v>15</v>
      </c>
      <c r="FM83" s="16">
        <f>IF(ISNA(VLOOKUP(A83,'Données projet'!$A$217:$I$237,4,0)),0,VLOOKUP(A83,'Données projet'!$A$217:$I$237,4,0))</f>
        <v>16</v>
      </c>
      <c r="FN83" s="17">
        <f>IF(ISNA(VLOOKUP(A83,'Données projet'!$A$217:$I$237,5,0)),0%,VLOOKUP(A83,'Données projet'!$A$217:$I$237,5,0)*VLOOKUP('Données projet'!$B$16,Paramètres!$A$1:$I$89,7,0))</f>
        <v>0.30099999999999999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20.860772075167599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20.860772075167599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6.2826666666666631</v>
      </c>
      <c r="N84" s="14">
        <f>IF('Données projet'!$A$36&gt;35,N83+M84-V83,IF(A84&lt;'Données projet'!$A$36,$K$205^A84,IF(A84='Données projet'!$A$36,'Données projet'!$B$36,N83+M84-V83)))</f>
        <v>235.346</v>
      </c>
      <c r="O84" s="14">
        <f>N84*VLOOKUP('Données projet'!$B$9,Paramètres!$A$1:$I$89,3,0)*VLOOKUP('Données projet'!$B$9,Paramètres!$A$1:$I$89,5,0)</f>
        <v>140.73690800000003</v>
      </c>
      <c r="P84" s="14">
        <f t="shared" si="87"/>
        <v>36.465769155414684</v>
      </c>
      <c r="Q84" s="22">
        <f t="shared" si="54"/>
        <v>308.62799604568062</v>
      </c>
      <c r="R84" s="62">
        <f t="shared" si="55"/>
        <v>601.96132937901393</v>
      </c>
      <c r="S84" s="62">
        <f ca="1">AVERAGE(OFFSET($R$3,0,0,'Données projet'!$E$9+1,1))-AVERAGE(OFFSET($H$3,0,0,'Données projet'!$E$9+1,1))</f>
        <v>262.06511368698341</v>
      </c>
      <c r="T84" s="62">
        <f t="shared" si="88"/>
        <v>217.15709240080542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31.966725720178001</v>
      </c>
      <c r="AA84" s="23">
        <f>EXP(-LN(2)/25)*AA83+(1-EXP(-LN(2)/25))/(LN(2)/25)*Calculateur!V84*Calculateur!X84*VLOOKUP('Données projet'!$B$9,Paramètres!$A$1:$I$89,3,0)*0.475*44/12</f>
        <v>10.272073221328212</v>
      </c>
      <c r="AB84" s="23">
        <f>EXP(-LN(2)/2)*AB83+(1-EXP(-LN(2)/2))/(LN(2)/2)*V84*Y84*VLOOKUP('Données projet'!$B$9,Paramètres!$A$1:$I$89,3,0)*0.475*44/12</f>
        <v>0.83203818239311456</v>
      </c>
      <c r="AC84" s="24">
        <f t="shared" si="57"/>
        <v>43.070837123899324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10.26166666666667</v>
      </c>
      <c r="AI84" s="14">
        <f>IF('Données projet'!$A$62&gt;35,AI83+AH84-AQ83,IF(A84&lt;'Données projet'!$A$62,$AF$205^A84,IF(A84='Données projet'!$A$62,'Données projet'!$B$62,AI83+AH84-AQ83)))</f>
        <v>358.59000000000009</v>
      </c>
      <c r="AJ84" s="14">
        <f>AI84*VLOOKUP('Données projet'!$B$10,Paramètres!$A$1:$I$89,3,0)*VLOOKUP('Données projet'!$B$10,Paramètres!$A$1:$I$89,5,0)</f>
        <v>167.82012000000003</v>
      </c>
      <c r="AK84" s="14">
        <f t="shared" si="89"/>
        <v>42.601436876579278</v>
      </c>
      <c r="AL84" s="22">
        <f t="shared" si="58"/>
        <v>366.48421156004224</v>
      </c>
      <c r="AM84" s="62">
        <f t="shared" si="59"/>
        <v>659.8175448933755</v>
      </c>
      <c r="AN84" s="62">
        <f ca="1">AVERAGE(OFFSET($AM$3,0,0,'Données projet'!$E$10+1,1))-AVERAGE(OFFSET($H$3,0,0,'Données projet'!$E$10+1,1))</f>
        <v>287.83167869616227</v>
      </c>
      <c r="AO84" s="62">
        <f t="shared" si="90"/>
        <v>233.84231920589906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37.962840386475541</v>
      </c>
      <c r="AV84" s="23">
        <f>EXP(-LN(2)/25)*AV83+(1-EXP(-LN(2)/25))/(LN(2)/25)*Calculateur!AQ84*Calculateur!AS84*VLOOKUP('Données projet'!$B$10,Paramètres!$A$1:$I$89,3,0)*0.475*44/12</f>
        <v>17.470101040511231</v>
      </c>
      <c r="AW84" s="23">
        <f>EXP(-LN(2)/2)*AW83+(1-EXP(-LN(2)/2))/(LN(2)/2)*AQ84*AT84*VLOOKUP('Données projet'!$B$10,Paramètres!$A$1:$I$89,3,0)*0.475*44/12</f>
        <v>1.1284538382463587</v>
      </c>
      <c r="AX84" s="23">
        <f t="shared" si="60"/>
        <v>56.561395265233131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-1.7053025658242404E-13</v>
      </c>
      <c r="BE84" s="14">
        <f>BD84*VLOOKUP('Données projet'!$B$11,Paramètres!$A$1:$I$89,3,0)*VLOOKUP('Données projet'!$B$11,Paramètres!$A$1:$I$89,5,0)</f>
        <v>-1.064108801074326E-13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262.36903350767881</v>
      </c>
      <c r="BJ84" s="62">
        <f t="shared" si="92"/>
        <v>331.21009482262417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113.37382498750448</v>
      </c>
      <c r="BQ84" s="23">
        <f>EXP(-LN(2)/25)*BQ83+(1-EXP(-LN(2)/25))/(LN(2)/25)*Calculateur!BL84*Calculateur!BN84*VLOOKUP('Données projet'!$B$11,Paramètres!$A$1:$I$89,3,0)*0.475*44/12</f>
        <v>22.491679570651296</v>
      </c>
      <c r="BR84" s="23">
        <f>EXP(-LN(2)/2)*BR83+(1-EXP(-LN(2)/2))/(LN(2)/2)*BL84*BO84*VLOOKUP('Données projet'!$B$11,Paramètres!$A$1:$I$89,3,0)*0.475*44/12</f>
        <v>1.3755587531627067E-2</v>
      </c>
      <c r="BS84" s="24">
        <f t="shared" si="63"/>
        <v>135.8792601456874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8.6770000000000014</v>
      </c>
      <c r="BY84" s="13">
        <f>IF('Données projet'!$A$114&gt;35,BY83+BX84-CG83,IF(A84&lt;'Données projet'!$A$114,$BV$205^A84,IF(A84='Données projet'!$A$114,'Données projet'!$B$114,BY83+BX84-CG83)))</f>
        <v>299.31900000000019</v>
      </c>
      <c r="BZ84" s="14">
        <f>BY84*VLOOKUP('Données projet'!$B$12,Paramètres!$A$1:$I$89,3,0)*VLOOKUP('Données projet'!$B$12,Paramètres!$A$1:$I$89,5,0)</f>
        <v>289.50133680000016</v>
      </c>
      <c r="CA84" s="14">
        <f t="shared" si="93"/>
        <v>68.970998217904651</v>
      </c>
      <c r="CB84" s="22">
        <f t="shared" si="64"/>
        <v>624.33931682285095</v>
      </c>
      <c r="CC84" s="62">
        <f t="shared" si="65"/>
        <v>917.67265015618432</v>
      </c>
      <c r="CD84" s="62">
        <f ca="1">AVERAGE(OFFSET($CC$3,0,0,'Données projet'!$E$12+1,1))-AVERAGE(OFFSET($H$3,0,0,'Données projet'!$E$12+1,1))</f>
        <v>618.83149423524605</v>
      </c>
      <c r="CE84" s="62">
        <f t="shared" si="94"/>
        <v>285.33582535802435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18.929305621554068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18.929305621554068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349.5718186624772</v>
      </c>
      <c r="CZ84" s="62">
        <f t="shared" si="96"/>
        <v>258.14152930815959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197.90964168620354</v>
      </c>
      <c r="DG84" s="23">
        <f>EXP(-LN(2)/25)*DG83+(1-EXP(-LN(2)/25))/(LN(2)/25)*Calculateur!DB84*Calculateur!DD84*VLOOKUP('Données projet'!$B$13,Paramètres!$A$1:$I$89,3,0)*0.475*44/12</f>
        <v>30.689365706599055</v>
      </c>
      <c r="DH84" s="23">
        <f>EXP(-LN(2)/2)*DH83+(1-EXP(-LN(2)/2))/(LN(2)/2)*DB84*DE84*VLOOKUP('Données projet'!$B$13,Paramètres!$A$1:$I$89,3,0)*0.475*44/12</f>
        <v>22.500651034135043</v>
      </c>
      <c r="DI84" s="24">
        <f t="shared" si="69"/>
        <v>251.09965842693765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2.8</v>
      </c>
      <c r="DO84" s="13">
        <f>IF('Données projet'!$A$166&gt;35,DO83+DN84-DW83,IF(A84&lt;'Données projet'!$A$166,$DL$205^A84,IF(A84='Données projet'!$A$166,'Données projet'!$B$166,DO83+DN84-DW83)))</f>
        <v>199.79999999999993</v>
      </c>
      <c r="DP84" s="18">
        <f>DO84*VLOOKUP('Données projet'!$B$14,Paramètres!$A$1:$I$89,3,0)*VLOOKUP('Données projet'!$B$14,Paramètres!$A$1:$I$89,5,0)</f>
        <v>174.54527999999993</v>
      </c>
      <c r="DQ84" s="14">
        <f t="shared" si="97"/>
        <v>44.106446559111959</v>
      </c>
      <c r="DR84" s="22">
        <f t="shared" si="70"/>
        <v>380.81842375711989</v>
      </c>
      <c r="DS84" s="62">
        <f t="shared" si="71"/>
        <v>674.1517570904532</v>
      </c>
      <c r="DT84" s="62">
        <f ca="1">AVERAGE(OFFSET($DS$3,0,0,'Données projet'!$E$14+1,1))-AVERAGE(OFFSET($H$3,0,0,'Données projet'!$E$14+1,1))</f>
        <v>300.63505444445104</v>
      </c>
      <c r="DU84" s="62">
        <f t="shared" si="98"/>
        <v>266.32508105927997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19.90078386511686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19.90078386511686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353.37024194969638</v>
      </c>
      <c r="EP84" s="62">
        <f t="shared" si="100"/>
        <v>345.4750813433123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152.22040829223508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152.22040829223508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3.8</v>
      </c>
      <c r="FE84" s="13">
        <f>IF('Données projet'!$A$218&gt;35,FE83+FD84-FM83,IF(A84&lt;'Données projet'!$A$218,$FB$205^A84,IF(A84='Données projet'!$A$218,'Données projet'!$B$218,FE83+FD84-FM83)))</f>
        <v>231.80000000000007</v>
      </c>
      <c r="FF84" s="18">
        <f>FE84*VLOOKUP('Données projet'!$B$16,Paramètres!$A$1:$I$89,3,0)*VLOOKUP('Données projet'!$B$16,Paramètres!$A$1:$I$89,5,0)</f>
        <v>151.87536000000003</v>
      </c>
      <c r="FG84" s="14">
        <f t="shared" si="101"/>
        <v>39.004459236504758</v>
      </c>
      <c r="FH84" s="22">
        <f t="shared" si="76"/>
        <v>332.44901850357911</v>
      </c>
      <c r="FI84" s="62">
        <f t="shared" si="77"/>
        <v>625.78235183691243</v>
      </c>
      <c r="FJ84" s="62">
        <f ca="1">AVERAGE(OFFSET($FI$3,0,0,'Données projet'!$E$16+1,1))-AVERAGE(OFFSET($H$3,0,0,'Données projet'!$E$16+1,1))</f>
        <v>263.30962868541337</v>
      </c>
      <c r="FK84" s="62">
        <f t="shared" si="102"/>
        <v>269.61868559913404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20.451705058588157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20.451705058588157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6.2826666666666631</v>
      </c>
      <c r="N85" s="14">
        <f>IF('Données projet'!$A$36&gt;35,N84+M85-V84,IF(A85&lt;'Données projet'!$A$36,$K$205^A85,IF(A85='Données projet'!$A$36,'Données projet'!$B$36,N84+M85-V84)))</f>
        <v>241.62866666666667</v>
      </c>
      <c r="O85" s="14">
        <f>N85*VLOOKUP('Données projet'!$B$9,Paramètres!$A$1:$I$89,3,0)*VLOOKUP('Données projet'!$B$9,Paramètres!$A$1:$I$89,5,0)</f>
        <v>144.4939426666667</v>
      </c>
      <c r="P85" s="14">
        <f t="shared" si="87"/>
        <v>37.324603939509743</v>
      </c>
      <c r="Q85" s="22">
        <f t="shared" si="54"/>
        <v>316.66730200575722</v>
      </c>
      <c r="R85" s="62">
        <f t="shared" si="55"/>
        <v>610.00063533909054</v>
      </c>
      <c r="S85" s="62">
        <f ca="1">AVERAGE(OFFSET($R$3,0,0,'Données projet'!$E$9+1,1))-AVERAGE(OFFSET($H$3,0,0,'Données projet'!$E$9+1,1))</f>
        <v>262.06511368698341</v>
      </c>
      <c r="T85" s="62">
        <f t="shared" si="88"/>
        <v>217.15709240080542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31.339877726582753</v>
      </c>
      <c r="AA85" s="23">
        <f>EXP(-LN(2)/25)*AA84+(1-EXP(-LN(2)/25))/(LN(2)/25)*Calculateur!V85*Calculateur!X85*VLOOKUP('Données projet'!$B$9,Paramètres!$A$1:$I$89,3,0)*0.475*44/12</f>
        <v>9.9911828389061377</v>
      </c>
      <c r="AB85" s="23">
        <f>EXP(-LN(2)/2)*AB84+(1-EXP(-LN(2)/2))/(LN(2)/2)*V85*Y85*VLOOKUP('Données projet'!$B$9,Paramètres!$A$1:$I$89,3,0)*0.475*44/12</f>
        <v>0.58833984097630077</v>
      </c>
      <c r="AC85" s="24">
        <f t="shared" si="57"/>
        <v>41.919400406465193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10.26166666666667</v>
      </c>
      <c r="AI85" s="14">
        <f>IF('Données projet'!$A$62&gt;35,AI84+AH85-AQ84,IF(A85&lt;'Données projet'!$A$62,$AF$205^A85,IF(A85='Données projet'!$A$62,'Données projet'!$B$62,AI84+AH85-AQ84)))</f>
        <v>368.85166666666674</v>
      </c>
      <c r="AJ85" s="14">
        <f>AI85*VLOOKUP('Données projet'!$B$10,Paramètres!$A$1:$I$89,3,0)*VLOOKUP('Données projet'!$B$10,Paramètres!$A$1:$I$89,5,0)</f>
        <v>172.62258000000003</v>
      </c>
      <c r="AK85" s="14">
        <f t="shared" si="89"/>
        <v>43.676869897004266</v>
      </c>
      <c r="AL85" s="22">
        <f t="shared" si="58"/>
        <v>376.72154190394917</v>
      </c>
      <c r="AM85" s="62">
        <f t="shared" si="59"/>
        <v>670.05487523728243</v>
      </c>
      <c r="AN85" s="62">
        <f ca="1">AVERAGE(OFFSET($AM$3,0,0,'Données projet'!$E$10+1,1))-AVERAGE(OFFSET($H$3,0,0,'Données projet'!$E$10+1,1))</f>
        <v>287.83167869616227</v>
      </c>
      <c r="AO85" s="62">
        <f t="shared" si="90"/>
        <v>233.84231920589906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37.218412241543021</v>
      </c>
      <c r="AV85" s="23">
        <f>EXP(-LN(2)/25)*AV84+(1-EXP(-LN(2)/25))/(LN(2)/25)*Calculateur!AQ85*Calculateur!AS85*VLOOKUP('Données projet'!$B$10,Paramètres!$A$1:$I$89,3,0)*0.475*44/12</f>
        <v>16.992380208845766</v>
      </c>
      <c r="AW85" s="23">
        <f>EXP(-LN(2)/2)*AW84+(1-EXP(-LN(2)/2))/(LN(2)/2)*AQ85*AT85*VLOOKUP('Données projet'!$B$10,Paramètres!$A$1:$I$89,3,0)*0.475*44/12</f>
        <v>0.79793736127998771</v>
      </c>
      <c r="AX85" s="23">
        <f t="shared" si="60"/>
        <v>55.008729811668772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-1.7053025658242404E-13</v>
      </c>
      <c r="BE85" s="14">
        <f>BD85*VLOOKUP('Données projet'!$B$11,Paramètres!$A$1:$I$89,3,0)*VLOOKUP('Données projet'!$B$11,Paramètres!$A$1:$I$89,5,0)</f>
        <v>-1.064108801074326E-13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262.36903350767881</v>
      </c>
      <c r="BJ85" s="62">
        <f t="shared" si="92"/>
        <v>331.21009482262417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111.15063343070464</v>
      </c>
      <c r="BQ85" s="23">
        <f>EXP(-LN(2)/25)*BQ84+(1-EXP(-LN(2)/25))/(LN(2)/25)*Calculateur!BL85*Calculateur!BN85*VLOOKUP('Données projet'!$B$11,Paramètres!$A$1:$I$89,3,0)*0.475*44/12</f>
        <v>21.876643410005812</v>
      </c>
      <c r="BR85" s="23">
        <f>EXP(-LN(2)/2)*BR84+(1-EXP(-LN(2)/2))/(LN(2)/2)*BL85*BO85*VLOOKUP('Données projet'!$B$11,Paramètres!$A$1:$I$89,3,0)*0.475*44/12</f>
        <v>9.7266692228186215E-3</v>
      </c>
      <c r="BS85" s="24">
        <f t="shared" si="63"/>
        <v>133.03700350993327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8.6770000000000014</v>
      </c>
      <c r="BY85" s="13">
        <f>IF('Données projet'!$A$114&gt;35,BY84+BX85-CG84,IF(A85&lt;'Données projet'!$A$114,$BV$205^A85,IF(A85='Données projet'!$A$114,'Données projet'!$B$114,BY84+BX85-CG84)))</f>
        <v>307.99600000000021</v>
      </c>
      <c r="BZ85" s="14">
        <f>BY85*VLOOKUP('Données projet'!$B$12,Paramètres!$A$1:$I$89,3,0)*VLOOKUP('Données projet'!$B$12,Paramètres!$A$1:$I$89,5,0)</f>
        <v>297.89373120000022</v>
      </c>
      <c r="CA85" s="14">
        <f t="shared" si="93"/>
        <v>70.734727732931788</v>
      </c>
      <c r="CB85" s="22">
        <f t="shared" si="64"/>
        <v>642.02789930818994</v>
      </c>
      <c r="CC85" s="62">
        <f t="shared" si="65"/>
        <v>935.3612326415232</v>
      </c>
      <c r="CD85" s="62">
        <f ca="1">AVERAGE(OFFSET($CC$3,0,0,'Données projet'!$E$12+1,1))-AVERAGE(OFFSET($H$3,0,0,'Données projet'!$E$12+1,1))</f>
        <v>618.83149423524605</v>
      </c>
      <c r="CE85" s="62">
        <f t="shared" si="94"/>
        <v>285.33582535802435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18.558113484051773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18.558113484051773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349.5718186624772</v>
      </c>
      <c r="CZ85" s="62">
        <f t="shared" si="96"/>
        <v>258.14152930815959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194.02875432569911</v>
      </c>
      <c r="DG85" s="23">
        <f>EXP(-LN(2)/25)*DG84+(1-EXP(-LN(2)/25))/(LN(2)/25)*Calculateur!DB85*Calculateur!DD85*VLOOKUP('Données projet'!$B$13,Paramètres!$A$1:$I$89,3,0)*0.475*44/12</f>
        <v>29.850163387468502</v>
      </c>
      <c r="DH85" s="23">
        <f>EXP(-LN(2)/2)*DH84+(1-EXP(-LN(2)/2))/(LN(2)/2)*DB85*DE85*VLOOKUP('Données projet'!$B$13,Paramètres!$A$1:$I$89,3,0)*0.475*44/12</f>
        <v>15.910362927348993</v>
      </c>
      <c r="DI85" s="24">
        <f t="shared" si="69"/>
        <v>239.78928064051661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2.8</v>
      </c>
      <c r="DO85" s="13">
        <f>IF('Données projet'!$A$166&gt;35,DO84+DN85-DW84,IF(A85&lt;'Données projet'!$A$166,$DL$205^A85,IF(A85='Données projet'!$A$166,'Données projet'!$B$166,DO84+DN85-DW84)))</f>
        <v>202.59999999999994</v>
      </c>
      <c r="DP85" s="18">
        <f>DO85*VLOOKUP('Données projet'!$B$14,Paramètres!$A$1:$I$89,3,0)*VLOOKUP('Données projet'!$B$14,Paramètres!$A$1:$I$89,5,0)</f>
        <v>176.99135999999996</v>
      </c>
      <c r="DQ85" s="14">
        <f t="shared" si="97"/>
        <v>44.65216395512175</v>
      </c>
      <c r="DR85" s="22">
        <f t="shared" si="70"/>
        <v>386.02913755517028</v>
      </c>
      <c r="DS85" s="62">
        <f t="shared" si="71"/>
        <v>679.36247088850359</v>
      </c>
      <c r="DT85" s="62">
        <f ca="1">AVERAGE(OFFSET($DS$3,0,0,'Données projet'!$E$14+1,1))-AVERAGE(OFFSET($H$3,0,0,'Données projet'!$E$14+1,1))</f>
        <v>300.63505444445104</v>
      </c>
      <c r="DU85" s="62">
        <f t="shared" si="98"/>
        <v>266.32508105927997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19.510541631801519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19.510541631801519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353.37024194969638</v>
      </c>
      <c r="EP85" s="62">
        <f t="shared" si="100"/>
        <v>345.4750813433123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149.23545893090571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149.23545893090571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3.8</v>
      </c>
      <c r="FE85" s="13">
        <f>IF('Données projet'!$A$218&gt;35,FE84+FD85-FM84,IF(A85&lt;'Données projet'!$A$218,$FB$205^A85,IF(A85='Données projet'!$A$218,'Données projet'!$B$218,FE84+FD85-FM84)))</f>
        <v>235.60000000000008</v>
      </c>
      <c r="FF85" s="18">
        <f>FE85*VLOOKUP('Données projet'!$B$16,Paramètres!$A$1:$I$89,3,0)*VLOOKUP('Données projet'!$B$16,Paramètres!$A$1:$I$89,5,0)</f>
        <v>154.36512000000005</v>
      </c>
      <c r="FG85" s="14">
        <f t="shared" si="101"/>
        <v>39.568912624848309</v>
      </c>
      <c r="FH85" s="22">
        <f t="shared" si="76"/>
        <v>337.76844015494419</v>
      </c>
      <c r="FI85" s="62">
        <f t="shared" si="77"/>
        <v>631.10177348827756</v>
      </c>
      <c r="FJ85" s="62">
        <f ca="1">AVERAGE(OFFSET($FI$3,0,0,'Données projet'!$E$16+1,1))-AVERAGE(OFFSET($H$3,0,0,'Données projet'!$E$16+1,1))</f>
        <v>263.30962868541337</v>
      </c>
      <c r="FK85" s="62">
        <f t="shared" si="102"/>
        <v>269.61868559913404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20.050659596697592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20.050659596697592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6.2826666666666631</v>
      </c>
      <c r="N86" s="14">
        <f>IF('Données projet'!$A$36&gt;35,N85+M86-V85,IF(A86&lt;'Données projet'!$A$36,$K$205^A86,IF(A86='Données projet'!$A$36,'Données projet'!$B$36,N85+M86-V85)))</f>
        <v>247.91133333333335</v>
      </c>
      <c r="O86" s="14">
        <f>N86*VLOOKUP('Données projet'!$B$9,Paramètres!$A$1:$I$89,3,0)*VLOOKUP('Données projet'!$B$9,Paramètres!$A$1:$I$89,5,0)</f>
        <v>148.25097733333337</v>
      </c>
      <c r="P86" s="14">
        <f t="shared" si="87"/>
        <v>38.180843033500082</v>
      </c>
      <c r="Q86" s="22">
        <f t="shared" si="54"/>
        <v>324.70208713890156</v>
      </c>
      <c r="R86" s="62">
        <f t="shared" si="55"/>
        <v>618.03542047223482</v>
      </c>
      <c r="S86" s="62">
        <f ca="1">AVERAGE(OFFSET($R$3,0,0,'Données projet'!$E$9+1,1))-AVERAGE(OFFSET($H$3,0,0,'Données projet'!$E$9+1,1))</f>
        <v>262.06511368698341</v>
      </c>
      <c r="T86" s="62">
        <f t="shared" si="88"/>
        <v>217.15709240080542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30.725321839802387</v>
      </c>
      <c r="AA86" s="23">
        <f>EXP(-LN(2)/25)*AA85+(1-EXP(-LN(2)/25))/(LN(2)/25)*Calculateur!V86*Calculateur!X86*VLOOKUP('Données projet'!$B$9,Paramètres!$A$1:$I$89,3,0)*0.475*44/12</f>
        <v>9.7179734187627798</v>
      </c>
      <c r="AB86" s="23">
        <f>EXP(-LN(2)/2)*AB85+(1-EXP(-LN(2)/2))/(LN(2)/2)*V86*Y86*VLOOKUP('Données projet'!$B$9,Paramètres!$A$1:$I$89,3,0)*0.475*44/12</f>
        <v>0.41601909119655728</v>
      </c>
      <c r="AC86" s="24">
        <f t="shared" si="57"/>
        <v>40.859314349761725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10.26166666666667</v>
      </c>
      <c r="AI86" s="14">
        <f>IF('Données projet'!$A$62&gt;35,AI85+AH86-AQ85,IF(A86&lt;'Données projet'!$A$62,$AF$205^A86,IF(A86='Données projet'!$A$62,'Données projet'!$B$62,AI85+AH86-AQ85)))</f>
        <v>379.1133333333334</v>
      </c>
      <c r="AJ86" s="14">
        <f>AI86*VLOOKUP('Données projet'!$B$10,Paramètres!$A$1:$I$89,3,0)*VLOOKUP('Données projet'!$B$10,Paramètres!$A$1:$I$89,5,0)</f>
        <v>177.42504000000002</v>
      </c>
      <c r="AK86" s="14">
        <f t="shared" si="89"/>
        <v>44.748825484986561</v>
      </c>
      <c r="AL86" s="22">
        <f t="shared" si="58"/>
        <v>386.95281571968491</v>
      </c>
      <c r="AM86" s="62">
        <f t="shared" si="59"/>
        <v>680.28614905301822</v>
      </c>
      <c r="AN86" s="62">
        <f ca="1">AVERAGE(OFFSET($AM$3,0,0,'Données projet'!$E$10+1,1))-AVERAGE(OFFSET($H$3,0,0,'Données projet'!$E$10+1,1))</f>
        <v>287.83167869616227</v>
      </c>
      <c r="AO86" s="62">
        <f t="shared" si="90"/>
        <v>233.84231920589906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36.488581878476296</v>
      </c>
      <c r="AV86" s="23">
        <f>EXP(-LN(2)/25)*AV85+(1-EXP(-LN(2)/25))/(LN(2)/25)*Calculateur!AQ86*Calculateur!AS86*VLOOKUP('Données projet'!$B$10,Paramètres!$A$1:$I$89,3,0)*0.475*44/12</f>
        <v>16.527722678444441</v>
      </c>
      <c r="AW86" s="23">
        <f>EXP(-LN(2)/2)*AW85+(1-EXP(-LN(2)/2))/(LN(2)/2)*AQ86*AT86*VLOOKUP('Données projet'!$B$10,Paramètres!$A$1:$I$89,3,0)*0.475*44/12</f>
        <v>0.56422691912317946</v>
      </c>
      <c r="AX86" s="23">
        <f t="shared" si="60"/>
        <v>53.580531476043916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-1.7053025658242404E-13</v>
      </c>
      <c r="BE86" s="14">
        <f>BD86*VLOOKUP('Données projet'!$B$11,Paramètres!$A$1:$I$89,3,0)*VLOOKUP('Données projet'!$B$11,Paramètres!$A$1:$I$89,5,0)</f>
        <v>-1.064108801074326E-13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262.36903350767881</v>
      </c>
      <c r="BJ86" s="62">
        <f t="shared" si="92"/>
        <v>331.21009482262417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108.9710373043207</v>
      </c>
      <c r="BQ86" s="23">
        <f>EXP(-LN(2)/25)*BQ85+(1-EXP(-LN(2)/25))/(LN(2)/25)*Calculateur!BL86*Calculateur!BN86*VLOOKUP('Données projet'!$B$11,Paramètres!$A$1:$I$89,3,0)*0.475*44/12</f>
        <v>21.278425445516525</v>
      </c>
      <c r="BR86" s="23">
        <f>EXP(-LN(2)/2)*BR85+(1-EXP(-LN(2)/2))/(LN(2)/2)*BL86*BO86*VLOOKUP('Données projet'!$B$11,Paramètres!$A$1:$I$89,3,0)*0.475*44/12</f>
        <v>6.8777937658135333E-3</v>
      </c>
      <c r="BS86" s="24">
        <f t="shared" si="63"/>
        <v>130.25634054360305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8.6770000000000014</v>
      </c>
      <c r="BY86" s="13">
        <f>IF('Données projet'!$A$114&gt;35,BY85+BX86-CG85,IF(A86&lt;'Données projet'!$A$114,$BV$205^A86,IF(A86='Données projet'!$A$114,'Données projet'!$B$114,BY85+BX86-CG85)))</f>
        <v>316.67300000000023</v>
      </c>
      <c r="BZ86" s="14">
        <f>BY86*VLOOKUP('Données projet'!$B$12,Paramètres!$A$1:$I$89,3,0)*VLOOKUP('Données projet'!$B$12,Paramètres!$A$1:$I$89,5,0)</f>
        <v>306.28612560000022</v>
      </c>
      <c r="CA86" s="14">
        <f t="shared" si="93"/>
        <v>72.492682163998609</v>
      </c>
      <c r="CB86" s="22">
        <f t="shared" si="64"/>
        <v>659.70642352229788</v>
      </c>
      <c r="CC86" s="62">
        <f t="shared" si="65"/>
        <v>953.03975685563114</v>
      </c>
      <c r="CD86" s="62">
        <f ca="1">AVERAGE(OFFSET($CC$3,0,0,'Données projet'!$E$12+1,1))-AVERAGE(OFFSET($H$3,0,0,'Données projet'!$E$12+1,1))</f>
        <v>618.83149423524605</v>
      </c>
      <c r="CE86" s="62">
        <f t="shared" si="94"/>
        <v>285.33582535802435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18.194200197961052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18.194200197961052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349.5718186624772</v>
      </c>
      <c r="CZ86" s="62">
        <f t="shared" si="96"/>
        <v>258.14152930815959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190.22396879922661</v>
      </c>
      <c r="DG86" s="23">
        <f>EXP(-LN(2)/25)*DG85+(1-EXP(-LN(2)/25))/(LN(2)/25)*Calculateur!DB86*Calculateur!DD86*VLOOKUP('Données projet'!$B$13,Paramètres!$A$1:$I$89,3,0)*0.475*44/12</f>
        <v>29.033909099886305</v>
      </c>
      <c r="DH86" s="23">
        <f>EXP(-LN(2)/2)*DH85+(1-EXP(-LN(2)/2))/(LN(2)/2)*DB86*DE86*VLOOKUP('Données projet'!$B$13,Paramètres!$A$1:$I$89,3,0)*0.475*44/12</f>
        <v>11.250325517067523</v>
      </c>
      <c r="DI86" s="24">
        <f t="shared" si="69"/>
        <v>230.50820341618044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2.8</v>
      </c>
      <c r="DO86" s="13">
        <f>IF('Données projet'!$A$166&gt;35,DO85+DN86-DW85,IF(A86&lt;'Données projet'!$A$166,$DL$205^A86,IF(A86='Données projet'!$A$166,'Données projet'!$B$166,DO85+DN86-DW85)))</f>
        <v>205.39999999999995</v>
      </c>
      <c r="DP86" s="18">
        <f>DO86*VLOOKUP('Données projet'!$B$14,Paramètres!$A$1:$I$89,3,0)*VLOOKUP('Données projet'!$B$14,Paramètres!$A$1:$I$89,5,0)</f>
        <v>179.43743999999998</v>
      </c>
      <c r="DQ86" s="14">
        <f t="shared" si="97"/>
        <v>45.197004138831623</v>
      </c>
      <c r="DR86" s="22">
        <f t="shared" si="70"/>
        <v>391.23832354179837</v>
      </c>
      <c r="DS86" s="62">
        <f t="shared" si="71"/>
        <v>684.57165687513168</v>
      </c>
      <c r="DT86" s="62">
        <f ca="1">AVERAGE(OFFSET($DS$3,0,0,'Données projet'!$E$14+1,1))-AVERAGE(OFFSET($H$3,0,0,'Données projet'!$E$14+1,1))</f>
        <v>300.63505444445104</v>
      </c>
      <c r="DU86" s="62">
        <f t="shared" si="98"/>
        <v>266.32508105927997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19.127951810657233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19.127951810657233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353.37024194969638</v>
      </c>
      <c r="EP86" s="62">
        <f t="shared" si="100"/>
        <v>345.4750813433123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146.30904260591265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146.30904260591265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3.8</v>
      </c>
      <c r="FE86" s="13">
        <f>IF('Données projet'!$A$218&gt;35,FE85+FD86-FM85,IF(A86&lt;'Données projet'!$A$218,$FB$205^A86,IF(A86='Données projet'!$A$218,'Données projet'!$B$218,FE85+FD86-FM85)))</f>
        <v>239.40000000000009</v>
      </c>
      <c r="FF86" s="18">
        <f>FE86*VLOOKUP('Données projet'!$B$16,Paramètres!$A$1:$I$89,3,0)*VLOOKUP('Données projet'!$B$16,Paramètres!$A$1:$I$89,5,0)</f>
        <v>156.85488000000007</v>
      </c>
      <c r="FG86" s="14">
        <f t="shared" si="101"/>
        <v>40.132307243083858</v>
      </c>
      <c r="FH86" s="22">
        <f t="shared" si="76"/>
        <v>343.08601778170447</v>
      </c>
      <c r="FI86" s="62">
        <f t="shared" si="77"/>
        <v>636.41935111503778</v>
      </c>
      <c r="FJ86" s="62">
        <f ca="1">AVERAGE(OFFSET($FI$3,0,0,'Données projet'!$E$16+1,1))-AVERAGE(OFFSET($H$3,0,0,'Données projet'!$E$16+1,1))</f>
        <v>263.30962868541337</v>
      </c>
      <c r="FK86" s="62">
        <f t="shared" si="102"/>
        <v>269.61868559913404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19.657478391701126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19.657478391701126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6.2826666666666631</v>
      </c>
      <c r="N87" s="14">
        <f>IF('Données projet'!$A$36&gt;35,N86+M87-V86,IF(A87&lt;'Données projet'!$A$36,$K$205^A87,IF(A87='Données projet'!$A$36,'Données projet'!$B$36,N86+M87-V86)))</f>
        <v>254.19400000000002</v>
      </c>
      <c r="O87" s="14">
        <f>N87*VLOOKUP('Données projet'!$B$9,Paramètres!$A$1:$I$89,3,0)*VLOOKUP('Données projet'!$B$9,Paramètres!$A$1:$I$89,5,0)</f>
        <v>152.00801200000001</v>
      </c>
      <c r="P87" s="14">
        <f t="shared" si="87"/>
        <v>39.034559782971215</v>
      </c>
      <c r="Q87" s="22">
        <f t="shared" si="54"/>
        <v>332.73247918867486</v>
      </c>
      <c r="R87" s="62">
        <f t="shared" si="55"/>
        <v>626.06581252200817</v>
      </c>
      <c r="S87" s="62">
        <f ca="1">AVERAGE(OFFSET($R$3,0,0,'Données projet'!$E$9+1,1))-AVERAGE(OFFSET($H$3,0,0,'Données projet'!$E$9+1,1))</f>
        <v>262.06511368698341</v>
      </c>
      <c r="T87" s="62">
        <f t="shared" si="88"/>
        <v>217.15709240080542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30.122817019119704</v>
      </c>
      <c r="AA87" s="23">
        <f>EXP(-LN(2)/25)*AA86+(1-EXP(-LN(2)/25))/(LN(2)/25)*Calculateur!V87*Calculateur!X87*VLOOKUP('Données projet'!$B$9,Paramètres!$A$1:$I$89,3,0)*0.475*44/12</f>
        <v>9.4522349245807007</v>
      </c>
      <c r="AB87" s="23">
        <f>EXP(-LN(2)/2)*AB86+(1-EXP(-LN(2)/2))/(LN(2)/2)*V87*Y87*VLOOKUP('Données projet'!$B$9,Paramètres!$A$1:$I$89,3,0)*0.475*44/12</f>
        <v>0.29416992048815038</v>
      </c>
      <c r="AC87" s="24">
        <f t="shared" si="57"/>
        <v>39.869221864188553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10.26166666666667</v>
      </c>
      <c r="AI87" s="14">
        <f>IF('Données projet'!$A$62&gt;35,AI86+AH87-AQ86,IF(A87&lt;'Données projet'!$A$62,$AF$205^A87,IF(A87='Données projet'!$A$62,'Données projet'!$B$62,AI86+AH87-AQ86)))</f>
        <v>389.37500000000006</v>
      </c>
      <c r="AJ87" s="14">
        <f>AI87*VLOOKUP('Données projet'!$B$10,Paramètres!$A$1:$I$89,3,0)*VLOOKUP('Données projet'!$B$10,Paramètres!$A$1:$I$89,5,0)</f>
        <v>182.22750000000002</v>
      </c>
      <c r="AK87" s="14">
        <f t="shared" si="89"/>
        <v>45.817408582879374</v>
      </c>
      <c r="AL87" s="22">
        <f t="shared" si="58"/>
        <v>397.17821578184822</v>
      </c>
      <c r="AM87" s="62">
        <f t="shared" si="59"/>
        <v>690.51154911518154</v>
      </c>
      <c r="AN87" s="62">
        <f ca="1">AVERAGE(OFFSET($AM$3,0,0,'Données projet'!$E$10+1,1))-AVERAGE(OFFSET($H$3,0,0,'Données projet'!$E$10+1,1))</f>
        <v>287.83167869616227</v>
      </c>
      <c r="AO87" s="62">
        <f t="shared" si="90"/>
        <v>233.84231920589906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35.773063043676743</v>
      </c>
      <c r="AV87" s="23">
        <f>EXP(-LN(2)/25)*AV86+(1-EXP(-LN(2)/25))/(LN(2)/25)*Calculateur!AQ87*Calculateur!AS87*VLOOKUP('Données projet'!$B$10,Paramètres!$A$1:$I$89,3,0)*0.475*44/12</f>
        <v>16.075771232647217</v>
      </c>
      <c r="AW87" s="23">
        <f>EXP(-LN(2)/2)*AW86+(1-EXP(-LN(2)/2))/(LN(2)/2)*AQ87*AT87*VLOOKUP('Données projet'!$B$10,Paramètres!$A$1:$I$89,3,0)*0.475*44/12</f>
        <v>0.39896868063999391</v>
      </c>
      <c r="AX87" s="23">
        <f t="shared" si="60"/>
        <v>52.247802956963952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-1.7053025658242404E-13</v>
      </c>
      <c r="BE87" s="14">
        <f>BD87*VLOOKUP('Données projet'!$B$11,Paramètres!$A$1:$I$89,3,0)*VLOOKUP('Données projet'!$B$11,Paramètres!$A$1:$I$89,5,0)</f>
        <v>-1.064108801074326E-13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262.36903350767881</v>
      </c>
      <c r="BJ87" s="62">
        <f t="shared" si="92"/>
        <v>331.21009482262417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106.83418172855278</v>
      </c>
      <c r="BQ87" s="23">
        <f>EXP(-LN(2)/25)*BQ86+(1-EXP(-LN(2)/25))/(LN(2)/25)*Calculateur!BL87*Calculateur!BN87*VLOOKUP('Données projet'!$B$11,Paramètres!$A$1:$I$89,3,0)*0.475*44/12</f>
        <v>20.696565782725113</v>
      </c>
      <c r="BR87" s="23">
        <f>EXP(-LN(2)/2)*BR86+(1-EXP(-LN(2)/2))/(LN(2)/2)*BL87*BO87*VLOOKUP('Données projet'!$B$11,Paramètres!$A$1:$I$89,3,0)*0.475*44/12</f>
        <v>4.8633346114093107E-3</v>
      </c>
      <c r="BS87" s="24">
        <f t="shared" si="63"/>
        <v>127.53561084588931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325.35000000000002</v>
      </c>
      <c r="BW87" s="13">
        <f>VLOOKUP(A87,'Données projet'!$A$113:$I$133,9,0)</f>
        <v>8.6770000000000014</v>
      </c>
      <c r="BX87" s="13">
        <f t="array" ref="BX87">INDEX(BW:BW,MIN(IF(ISNUMBER(BW87:BW283),ROW(BW87:BW283),"")))</f>
        <v>8.6770000000000014</v>
      </c>
      <c r="BY87" s="13">
        <f>IF('Données projet'!$A$114&gt;35,BY86+BX87-CG86,IF(A87&lt;'Données projet'!$A$114,$BV$205^A87,IF(A87='Données projet'!$A$114,'Données projet'!$B$114,BY86+BX87-CG86)))</f>
        <v>325.35000000000025</v>
      </c>
      <c r="BZ87" s="14">
        <f>BY87*VLOOKUP('Données projet'!$B$12,Paramètres!$A$1:$I$89,3,0)*VLOOKUP('Données projet'!$B$12,Paramètres!$A$1:$I$89,5,0)</f>
        <v>314.67852000000028</v>
      </c>
      <c r="CA87" s="14">
        <f t="shared" si="93"/>
        <v>74.245037933771187</v>
      </c>
      <c r="CB87" s="22">
        <f t="shared" si="64"/>
        <v>677.37519673465192</v>
      </c>
      <c r="CC87" s="62">
        <f t="shared" si="65"/>
        <v>970.70853006798529</v>
      </c>
      <c r="CD87" s="62">
        <f ca="1">AVERAGE(OFFSET($CC$3,0,0,'Données projet'!$E$12+1,1))-AVERAGE(OFFSET($H$3,0,0,'Données projet'!$E$12+1,1))</f>
        <v>618.83149423524605</v>
      </c>
      <c r="CE87" s="62">
        <f t="shared" si="94"/>
        <v>285.33582535802435</v>
      </c>
      <c r="CF87" s="16">
        <f>IF(ISNA(VLOOKUP(A87,'Données projet'!$A$113:$I$133,3,0)),0,VLOOKUP(A87,'Données projet'!$A$113:$I$133,3,0))</f>
        <v>6</v>
      </c>
      <c r="CG87" s="16">
        <f>IF(ISNA(VLOOKUP(A87,'Données projet'!$A$113:$I$133,4,0)),0,VLOOKUP(A87,'Données projet'!$A$113:$I$133,4,0))</f>
        <v>61.47</v>
      </c>
      <c r="CH87" s="17">
        <f>IF(ISNA(VLOOKUP(A87,'Données projet'!$A$113:$I$133,5,0)),0%,VLOOKUP(A87,'Données projet'!$A$113:$I$133,5,0)*VLOOKUP('Données projet'!$B$12,Paramètres!$A$1:$I$89,7,0))</f>
        <v>0.17200000000000001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29.142019341507194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29.142019341507194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349.5718186624772</v>
      </c>
      <c r="CZ87" s="62">
        <f t="shared" si="96"/>
        <v>258.14152930815959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186.49379279623821</v>
      </c>
      <c r="DG87" s="23">
        <f>EXP(-LN(2)/25)*DG86+(1-EXP(-LN(2)/25))/(LN(2)/25)*Calculateur!DB87*Calculateur!DD87*VLOOKUP('Données projet'!$B$13,Paramètres!$A$1:$I$89,3,0)*0.475*44/12</f>
        <v>28.239975328722991</v>
      </c>
      <c r="DH87" s="23">
        <f>EXP(-LN(2)/2)*DH86+(1-EXP(-LN(2)/2))/(LN(2)/2)*DB87*DE87*VLOOKUP('Données projet'!$B$13,Paramètres!$A$1:$I$89,3,0)*0.475*44/12</f>
        <v>7.9551814636744975</v>
      </c>
      <c r="DI87" s="24">
        <f t="shared" si="69"/>
        <v>222.68894958863572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2.8</v>
      </c>
      <c r="DO87" s="13">
        <f>IF('Données projet'!$A$166&gt;35,DO86+DN87-DW86,IF(A87&lt;'Données projet'!$A$166,$DL$205^A87,IF(A87='Données projet'!$A$166,'Données projet'!$B$166,DO86+DN87-DW86)))</f>
        <v>208.19999999999996</v>
      </c>
      <c r="DP87" s="18">
        <f>DO87*VLOOKUP('Données projet'!$B$14,Paramètres!$A$1:$I$89,3,0)*VLOOKUP('Données projet'!$B$14,Paramètres!$A$1:$I$89,5,0)</f>
        <v>181.88351999999998</v>
      </c>
      <c r="DQ87" s="14">
        <f t="shared" si="97"/>
        <v>45.740980450513447</v>
      </c>
      <c r="DR87" s="22">
        <f t="shared" si="70"/>
        <v>396.4460049513109</v>
      </c>
      <c r="DS87" s="62">
        <f t="shared" si="71"/>
        <v>689.77933828464415</v>
      </c>
      <c r="DT87" s="62">
        <f ca="1">AVERAGE(OFFSET($DS$3,0,0,'Données projet'!$E$14+1,1))-AVERAGE(OFFSET($H$3,0,0,'Données projet'!$E$14+1,1))</f>
        <v>300.63505444445104</v>
      </c>
      <c r="DU87" s="62">
        <f t="shared" si="98"/>
        <v>266.32508105927997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18.75286434254884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18.75286434254884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353.37024194969638</v>
      </c>
      <c r="EP87" s="62">
        <f t="shared" si="100"/>
        <v>345.4750813433123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143.44001152011501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143.44001152011501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3.8</v>
      </c>
      <c r="FE87" s="13">
        <f>IF('Données projet'!$A$218&gt;35,FE86+FD87-FM86,IF(A87&lt;'Données projet'!$A$218,$FB$205^A87,IF(A87='Données projet'!$A$218,'Données projet'!$B$218,FE86+FD87-FM86)))</f>
        <v>243.2000000000001</v>
      </c>
      <c r="FF87" s="18">
        <f>FE87*VLOOKUP('Données projet'!$B$16,Paramètres!$A$1:$I$89,3,0)*VLOOKUP('Données projet'!$B$16,Paramètres!$A$1:$I$89,5,0)</f>
        <v>159.34464000000006</v>
      </c>
      <c r="FG87" s="14">
        <f t="shared" si="101"/>
        <v>40.694661837553809</v>
      </c>
      <c r="FH87" s="22">
        <f t="shared" si="76"/>
        <v>348.40178403373966</v>
      </c>
      <c r="FI87" s="62">
        <f t="shared" si="77"/>
        <v>641.73511736707292</v>
      </c>
      <c r="FJ87" s="62">
        <f ca="1">AVERAGE(OFFSET($FI$3,0,0,'Données projet'!$E$16+1,1))-AVERAGE(OFFSET($H$3,0,0,'Données projet'!$E$16+1,1))</f>
        <v>263.30962868541337</v>
      </c>
      <c r="FK87" s="62">
        <f t="shared" si="102"/>
        <v>269.61868559913404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19.272007230317783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19.272007230317783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6.2826666666666631</v>
      </c>
      <c r="N88" s="14">
        <f>IF('Données projet'!$A$36&gt;35,N87+M88-V87,IF(A88&lt;'Données projet'!$A$36,$K$205^A88,IF(A88='Données projet'!$A$36,'Données projet'!$B$36,N87+M88-V87)))</f>
        <v>260.47666666666669</v>
      </c>
      <c r="O88" s="14">
        <f>N88*VLOOKUP('Données projet'!$B$9,Paramètres!$A$1:$I$89,3,0)*VLOOKUP('Données projet'!$B$9,Paramètres!$A$1:$I$89,5,0)</f>
        <v>155.76504666666668</v>
      </c>
      <c r="P88" s="14">
        <f t="shared" si="87"/>
        <v>39.885823701211613</v>
      </c>
      <c r="Q88" s="22">
        <f t="shared" si="54"/>
        <v>340.75859922405465</v>
      </c>
      <c r="R88" s="62">
        <f t="shared" si="55"/>
        <v>634.09193255738796</v>
      </c>
      <c r="S88" s="62">
        <f ca="1">AVERAGE(OFFSET($R$3,0,0,'Données projet'!$E$9+1,1))-AVERAGE(OFFSET($H$3,0,0,'Données projet'!$E$9+1,1))</f>
        <v>262.06511368698341</v>
      </c>
      <c r="T88" s="62">
        <f t="shared" si="88"/>
        <v>217.15709240080542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29.532126950478954</v>
      </c>
      <c r="AA88" s="23">
        <f>EXP(-LN(2)/25)*AA87+(1-EXP(-LN(2)/25))/(LN(2)/25)*Calculateur!V88*Calculateur!X88*VLOOKUP('Données projet'!$B$9,Paramètres!$A$1:$I$89,3,0)*0.475*44/12</f>
        <v>9.1937630634966094</v>
      </c>
      <c r="AB88" s="23">
        <f>EXP(-LN(2)/2)*AB87+(1-EXP(-LN(2)/2))/(LN(2)/2)*V88*Y88*VLOOKUP('Données projet'!$B$9,Paramètres!$A$1:$I$89,3,0)*0.475*44/12</f>
        <v>0.20800954559827864</v>
      </c>
      <c r="AC88" s="24">
        <f t="shared" si="57"/>
        <v>38.933899559573845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10.26166666666667</v>
      </c>
      <c r="AI88" s="14">
        <f>IF('Données projet'!$A$62&gt;35,AI87+AH88-AQ87,IF(A88&lt;'Données projet'!$A$62,$AF$205^A88,IF(A88='Données projet'!$A$62,'Données projet'!$B$62,AI87+AH88-AQ87)))</f>
        <v>399.63666666666671</v>
      </c>
      <c r="AJ88" s="14">
        <f>AI88*VLOOKUP('Données projet'!$B$10,Paramètres!$A$1:$I$89,3,0)*VLOOKUP('Données projet'!$B$10,Paramètres!$A$1:$I$89,5,0)</f>
        <v>187.02996000000002</v>
      </c>
      <c r="AK88" s="14">
        <f t="shared" si="89"/>
        <v>46.882718286693581</v>
      </c>
      <c r="AL88" s="22">
        <f t="shared" si="58"/>
        <v>407.39791468265798</v>
      </c>
      <c r="AM88" s="62">
        <f t="shared" si="59"/>
        <v>700.73124801599124</v>
      </c>
      <c r="AN88" s="62">
        <f ca="1">AVERAGE(OFFSET($AM$3,0,0,'Données projet'!$E$10+1,1))-AVERAGE(OFFSET($H$3,0,0,'Données projet'!$E$10+1,1))</f>
        <v>287.83167869616227</v>
      </c>
      <c r="AO88" s="62">
        <f t="shared" si="90"/>
        <v>233.84231920589906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35.07157509680421</v>
      </c>
      <c r="AV88" s="23">
        <f>EXP(-LN(2)/25)*AV87+(1-EXP(-LN(2)/25))/(LN(2)/25)*Calculateur!AQ88*Calculateur!AS88*VLOOKUP('Données projet'!$B$10,Paramètres!$A$1:$I$89,3,0)*0.475*44/12</f>
        <v>15.636178422902411</v>
      </c>
      <c r="AW88" s="23">
        <f>EXP(-LN(2)/2)*AW87+(1-EXP(-LN(2)/2))/(LN(2)/2)*AQ88*AT88*VLOOKUP('Données projet'!$B$10,Paramètres!$A$1:$I$89,3,0)*0.475*44/12</f>
        <v>0.28211345956158973</v>
      </c>
      <c r="AX88" s="23">
        <f t="shared" si="60"/>
        <v>50.989866979268214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-1.7053025658242404E-13</v>
      </c>
      <c r="BE88" s="14">
        <f>BD88*VLOOKUP('Données projet'!$B$11,Paramètres!$A$1:$I$89,3,0)*VLOOKUP('Données projet'!$B$11,Paramètres!$A$1:$I$89,5,0)</f>
        <v>-1.064108801074326E-13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262.36903350767881</v>
      </c>
      <c r="BJ88" s="62">
        <f t="shared" si="92"/>
        <v>331.21009482262417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104.73922858727246</v>
      </c>
      <c r="BQ88" s="23">
        <f>EXP(-LN(2)/25)*BQ87+(1-EXP(-LN(2)/25))/(LN(2)/25)*Calculateur!BL88*Calculateur!BN88*VLOOKUP('Données projet'!$B$11,Paramètres!$A$1:$I$89,3,0)*0.475*44/12</f>
        <v>20.130617103011403</v>
      </c>
      <c r="BR88" s="23">
        <f>EXP(-LN(2)/2)*BR87+(1-EXP(-LN(2)/2))/(LN(2)/2)*BL88*BO88*VLOOKUP('Données projet'!$B$11,Paramètres!$A$1:$I$89,3,0)*0.475*44/12</f>
        <v>3.4388968829067667E-3</v>
      </c>
      <c r="BS88" s="24">
        <f t="shared" si="63"/>
        <v>124.87328458716678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8.2910000000000021</v>
      </c>
      <c r="BY88" s="13">
        <f>IF('Données projet'!$A$114&gt;35,BY87+BX88-CG87,IF(A88&lt;'Données projet'!$A$114,$BV$205^A88,IF(A88='Données projet'!$A$114,'Données projet'!$B$114,BY87+BX88-CG87)))</f>
        <v>272.17100000000028</v>
      </c>
      <c r="BZ88" s="14">
        <f>BY88*VLOOKUP('Données projet'!$B$12,Paramètres!$A$1:$I$89,3,0)*VLOOKUP('Données projet'!$B$12,Paramètres!$A$1:$I$89,5,0)</f>
        <v>263.24379120000026</v>
      </c>
      <c r="CA88" s="14">
        <f t="shared" si="93"/>
        <v>63.413323405741842</v>
      </c>
      <c r="CB88" s="22">
        <f t="shared" si="64"/>
        <v>568.92780793833413</v>
      </c>
      <c r="CC88" s="62">
        <f t="shared" si="65"/>
        <v>862.26114127166738</v>
      </c>
      <c r="CD88" s="62">
        <f ca="1">AVERAGE(OFFSET($CC$3,0,0,'Données projet'!$E$12+1,1))-AVERAGE(OFFSET($H$3,0,0,'Données projet'!$E$12+1,1))</f>
        <v>618.83149423524605</v>
      </c>
      <c r="CE88" s="62">
        <f t="shared" si="94"/>
        <v>285.33582535802435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28.570562117096912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28.570562117096912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349.5718186624772</v>
      </c>
      <c r="CZ88" s="62">
        <f t="shared" si="96"/>
        <v>258.14152930815959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182.83676326948571</v>
      </c>
      <c r="DG88" s="23">
        <f>EXP(-LN(2)/25)*DG87+(1-EXP(-LN(2)/25))/(LN(2)/25)*Calculateur!DB88*Calculateur!DD88*VLOOKUP('Données projet'!$B$13,Paramètres!$A$1:$I$89,3,0)*0.475*44/12</f>
        <v>27.467751718283303</v>
      </c>
      <c r="DH88" s="23">
        <f>EXP(-LN(2)/2)*DH87+(1-EXP(-LN(2)/2))/(LN(2)/2)*DB88*DE88*VLOOKUP('Données projet'!$B$13,Paramètres!$A$1:$I$89,3,0)*0.475*44/12</f>
        <v>5.6251627585337625</v>
      </c>
      <c r="DI88" s="24">
        <f t="shared" si="69"/>
        <v>215.92967774630279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211</v>
      </c>
      <c r="DM88" s="13">
        <f>VLOOKUP(A88,'Données projet'!$A$165:$I$185,9,0)</f>
        <v>2.8</v>
      </c>
      <c r="DN88" s="13">
        <f t="array" ref="DN88">INDEX(DM:DM,MIN(IF(ISNUMBER(DM88:DM284),ROW(DM88:DM284),"")))</f>
        <v>2.8</v>
      </c>
      <c r="DO88" s="13">
        <f>IF('Données projet'!$A$166&gt;35,DO87+DN88-DW87,IF(A88&lt;'Données projet'!$A$166,$DL$205^A88,IF(A88='Données projet'!$A$166,'Données projet'!$B$166,DO87+DN88-DW87)))</f>
        <v>210.99999999999997</v>
      </c>
      <c r="DP88" s="18">
        <f>DO88*VLOOKUP('Données projet'!$B$14,Paramètres!$A$1:$I$89,3,0)*VLOOKUP('Données projet'!$B$14,Paramètres!$A$1:$I$89,5,0)</f>
        <v>184.3296</v>
      </c>
      <c r="DQ88" s="14">
        <f t="shared" si="97"/>
        <v>46.284105851003062</v>
      </c>
      <c r="DR88" s="22">
        <f t="shared" si="70"/>
        <v>401.65220435716361</v>
      </c>
      <c r="DS88" s="62">
        <f t="shared" si="71"/>
        <v>694.98553769049693</v>
      </c>
      <c r="DT88" s="62">
        <f ca="1">AVERAGE(OFFSET($DS$3,0,0,'Données projet'!$E$14+1,1))-AVERAGE(OFFSET($H$3,0,0,'Données projet'!$E$14+1,1))</f>
        <v>300.63505444445104</v>
      </c>
      <c r="DU88" s="62">
        <f t="shared" si="98"/>
        <v>266.32508105927997</v>
      </c>
      <c r="DV88" s="16">
        <f>IF(ISNA(VLOOKUP(A88,'Données projet'!$A$165:$I$185,3,0)),0,VLOOKUP(A88,'Données projet'!$A$165:$I$185,3,0))</f>
        <v>16</v>
      </c>
      <c r="DW88" s="16">
        <f>IF(ISNA(VLOOKUP(A88,'Données projet'!$A$165:$I$185,4,0)),0,VLOOKUP(A88,'Données projet'!$A$165:$I$185,4,0))</f>
        <v>10</v>
      </c>
      <c r="DX88" s="17">
        <f>IF(ISNA(VLOOKUP(A88,'Données projet'!$A$165:$I$185,5,0)),0%,VLOOKUP(A88,'Données projet'!$A$165:$I$185,5,0)*VLOOKUP('Données projet'!$B$14,Paramètres!$A$1:$I$89,7,0))</f>
        <v>0.30099999999999999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21.292006270824842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21.292006270824842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353.37024194969638</v>
      </c>
      <c r="EP88" s="62">
        <f t="shared" si="100"/>
        <v>345.4750813433123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140.62724038397369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140.62724038397369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247</v>
      </c>
      <c r="FC88" s="13">
        <f>VLOOKUP(A88,'Données projet'!$A$217:$I$237,9,0)</f>
        <v>3.8</v>
      </c>
      <c r="FD88" s="13">
        <f t="array" ref="FD88">INDEX(FC:FC,MIN(IF(ISNUMBER(FC88:FC284),ROW(FC88:FC284),"")))</f>
        <v>3.8</v>
      </c>
      <c r="FE88" s="13">
        <f>IF('Données projet'!$A$218&gt;35,FE87+FD88-FM87,IF(A88&lt;'Données projet'!$A$218,$FB$205^A88,IF(A88='Données projet'!$A$218,'Données projet'!$B$218,FE87+FD88-FM87)))</f>
        <v>247.00000000000011</v>
      </c>
      <c r="FF88" s="18">
        <f>FE88*VLOOKUP('Données projet'!$B$16,Paramètres!$A$1:$I$89,3,0)*VLOOKUP('Données projet'!$B$16,Paramètres!$A$1:$I$89,5,0)</f>
        <v>161.83440000000007</v>
      </c>
      <c r="FG88" s="14">
        <f t="shared" si="101"/>
        <v>41.255994535170515</v>
      </c>
      <c r="FH88" s="22">
        <f t="shared" si="76"/>
        <v>353.71577048208877</v>
      </c>
      <c r="FI88" s="62">
        <f t="shared" si="77"/>
        <v>647.04910381542209</v>
      </c>
      <c r="FJ88" s="62">
        <f ca="1">AVERAGE(OFFSET($FI$3,0,0,'Données projet'!$E$16+1,1))-AVERAGE(OFFSET($H$3,0,0,'Données projet'!$E$16+1,1))</f>
        <v>263.30962868541337</v>
      </c>
      <c r="FK88" s="62">
        <f t="shared" si="102"/>
        <v>269.61868559913404</v>
      </c>
      <c r="FL88" s="16">
        <f>IF(ISNA(VLOOKUP(A88,'Données projet'!$A$217:$I$237,3,0)),0,VLOOKUP(A88,'Données projet'!$A$217:$I$237,3,0))</f>
        <v>16</v>
      </c>
      <c r="FM88" s="16">
        <f>IF(ISNA(VLOOKUP(A88,'Données projet'!$A$217:$I$237,4,0)),0,VLOOKUP(A88,'Données projet'!$A$217:$I$237,4,0))</f>
        <v>15</v>
      </c>
      <c r="FN88" s="17">
        <f>IF(ISNA(VLOOKUP(A88,'Données projet'!$A$217:$I$237,5,0)),0%,VLOOKUP(A88,'Données projet'!$A$217:$I$237,5,0)*VLOOKUP('Données projet'!$B$16,Paramètres!$A$1:$I$89,7,0))</f>
        <v>0.30099999999999999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22.164328353199977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22.164328353199977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6.2826666666666631</v>
      </c>
      <c r="N89" s="14">
        <f>IF('Données projet'!$A$36&gt;35,N88+M89-V88,IF(A89&lt;'Données projet'!$A$36,$K$205^A89,IF(A89='Données projet'!$A$36,'Données projet'!$B$36,N88+M89-V88)))</f>
        <v>266.75933333333336</v>
      </c>
      <c r="O89" s="14">
        <f>N89*VLOOKUP('Données projet'!$B$9,Paramètres!$A$1:$I$89,3,0)*VLOOKUP('Données projet'!$B$9,Paramètres!$A$1:$I$89,5,0)</f>
        <v>159.52208133333335</v>
      </c>
      <c r="P89" s="14">
        <f t="shared" si="87"/>
        <v>40.734700756984076</v>
      </c>
      <c r="Q89" s="22">
        <f t="shared" si="54"/>
        <v>348.78056214063616</v>
      </c>
      <c r="R89" s="62">
        <f t="shared" si="55"/>
        <v>642.11389547396948</v>
      </c>
      <c r="S89" s="62">
        <f ca="1">AVERAGE(OFFSET($R$3,0,0,'Données projet'!$E$9+1,1))-AVERAGE(OFFSET($H$3,0,0,'Données projet'!$E$9+1,1))</f>
        <v>262.06511368698341</v>
      </c>
      <c r="T89" s="62">
        <f t="shared" si="88"/>
        <v>217.15709240080542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28.953019953798883</v>
      </c>
      <c r="AA89" s="23">
        <f>EXP(-LN(2)/25)*AA88+(1-EXP(-LN(2)/25))/(LN(2)/25)*Calculateur!V89*Calculateur!X89*VLOOKUP('Données projet'!$B$9,Paramètres!$A$1:$I$89,3,0)*0.475*44/12</f>
        <v>8.9423591290463076</v>
      </c>
      <c r="AB89" s="23">
        <f>EXP(-LN(2)/2)*AB88+(1-EXP(-LN(2)/2))/(LN(2)/2)*V89*Y89*VLOOKUP('Données projet'!$B$9,Paramètres!$A$1:$I$89,3,0)*0.475*44/12</f>
        <v>0.14708496024407519</v>
      </c>
      <c r="AC89" s="24">
        <f t="shared" si="57"/>
        <v>38.042464043089261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10.26166666666667</v>
      </c>
      <c r="AI89" s="14">
        <f>IF('Données projet'!$A$62&gt;35,AI88+AH89-AQ88,IF(A89&lt;'Données projet'!$A$62,$AF$205^A89,IF(A89='Données projet'!$A$62,'Données projet'!$B$62,AI88+AH89-AQ88)))</f>
        <v>409.89833333333337</v>
      </c>
      <c r="AJ89" s="14">
        <f>AI89*VLOOKUP('Données projet'!$B$10,Paramètres!$A$1:$I$89,3,0)*VLOOKUP('Données projet'!$B$10,Paramètres!$A$1:$I$89,5,0)</f>
        <v>191.83242000000001</v>
      </c>
      <c r="AK89" s="14">
        <f t="shared" si="89"/>
        <v>47.944848313438996</v>
      </c>
      <c r="AL89" s="22">
        <f t="shared" si="58"/>
        <v>417.61207564590626</v>
      </c>
      <c r="AM89" s="62">
        <f t="shared" si="59"/>
        <v>710.94540897923957</v>
      </c>
      <c r="AN89" s="62">
        <f ca="1">AVERAGE(OFFSET($AM$3,0,0,'Données projet'!$E$10+1,1))-AVERAGE(OFFSET($H$3,0,0,'Données projet'!$E$10+1,1))</f>
        <v>287.83167869616227</v>
      </c>
      <c r="AO89" s="62">
        <f t="shared" si="90"/>
        <v>233.84231920589906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34.383842900704451</v>
      </c>
      <c r="AV89" s="23">
        <f>EXP(-LN(2)/25)*AV88+(1-EXP(-LN(2)/25))/(LN(2)/25)*Calculateur!AQ89*Calculateur!AS89*VLOOKUP('Données projet'!$B$10,Paramètres!$A$1:$I$89,3,0)*0.475*44/12</f>
        <v>15.208606301657259</v>
      </c>
      <c r="AW89" s="23">
        <f>EXP(-LN(2)/2)*AW88+(1-EXP(-LN(2)/2))/(LN(2)/2)*AQ89*AT89*VLOOKUP('Données projet'!$B$10,Paramètres!$A$1:$I$89,3,0)*0.475*44/12</f>
        <v>0.19948434031999696</v>
      </c>
      <c r="AX89" s="23">
        <f t="shared" si="60"/>
        <v>49.791933542681704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-1.7053025658242404E-13</v>
      </c>
      <c r="BE89" s="14">
        <f>BD89*VLOOKUP('Données projet'!$B$11,Paramètres!$A$1:$I$89,3,0)*VLOOKUP('Données projet'!$B$11,Paramètres!$A$1:$I$89,5,0)</f>
        <v>-1.064108801074326E-13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262.36903350767881</v>
      </c>
      <c r="BJ89" s="62">
        <f t="shared" si="92"/>
        <v>331.21009482262417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102.6853561992974</v>
      </c>
      <c r="BQ89" s="23">
        <f>EXP(-LN(2)/25)*BQ88+(1-EXP(-LN(2)/25))/(LN(2)/25)*Calculateur!BL89*Calculateur!BN89*VLOOKUP('Données projet'!$B$11,Paramètres!$A$1:$I$89,3,0)*0.475*44/12</f>
        <v>19.580144319706413</v>
      </c>
      <c r="BR89" s="23">
        <f>EXP(-LN(2)/2)*BR88+(1-EXP(-LN(2)/2))/(LN(2)/2)*BL89*BO89*VLOOKUP('Données projet'!$B$11,Paramètres!$A$1:$I$89,3,0)*0.475*44/12</f>
        <v>2.4316673057046554E-3</v>
      </c>
      <c r="BS89" s="24">
        <f t="shared" si="63"/>
        <v>122.26793218630951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8.2910000000000021</v>
      </c>
      <c r="BY89" s="13">
        <f>IF('Données projet'!$A$114&gt;35,BY88+BX89-CG88,IF(A89&lt;'Données projet'!$A$114,$BV$205^A89,IF(A89='Données projet'!$A$114,'Données projet'!$B$114,BY88+BX89-CG88)))</f>
        <v>280.46200000000027</v>
      </c>
      <c r="BZ89" s="14">
        <f>BY89*VLOOKUP('Données projet'!$B$12,Paramètres!$A$1:$I$89,3,0)*VLOOKUP('Données projet'!$B$12,Paramètres!$A$1:$I$89,5,0)</f>
        <v>271.26284640000029</v>
      </c>
      <c r="CA89" s="14">
        <f t="shared" si="93"/>
        <v>65.117204337314064</v>
      </c>
      <c r="CB89" s="22">
        <f t="shared" si="64"/>
        <v>585.86192170082245</v>
      </c>
      <c r="CC89" s="62">
        <f t="shared" si="65"/>
        <v>879.19525503415571</v>
      </c>
      <c r="CD89" s="62">
        <f ca="1">AVERAGE(OFFSET($CC$3,0,0,'Données projet'!$E$12+1,1))-AVERAGE(OFFSET($H$3,0,0,'Données projet'!$E$12+1,1))</f>
        <v>618.83149423524605</v>
      </c>
      <c r="CE89" s="62">
        <f t="shared" si="94"/>
        <v>285.33582535802435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28.010310820302827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28.010310820302827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349.5718186624772</v>
      </c>
      <c r="CZ89" s="62">
        <f t="shared" si="96"/>
        <v>258.14152930815959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179.25144586118506</v>
      </c>
      <c r="DG89" s="23">
        <f>EXP(-LN(2)/25)*DG88+(1-EXP(-LN(2)/25))/(LN(2)/25)*Calculateur!DB89*Calculateur!DD89*VLOOKUP('Données projet'!$B$13,Paramètres!$A$1:$I$89,3,0)*0.475*44/12</f>
        <v>26.71664460308056</v>
      </c>
      <c r="DH89" s="23">
        <f>EXP(-LN(2)/2)*DH88+(1-EXP(-LN(2)/2))/(LN(2)/2)*DB89*DE89*VLOOKUP('Données projet'!$B$13,Paramètres!$A$1:$I$89,3,0)*0.475*44/12</f>
        <v>3.9775907318372496</v>
      </c>
      <c r="DI89" s="24">
        <f t="shared" si="69"/>
        <v>209.94568119610287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2.8</v>
      </c>
      <c r="DO89" s="13">
        <f>IF('Données projet'!$A$166&gt;35,DO88+DN89-DW88,IF(A89&lt;'Données projet'!$A$166,$DL$205^A89,IF(A89='Données projet'!$A$166,'Données projet'!$B$166,DO88+DN89-DW88)))</f>
        <v>203.79999999999998</v>
      </c>
      <c r="DP89" s="18">
        <f>DO89*VLOOKUP('Données projet'!$B$14,Paramètres!$A$1:$I$89,3,0)*VLOOKUP('Données projet'!$B$14,Paramètres!$A$1:$I$89,5,0)</f>
        <v>178.03968</v>
      </c>
      <c r="DQ89" s="14">
        <f t="shared" si="97"/>
        <v>44.885773518007284</v>
      </c>
      <c r="DR89" s="22">
        <f t="shared" si="70"/>
        <v>388.26183154386268</v>
      </c>
      <c r="DS89" s="62">
        <f t="shared" si="71"/>
        <v>681.595164877196</v>
      </c>
      <c r="DT89" s="62">
        <f ca="1">AVERAGE(OFFSET($DS$3,0,0,'Données projet'!$E$14+1,1))-AVERAGE(OFFSET($H$3,0,0,'Données projet'!$E$14+1,1))</f>
        <v>300.63505444445104</v>
      </c>
      <c r="DU89" s="62">
        <f t="shared" si="98"/>
        <v>266.32508105927997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20.87448301469545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20.87448301469545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353.37024194969638</v>
      </c>
      <c r="EP89" s="62">
        <f t="shared" si="100"/>
        <v>345.4750813433123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137.86962597419111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137.86962597419111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3.6</v>
      </c>
      <c r="FE89" s="13">
        <f>IF('Données projet'!$A$218&gt;35,FE88+FD89-FM88,IF(A89&lt;'Données projet'!$A$218,$FB$205^A89,IF(A89='Données projet'!$A$218,'Données projet'!$B$218,FE88+FD89-FM88)))</f>
        <v>235.60000000000011</v>
      </c>
      <c r="FF89" s="18">
        <f>FE89*VLOOKUP('Données projet'!$B$16,Paramètres!$A$1:$I$89,3,0)*VLOOKUP('Données projet'!$B$16,Paramètres!$A$1:$I$89,5,0)</f>
        <v>154.36512000000008</v>
      </c>
      <c r="FG89" s="14">
        <f t="shared" si="101"/>
        <v>39.568912624848309</v>
      </c>
      <c r="FH89" s="22">
        <f t="shared" si="76"/>
        <v>337.76844015494424</v>
      </c>
      <c r="FI89" s="62">
        <f t="shared" si="77"/>
        <v>631.10177348827756</v>
      </c>
      <c r="FJ89" s="62">
        <f ca="1">AVERAGE(OFFSET($FI$3,0,0,'Données projet'!$E$16+1,1))-AVERAGE(OFFSET($H$3,0,0,'Données projet'!$E$16+1,1))</f>
        <v>263.30962868541337</v>
      </c>
      <c r="FK89" s="62">
        <f t="shared" si="102"/>
        <v>269.61868559913404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21.729699393099139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21.729699393099139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6.2826666666666631</v>
      </c>
      <c r="N90" s="14">
        <f>IF('Données projet'!$A$36&gt;35,N89+M90-V89,IF(A90&lt;'Données projet'!$A$36,$K$205^A90,IF(A90='Données projet'!$A$36,'Données projet'!$B$36,N89+M90-V89)))</f>
        <v>273.04200000000003</v>
      </c>
      <c r="O90" s="14">
        <f>N90*VLOOKUP('Données projet'!$B$9,Paramètres!$A$1:$I$89,3,0)*VLOOKUP('Données projet'!$B$9,Paramètres!$A$1:$I$89,5,0)</f>
        <v>163.27911600000004</v>
      </c>
      <c r="P90" s="14">
        <f t="shared" si="87"/>
        <v>41.581253634423376</v>
      </c>
      <c r="Q90" s="22">
        <f t="shared" si="54"/>
        <v>356.79847711328745</v>
      </c>
      <c r="R90" s="62">
        <f t="shared" si="55"/>
        <v>650.13181044662076</v>
      </c>
      <c r="S90" s="62">
        <f ca="1">AVERAGE(OFFSET($R$3,0,0,'Données projet'!$E$9+1,1))-AVERAGE(OFFSET($H$3,0,0,'Données projet'!$E$9+1,1))</f>
        <v>262.06511368698341</v>
      </c>
      <c r="T90" s="62">
        <f t="shared" si="88"/>
        <v>217.15709240080542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28.385268892103319</v>
      </c>
      <c r="AA90" s="23">
        <f>EXP(-LN(2)/25)*AA89+(1-EXP(-LN(2)/25))/(LN(2)/25)*Calculateur!V90*Calculateur!X90*VLOOKUP('Données projet'!$B$9,Paramètres!$A$1:$I$89,3,0)*0.475*44/12</f>
        <v>8.6978298484043073</v>
      </c>
      <c r="AB90" s="23">
        <f>EXP(-LN(2)/2)*AB89+(1-EXP(-LN(2)/2))/(LN(2)/2)*V90*Y90*VLOOKUP('Données projet'!$B$9,Paramètres!$A$1:$I$89,3,0)*0.475*44/12</f>
        <v>0.10400477279913932</v>
      </c>
      <c r="AC90" s="24">
        <f t="shared" si="57"/>
        <v>37.187103513306759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420.16</v>
      </c>
      <c r="AG90" s="13">
        <f>VLOOKUP(A90,'Données projet'!$A$61:$I$81,9,0)</f>
        <v>10.26166666666667</v>
      </c>
      <c r="AH90" s="13">
        <f t="array" ref="AH90">INDEX(AG:AG,MIN(IF(ISNUMBER(AG90:AG286),ROW(AG90:AG286),"")))</f>
        <v>10.26166666666667</v>
      </c>
      <c r="AI90" s="14">
        <f>IF('Données projet'!$A$62&gt;35,AI89+AH90-AQ89,IF(A90&lt;'Données projet'!$A$62,$AF$205^A90,IF(A90='Données projet'!$A$62,'Données projet'!$B$62,AI89+AH90-AQ89)))</f>
        <v>420.16</v>
      </c>
      <c r="AJ90" s="14">
        <f>AI90*VLOOKUP('Données projet'!$B$10,Paramètres!$A$1:$I$89,3,0)*VLOOKUP('Données projet'!$B$10,Paramètres!$A$1:$I$89,5,0)</f>
        <v>196.63488000000001</v>
      </c>
      <c r="AK90" s="14">
        <f t="shared" si="89"/>
        <v>49.003887420349095</v>
      </c>
      <c r="AL90" s="22">
        <f t="shared" si="58"/>
        <v>427.82085325710796</v>
      </c>
      <c r="AM90" s="62">
        <f t="shared" si="59"/>
        <v>721.15418659044121</v>
      </c>
      <c r="AN90" s="62">
        <f ca="1">AVERAGE(OFFSET($AM$3,0,0,'Données projet'!$E$10+1,1))-AVERAGE(OFFSET($H$3,0,0,'Données projet'!$E$10+1,1))</f>
        <v>287.83167869616227</v>
      </c>
      <c r="AO90" s="62">
        <f t="shared" si="90"/>
        <v>233.84231920589906</v>
      </c>
      <c r="AP90" s="16">
        <f>IF(ISNA(VLOOKUP(A90,'Données projet'!$A$61:$I$81,3,0)),0,VLOOKUP(A90,'Données projet'!$A$61:$I$81,3,0))</f>
        <v>4</v>
      </c>
      <c r="AQ90" s="16">
        <f>IF(ISNA(VLOOKUP(A90,'Données projet'!$A$61:$I$81,4,0)),0,VLOOKUP(A90,'Données projet'!$A$61:$I$81,4,0))</f>
        <v>91.18</v>
      </c>
      <c r="AR90" s="17">
        <f>IF(ISNA(VLOOKUP(A90,'Données projet'!$A$61:$I$81,5,0)),0%,VLOOKUP(A90,'Données projet'!$A$61:$I$81,5,0)*VLOOKUP('Données projet'!$B$10,Paramètres!$A$1:$I$89,7,0))</f>
        <v>0.38500000000000001</v>
      </c>
      <c r="AS90" s="17">
        <f>IF(ISNA(VLOOKUP(A90,'Données projet'!$A$61:$I$81,6,0)),0%,VLOOKUP(A90,'Données projet'!$A$61:$I$81,6,0)*VLOOKUP('Données projet'!$B$10,Paramètres!$A$1:$I$89,7,0))</f>
        <v>9.3500000000000014E-2</v>
      </c>
      <c r="AT90" s="17">
        <f>IF(ISNA(VLOOKUP(A90,'Données projet'!$A$61:$I$81,7,0)),0%,VLOOKUP(A90,'Données projet'!$A$61:$I$81,7,0))</f>
        <v>0.13</v>
      </c>
      <c r="AU90" s="23">
        <f>EXP(-LN(2)/35)*AU89+(1-EXP(-LN(2)/35))/(LN(2)/35)*AQ90*AR90*VLOOKUP('Données projet'!$B$10,Paramètres!$A$1:$I$89,3,0)*0.475*44/12</f>
        <v>55.503475288419352</v>
      </c>
      <c r="AV90" s="23">
        <f>EXP(-LN(2)/25)*AV89+(1-EXP(-LN(2)/25))/(LN(2)/25)*Calculateur!AQ90*Calculateur!AS90*VLOOKUP('Données projet'!$B$10,Paramètres!$A$1:$I$89,3,0)*0.475*44/12</f>
        <v>20.064685478331938</v>
      </c>
      <c r="AW90" s="23">
        <f>EXP(-LN(2)/2)*AW89+(1-EXP(-LN(2)/2))/(LN(2)/2)*AQ90*AT90*VLOOKUP('Données projet'!$B$10,Paramètres!$A$1:$I$89,3,0)*0.475*44/12</f>
        <v>6.4219922134348923</v>
      </c>
      <c r="AX90" s="23">
        <f t="shared" si="60"/>
        <v>81.990152980186181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-1.7053025658242404E-13</v>
      </c>
      <c r="BE90" s="14">
        <f>BD90*VLOOKUP('Données projet'!$B$11,Paramètres!$A$1:$I$89,3,0)*VLOOKUP('Données projet'!$B$11,Paramètres!$A$1:$I$89,5,0)</f>
        <v>-1.064108801074326E-13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262.36903350767881</v>
      </c>
      <c r="BJ90" s="62">
        <f t="shared" si="92"/>
        <v>331.21009482262417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100.67175899611208</v>
      </c>
      <c r="BQ90" s="23">
        <f>EXP(-LN(2)/25)*BQ89+(1-EXP(-LN(2)/25))/(LN(2)/25)*Calculateur!BL90*Calculateur!BN90*VLOOKUP('Données projet'!$B$11,Paramètres!$A$1:$I$89,3,0)*0.475*44/12</f>
        <v>19.044724243609004</v>
      </c>
      <c r="BR90" s="23">
        <f>EXP(-LN(2)/2)*BR89+(1-EXP(-LN(2)/2))/(LN(2)/2)*BL90*BO90*VLOOKUP('Données projet'!$B$11,Paramètres!$A$1:$I$89,3,0)*0.475*44/12</f>
        <v>1.7194484414533833E-3</v>
      </c>
      <c r="BS90" s="24">
        <f t="shared" si="63"/>
        <v>119.71820268816252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8.2910000000000021</v>
      </c>
      <c r="BY90" s="13">
        <f>IF('Données projet'!$A$114&gt;35,BY89+BX90-CG89,IF(A90&lt;'Données projet'!$A$114,$BV$205^A90,IF(A90='Données projet'!$A$114,'Données projet'!$B$114,BY89+BX90-CG89)))</f>
        <v>288.75300000000027</v>
      </c>
      <c r="BZ90" s="14">
        <f>BY90*VLOOKUP('Données projet'!$B$12,Paramètres!$A$1:$I$89,3,0)*VLOOKUP('Données projet'!$B$12,Paramètres!$A$1:$I$89,5,0)</f>
        <v>279.28190160000025</v>
      </c>
      <c r="CA90" s="14">
        <f t="shared" si="93"/>
        <v>66.815231373442643</v>
      </c>
      <c r="CB90" s="22">
        <f t="shared" si="64"/>
        <v>602.78583992874633</v>
      </c>
      <c r="CC90" s="62">
        <f t="shared" si="65"/>
        <v>896.11917326207958</v>
      </c>
      <c r="CD90" s="62">
        <f ca="1">AVERAGE(OFFSET($CC$3,0,0,'Données projet'!$E$12+1,1))-AVERAGE(OFFSET($H$3,0,0,'Données projet'!$E$12+1,1))</f>
        <v>618.83149423524605</v>
      </c>
      <c r="CE90" s="62">
        <f t="shared" si="94"/>
        <v>285.33582535802435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27.461045709719325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27.461045709719325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349.5718186624772</v>
      </c>
      <c r="CZ90" s="62">
        <f t="shared" si="96"/>
        <v>258.14152930815959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175.7364343404335</v>
      </c>
      <c r="DG90" s="23">
        <f>EXP(-LN(2)/25)*DG89+(1-EXP(-LN(2)/25))/(LN(2)/25)*Calculateur!DB90*Calculateur!DD90*VLOOKUP('Données projet'!$B$13,Paramètres!$A$1:$I$89,3,0)*0.475*44/12</f>
        <v>25.986076551442043</v>
      </c>
      <c r="DH90" s="23">
        <f>EXP(-LN(2)/2)*DH89+(1-EXP(-LN(2)/2))/(LN(2)/2)*DB90*DE90*VLOOKUP('Données projet'!$B$13,Paramètres!$A$1:$I$89,3,0)*0.475*44/12</f>
        <v>2.8125813792668817</v>
      </c>
      <c r="DI90" s="24">
        <f t="shared" si="69"/>
        <v>204.53509227114242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2.8</v>
      </c>
      <c r="DO90" s="13">
        <f>IF('Données projet'!$A$166&gt;35,DO89+DN90-DW89,IF(A90&lt;'Données projet'!$A$166,$DL$205^A90,IF(A90='Données projet'!$A$166,'Données projet'!$B$166,DO89+DN90-DW89)))</f>
        <v>206.6</v>
      </c>
      <c r="DP90" s="18">
        <f>DO90*VLOOKUP('Données projet'!$B$14,Paramètres!$A$1:$I$89,3,0)*VLOOKUP('Données projet'!$B$14,Paramètres!$A$1:$I$89,5,0)</f>
        <v>180.48576000000003</v>
      </c>
      <c r="DQ90" s="14">
        <f t="shared" si="97"/>
        <v>45.430241859839441</v>
      </c>
      <c r="DR90" s="22">
        <f t="shared" si="70"/>
        <v>393.47036990588708</v>
      </c>
      <c r="DS90" s="62">
        <f t="shared" si="71"/>
        <v>686.80370323922034</v>
      </c>
      <c r="DT90" s="62">
        <f ca="1">AVERAGE(OFFSET($DS$3,0,0,'Données projet'!$E$14+1,1))-AVERAGE(OFFSET($H$3,0,0,'Données projet'!$E$14+1,1))</f>
        <v>300.63505444445104</v>
      </c>
      <c r="DU90" s="62">
        <f t="shared" si="98"/>
        <v>266.32508105927997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20.465147134954712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20.465147134954712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353.37024194969638</v>
      </c>
      <c r="EP90" s="62">
        <f t="shared" si="100"/>
        <v>345.4750813433123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135.16608670100567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135.16608670100567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3.6</v>
      </c>
      <c r="FE90" s="13">
        <f>IF('Données projet'!$A$218&gt;35,FE89+FD90-FM89,IF(A90&lt;'Données projet'!$A$218,$FB$205^A90,IF(A90='Données projet'!$A$218,'Données projet'!$B$218,FE89+FD90-FM89)))</f>
        <v>239.2000000000001</v>
      </c>
      <c r="FF90" s="18">
        <f>FE90*VLOOKUP('Données projet'!$B$16,Paramètres!$A$1:$I$89,3,0)*VLOOKUP('Données projet'!$B$16,Paramètres!$A$1:$I$89,5,0)</f>
        <v>156.72384000000008</v>
      </c>
      <c r="FG90" s="14">
        <f t="shared" si="101"/>
        <v>40.102680984620484</v>
      </c>
      <c r="FH90" s="22">
        <f t="shared" si="76"/>
        <v>342.80619071488081</v>
      </c>
      <c r="FI90" s="62">
        <f t="shared" si="77"/>
        <v>636.13952404821407</v>
      </c>
      <c r="FJ90" s="62">
        <f ca="1">AVERAGE(OFFSET($FI$3,0,0,'Données projet'!$E$16+1,1))-AVERAGE(OFFSET($H$3,0,0,'Données projet'!$E$16+1,1))</f>
        <v>263.30962868541337</v>
      </c>
      <c r="FK90" s="62">
        <f t="shared" si="102"/>
        <v>269.61868559913404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21.30359324180839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21.30359324180839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6.2826666666666631</v>
      </c>
      <c r="N91" s="14">
        <f>IF('Données projet'!$A$36&gt;35,N90+M91-V90,IF(A91&lt;'Données projet'!$A$36,$K$205^A91,IF(A91='Données projet'!$A$36,'Données projet'!$B$36,N90+M91-V90)))</f>
        <v>279.3246666666667</v>
      </c>
      <c r="O91" s="14">
        <f>N91*VLOOKUP('Données projet'!$B$9,Paramètres!$A$1:$I$89,3,0)*VLOOKUP('Données projet'!$B$9,Paramètres!$A$1:$I$89,5,0)</f>
        <v>167.03615066666669</v>
      </c>
      <c r="P91" s="14">
        <f t="shared" si="87"/>
        <v>42.425541968338628</v>
      </c>
      <c r="Q91" s="22">
        <f t="shared" si="54"/>
        <v>364.81244800596755</v>
      </c>
      <c r="R91" s="62">
        <f t="shared" si="55"/>
        <v>658.14578133930081</v>
      </c>
      <c r="S91" s="62">
        <f ca="1">AVERAGE(OFFSET($R$3,0,0,'Données projet'!$E$9+1,1))-AVERAGE(OFFSET($H$3,0,0,'Données projet'!$E$9+1,1))</f>
        <v>262.06511368698341</v>
      </c>
      <c r="T91" s="62">
        <f t="shared" si="88"/>
        <v>217.15709240080542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27.828651082433652</v>
      </c>
      <c r="AA91" s="23">
        <f>EXP(-LN(2)/25)*AA90+(1-EXP(-LN(2)/25))/(LN(2)/25)*Calculateur!V91*Calculateur!X91*VLOOKUP('Données projet'!$B$9,Paramètres!$A$1:$I$89,3,0)*0.475*44/12</f>
        <v>8.4599872338006996</v>
      </c>
      <c r="AB91" s="23">
        <f>EXP(-LN(2)/2)*AB90+(1-EXP(-LN(2)/2))/(LN(2)/2)*V91*Y91*VLOOKUP('Données projet'!$B$9,Paramètres!$A$1:$I$89,3,0)*0.475*44/12</f>
        <v>7.3542480122037596E-2</v>
      </c>
      <c r="AC91" s="24">
        <f t="shared" si="57"/>
        <v>36.362180796356391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9.2716666666666665</v>
      </c>
      <c r="AI91" s="14">
        <f>IF('Données projet'!$A$62&gt;35,AI90+AH91-AQ90,IF(A91&lt;'Données projet'!$A$62,$AF$205^A91,IF(A91='Données projet'!$A$62,'Données projet'!$B$62,AI90+AH91-AQ90)))</f>
        <v>338.25166666666667</v>
      </c>
      <c r="AJ91" s="14">
        <f>AI91*VLOOKUP('Données projet'!$B$10,Paramètres!$A$1:$I$89,3,0)*VLOOKUP('Données projet'!$B$10,Paramètres!$A$1:$I$89,5,0)</f>
        <v>158.30178000000001</v>
      </c>
      <c r="AK91" s="14">
        <f t="shared" si="89"/>
        <v>40.45923959226743</v>
      </c>
      <c r="AL91" s="22">
        <f t="shared" si="58"/>
        <v>346.17544245653244</v>
      </c>
      <c r="AM91" s="62">
        <f t="shared" si="59"/>
        <v>639.50877578986569</v>
      </c>
      <c r="AN91" s="62">
        <f ca="1">AVERAGE(OFFSET($AM$3,0,0,'Données projet'!$E$10+1,1))-AVERAGE(OFFSET($H$3,0,0,'Données projet'!$E$10+1,1))</f>
        <v>287.83167869616227</v>
      </c>
      <c r="AO91" s="62">
        <f t="shared" si="90"/>
        <v>233.84231920589906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54.41508599179059</v>
      </c>
      <c r="AV91" s="23">
        <f>EXP(-LN(2)/25)*AV90+(1-EXP(-LN(2)/25))/(LN(2)/25)*Calculateur!AQ91*Calculateur!AS91*VLOOKUP('Données projet'!$B$10,Paramètres!$A$1:$I$89,3,0)*0.475*44/12</f>
        <v>19.516015598771002</v>
      </c>
      <c r="AW91" s="23">
        <f>EXP(-LN(2)/2)*AW90+(1-EXP(-LN(2)/2))/(LN(2)/2)*AQ91*AT91*VLOOKUP('Données projet'!$B$10,Paramètres!$A$1:$I$89,3,0)*0.475*44/12</f>
        <v>4.5410342428470187</v>
      </c>
      <c r="AX91" s="23">
        <f t="shared" si="60"/>
        <v>78.472135833408615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-1.7053025658242404E-13</v>
      </c>
      <c r="BE91" s="14">
        <f>BD91*VLOOKUP('Données projet'!$B$11,Paramètres!$A$1:$I$89,3,0)*VLOOKUP('Données projet'!$B$11,Paramètres!$A$1:$I$89,5,0)</f>
        <v>-1.064108801074326E-13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262.36903350767881</v>
      </c>
      <c r="BJ91" s="62">
        <f t="shared" si="92"/>
        <v>331.21009482262417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98.697647205908197</v>
      </c>
      <c r="BQ91" s="23">
        <f>EXP(-LN(2)/25)*BQ90+(1-EXP(-LN(2)/25))/(LN(2)/25)*Calculateur!BL91*Calculateur!BN91*VLOOKUP('Données projet'!$B$11,Paramètres!$A$1:$I$89,3,0)*0.475*44/12</f>
        <v>18.523945257648993</v>
      </c>
      <c r="BR91" s="23">
        <f>EXP(-LN(2)/2)*BR90+(1-EXP(-LN(2)/2))/(LN(2)/2)*BL91*BO91*VLOOKUP('Données projet'!$B$11,Paramètres!$A$1:$I$89,3,0)*0.475*44/12</f>
        <v>1.2158336528523277E-3</v>
      </c>
      <c r="BS91" s="24">
        <f t="shared" si="63"/>
        <v>117.22280829721004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8.2910000000000021</v>
      </c>
      <c r="BY91" s="13">
        <f>IF('Données projet'!$A$114&gt;35,BY90+BX91-CG90,IF(A91&lt;'Données projet'!$A$114,$BV$205^A91,IF(A91='Données projet'!$A$114,'Données projet'!$B$114,BY90+BX91-CG90)))</f>
        <v>297.04400000000027</v>
      </c>
      <c r="BZ91" s="14">
        <f>BY91*VLOOKUP('Données projet'!$B$12,Paramètres!$A$1:$I$89,3,0)*VLOOKUP('Données projet'!$B$12,Paramètres!$A$1:$I$89,5,0)</f>
        <v>287.30095680000028</v>
      </c>
      <c r="CA91" s="14">
        <f t="shared" si="93"/>
        <v>68.507591901622632</v>
      </c>
      <c r="CB91" s="22">
        <f t="shared" si="64"/>
        <v>619.69988898865984</v>
      </c>
      <c r="CC91" s="62">
        <f t="shared" si="65"/>
        <v>913.03322232199321</v>
      </c>
      <c r="CD91" s="62">
        <f ca="1">AVERAGE(OFFSET($CC$3,0,0,'Données projet'!$E$12+1,1))-AVERAGE(OFFSET($H$3,0,0,'Données projet'!$E$12+1,1))</f>
        <v>618.83149423524605</v>
      </c>
      <c r="CE91" s="62">
        <f t="shared" si="94"/>
        <v>285.33582535802435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26.922551352935727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26.922551352935727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349.5718186624772</v>
      </c>
      <c r="CZ91" s="62">
        <f t="shared" si="96"/>
        <v>258.14152930815959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172.29035005165855</v>
      </c>
      <c r="DG91" s="23">
        <f>EXP(-LN(2)/25)*DG90+(1-EXP(-LN(2)/25))/(LN(2)/25)*Calculateur!DB91*Calculateur!DD91*VLOOKUP('Données projet'!$B$13,Paramètres!$A$1:$I$89,3,0)*0.475*44/12</f>
        <v>25.275485921594488</v>
      </c>
      <c r="DH91" s="23">
        <f>EXP(-LN(2)/2)*DH90+(1-EXP(-LN(2)/2))/(LN(2)/2)*DB91*DE91*VLOOKUP('Données projet'!$B$13,Paramètres!$A$1:$I$89,3,0)*0.475*44/12</f>
        <v>1.988795365918625</v>
      </c>
      <c r="DI91" s="24">
        <f t="shared" si="69"/>
        <v>199.55463133917166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2.8</v>
      </c>
      <c r="DO91" s="13">
        <f>IF('Données projet'!$A$166&gt;35,DO90+DN91-DW90,IF(A91&lt;'Données projet'!$A$166,$DL$205^A91,IF(A91='Données projet'!$A$166,'Données projet'!$B$166,DO90+DN91-DW90)))</f>
        <v>209.4</v>
      </c>
      <c r="DP91" s="18">
        <f>DO91*VLOOKUP('Données projet'!$B$14,Paramètres!$A$1:$I$89,3,0)*VLOOKUP('Données projet'!$B$14,Paramètres!$A$1:$I$89,5,0)</f>
        <v>182.93184000000002</v>
      </c>
      <c r="DQ91" s="14">
        <f t="shared" si="97"/>
        <v>45.973851929814685</v>
      </c>
      <c r="DR91" s="22">
        <f t="shared" si="70"/>
        <v>398.67741344442726</v>
      </c>
      <c r="DS91" s="62">
        <f t="shared" si="71"/>
        <v>692.01074677776057</v>
      </c>
      <c r="DT91" s="62">
        <f ca="1">AVERAGE(OFFSET($DS$3,0,0,'Données projet'!$E$14+1,1))-AVERAGE(OFFSET($H$3,0,0,'Données projet'!$E$14+1,1))</f>
        <v>300.63505444445104</v>
      </c>
      <c r="DU91" s="62">
        <f t="shared" si="98"/>
        <v>266.32508105927997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20.063838082145459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20.063838082145459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353.37024194969638</v>
      </c>
      <c r="EP91" s="62">
        <f t="shared" si="100"/>
        <v>345.4750813433123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132.51556218397124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132.51556218397124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3.6</v>
      </c>
      <c r="FE91" s="13">
        <f>IF('Données projet'!$A$218&gt;35,FE90+FD91-FM90,IF(A91&lt;'Données projet'!$A$218,$FB$205^A91,IF(A91='Données projet'!$A$218,'Données projet'!$B$218,FE90+FD91-FM90)))</f>
        <v>242.8000000000001</v>
      </c>
      <c r="FF91" s="18">
        <f>FE91*VLOOKUP('Données projet'!$B$16,Paramètres!$A$1:$I$89,3,0)*VLOOKUP('Données projet'!$B$16,Paramètres!$A$1:$I$89,5,0)</f>
        <v>159.08256000000006</v>
      </c>
      <c r="FG91" s="14">
        <f t="shared" si="101"/>
        <v>40.635515049195902</v>
      </c>
      <c r="FH91" s="22">
        <f t="shared" si="76"/>
        <v>347.84231404401629</v>
      </c>
      <c r="FI91" s="62">
        <f t="shared" si="77"/>
        <v>641.17564737734961</v>
      </c>
      <c r="FJ91" s="62">
        <f ca="1">AVERAGE(OFFSET($FI$3,0,0,'Données projet'!$E$16+1,1))-AVERAGE(OFFSET($H$3,0,0,'Données projet'!$E$16+1,1))</f>
        <v>263.30962868541337</v>
      </c>
      <c r="FK91" s="62">
        <f t="shared" si="102"/>
        <v>269.61868559913404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20.885842772245361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20.885842772245361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6.2826666666666631</v>
      </c>
      <c r="N92" s="14">
        <f>IF('Données projet'!$A$36&gt;35,N91+M92-V91,IF(A92&lt;'Données projet'!$A$36,$K$205^A92,IF(A92='Données projet'!$A$36,'Données projet'!$B$36,N91+M92-V91)))</f>
        <v>285.60733333333337</v>
      </c>
      <c r="O92" s="14">
        <f>N92*VLOOKUP('Données projet'!$B$9,Paramètres!$A$1:$I$89,3,0)*VLOOKUP('Données projet'!$B$9,Paramètres!$A$1:$I$89,5,0)</f>
        <v>170.79318533333335</v>
      </c>
      <c r="P92" s="14">
        <f t="shared" si="87"/>
        <v>43.267622557749021</v>
      </c>
      <c r="Q92" s="22">
        <f t="shared" si="54"/>
        <v>372.82257374363513</v>
      </c>
      <c r="R92" s="62">
        <f t="shared" si="55"/>
        <v>666.15590707696845</v>
      </c>
      <c r="S92" s="62">
        <f ca="1">AVERAGE(OFFSET($R$3,0,0,'Données projet'!$E$9+1,1))-AVERAGE(OFFSET($H$3,0,0,'Données projet'!$E$9+1,1))</f>
        <v>262.06511368698341</v>
      </c>
      <c r="T92" s="62">
        <f t="shared" si="88"/>
        <v>217.15709240080542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27.282948208508266</v>
      </c>
      <c r="AA92" s="23">
        <f>EXP(-LN(2)/25)*AA91+(1-EXP(-LN(2)/25))/(LN(2)/25)*Calculateur!V92*Calculateur!X92*VLOOKUP('Données projet'!$B$9,Paramètres!$A$1:$I$89,3,0)*0.475*44/12</f>
        <v>8.2286484380010272</v>
      </c>
      <c r="AB92" s="23">
        <f>EXP(-LN(2)/2)*AB91+(1-EXP(-LN(2)/2))/(LN(2)/2)*V92*Y92*VLOOKUP('Données projet'!$B$9,Paramètres!$A$1:$I$89,3,0)*0.475*44/12</f>
        <v>5.200238639956966E-2</v>
      </c>
      <c r="AC92" s="24">
        <f t="shared" si="57"/>
        <v>35.563599032908861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9.2716666666666665</v>
      </c>
      <c r="AI92" s="14">
        <f>IF('Données projet'!$A$62&gt;35,AI91+AH92-AQ91,IF(A92&lt;'Données projet'!$A$62,$AF$205^A92,IF(A92='Données projet'!$A$62,'Données projet'!$B$62,AI91+AH92-AQ91)))</f>
        <v>347.52333333333331</v>
      </c>
      <c r="AJ92" s="14">
        <f>AI92*VLOOKUP('Données projet'!$B$10,Paramètres!$A$1:$I$89,3,0)*VLOOKUP('Données projet'!$B$10,Paramètres!$A$1:$I$89,5,0)</f>
        <v>162.64091999999999</v>
      </c>
      <c r="AK92" s="14">
        <f t="shared" si="89"/>
        <v>41.437613550517717</v>
      </c>
      <c r="AL92" s="22">
        <f t="shared" si="58"/>
        <v>355.43677926715168</v>
      </c>
      <c r="AM92" s="62">
        <f t="shared" si="59"/>
        <v>648.77011260048494</v>
      </c>
      <c r="AN92" s="62">
        <f ca="1">AVERAGE(OFFSET($AM$3,0,0,'Données projet'!$E$10+1,1))-AVERAGE(OFFSET($H$3,0,0,'Données projet'!$E$10+1,1))</f>
        <v>287.83167869616227</v>
      </c>
      <c r="AO92" s="62">
        <f t="shared" si="90"/>
        <v>233.84231920589906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53.348039345416801</v>
      </c>
      <c r="AV92" s="23">
        <f>EXP(-LN(2)/25)*AV91+(1-EXP(-LN(2)/25))/(LN(2)/25)*Calculateur!AQ92*Calculateur!AS92*VLOOKUP('Données projet'!$B$10,Paramètres!$A$1:$I$89,3,0)*0.475*44/12</f>
        <v>18.982349125919953</v>
      </c>
      <c r="AW92" s="23">
        <f>EXP(-LN(2)/2)*AW91+(1-EXP(-LN(2)/2))/(LN(2)/2)*AQ92*AT92*VLOOKUP('Données projet'!$B$10,Paramètres!$A$1:$I$89,3,0)*0.475*44/12</f>
        <v>3.2109961067174466</v>
      </c>
      <c r="AX92" s="23">
        <f t="shared" si="60"/>
        <v>75.541384578054206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-1.7053025658242404E-13</v>
      </c>
      <c r="BE92" s="14">
        <f>BD92*VLOOKUP('Données projet'!$B$11,Paramètres!$A$1:$I$89,3,0)*VLOOKUP('Données projet'!$B$11,Paramètres!$A$1:$I$89,5,0)</f>
        <v>-1.064108801074326E-13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262.36903350767881</v>
      </c>
      <c r="BJ92" s="62">
        <f t="shared" si="92"/>
        <v>331.21009482262417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96.762246543820908</v>
      </c>
      <c r="BQ92" s="23">
        <f>EXP(-LN(2)/25)*BQ91+(1-EXP(-LN(2)/25))/(LN(2)/25)*Calculateur!BL92*Calculateur!BN92*VLOOKUP('Données projet'!$B$11,Paramètres!$A$1:$I$89,3,0)*0.475*44/12</f>
        <v>18.017407000446639</v>
      </c>
      <c r="BR92" s="23">
        <f>EXP(-LN(2)/2)*BR91+(1-EXP(-LN(2)/2))/(LN(2)/2)*BL92*BO92*VLOOKUP('Données projet'!$B$11,Paramètres!$A$1:$I$89,3,0)*0.475*44/12</f>
        <v>8.5972422072669167E-4</v>
      </c>
      <c r="BS92" s="24">
        <f t="shared" si="63"/>
        <v>114.78051326848828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8.2910000000000021</v>
      </c>
      <c r="BY92" s="13">
        <f>IF('Données projet'!$A$114&gt;35,BY91+BX92-CG91,IF(A92&lt;'Données projet'!$A$114,$BV$205^A92,IF(A92='Données projet'!$A$114,'Données projet'!$B$114,BY91+BX92-CG91)))</f>
        <v>305.33500000000026</v>
      </c>
      <c r="BZ92" s="14">
        <f>BY92*VLOOKUP('Données projet'!$B$12,Paramètres!$A$1:$I$89,3,0)*VLOOKUP('Données projet'!$B$12,Paramètres!$A$1:$I$89,5,0)</f>
        <v>295.32001200000025</v>
      </c>
      <c r="CA92" s="14">
        <f t="shared" si="93"/>
        <v>70.194462253560403</v>
      </c>
      <c r="CB92" s="22">
        <f t="shared" si="64"/>
        <v>636.60437599161821</v>
      </c>
      <c r="CC92" s="62">
        <f t="shared" si="65"/>
        <v>929.93770932495158</v>
      </c>
      <c r="CD92" s="62">
        <f ca="1">AVERAGE(OFFSET($CC$3,0,0,'Données projet'!$E$12+1,1))-AVERAGE(OFFSET($H$3,0,0,'Données projet'!$E$12+1,1))</f>
        <v>618.83149423524605</v>
      </c>
      <c r="CE92" s="62">
        <f t="shared" si="94"/>
        <v>285.33582535802435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26.394616542039529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26.394616542039529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349.5718186624772</v>
      </c>
      <c r="CZ92" s="62">
        <f t="shared" si="96"/>
        <v>258.14152930815959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168.9118413738826</v>
      </c>
      <c r="DG92" s="23">
        <f>EXP(-LN(2)/25)*DG91+(1-EXP(-LN(2)/25))/(LN(2)/25)*Calculateur!DB92*Calculateur!DD92*VLOOKUP('Données projet'!$B$13,Paramètres!$A$1:$I$89,3,0)*0.475*44/12</f>
        <v>24.584326429888449</v>
      </c>
      <c r="DH92" s="23">
        <f>EXP(-LN(2)/2)*DH91+(1-EXP(-LN(2)/2))/(LN(2)/2)*DB92*DE92*VLOOKUP('Données projet'!$B$13,Paramètres!$A$1:$I$89,3,0)*0.475*44/12</f>
        <v>1.4062906896334411</v>
      </c>
      <c r="DI92" s="24">
        <f t="shared" si="69"/>
        <v>194.90245849340448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2.8</v>
      </c>
      <c r="DO92" s="13">
        <f>IF('Données projet'!$A$166&gt;35,DO91+DN92-DW91,IF(A92&lt;'Données projet'!$A$166,$DL$205^A92,IF(A92='Données projet'!$A$166,'Données projet'!$B$166,DO91+DN92-DW91)))</f>
        <v>212.20000000000002</v>
      </c>
      <c r="DP92" s="18">
        <f>DO92*VLOOKUP('Données projet'!$B$14,Paramètres!$A$1:$I$89,3,0)*VLOOKUP('Données projet'!$B$14,Paramètres!$A$1:$I$89,5,0)</f>
        <v>185.37792000000005</v>
      </c>
      <c r="DQ92" s="14">
        <f t="shared" si="97"/>
        <v>46.516616531004161</v>
      </c>
      <c r="DR92" s="22">
        <f t="shared" si="70"/>
        <v>403.88298445816571</v>
      </c>
      <c r="DS92" s="62">
        <f t="shared" si="71"/>
        <v>697.21631779149902</v>
      </c>
      <c r="DT92" s="62">
        <f ca="1">AVERAGE(OFFSET($DS$3,0,0,'Données projet'!$E$14+1,1))-AVERAGE(OFFSET($H$3,0,0,'Données projet'!$E$14+1,1))</f>
        <v>300.63505444445104</v>
      </c>
      <c r="DU92" s="62">
        <f t="shared" si="98"/>
        <v>266.32508105927997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19.67039845508744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19.67039845508744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353.37024194969638</v>
      </c>
      <c r="EP92" s="62">
        <f t="shared" si="100"/>
        <v>345.4750813433123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129.91701283605553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129.91701283605553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3.6</v>
      </c>
      <c r="FE92" s="13">
        <f>IF('Données projet'!$A$218&gt;35,FE91+FD92-FM91,IF(A92&lt;'Données projet'!$A$218,$FB$205^A92,IF(A92='Données projet'!$A$218,'Données projet'!$B$218,FE91+FD92-FM91)))</f>
        <v>246.40000000000009</v>
      </c>
      <c r="FF92" s="18">
        <f>FE92*VLOOKUP('Données projet'!$B$16,Paramètres!$A$1:$I$89,3,0)*VLOOKUP('Données projet'!$B$16,Paramètres!$A$1:$I$89,5,0)</f>
        <v>161.44128000000006</v>
      </c>
      <c r="FG92" s="14">
        <f t="shared" si="101"/>
        <v>41.167430271655704</v>
      </c>
      <c r="FH92" s="22">
        <f t="shared" si="76"/>
        <v>352.87683705646708</v>
      </c>
      <c r="FI92" s="62">
        <f t="shared" si="77"/>
        <v>646.2101703898004</v>
      </c>
      <c r="FJ92" s="62">
        <f ca="1">AVERAGE(OFFSET($FI$3,0,0,'Données projet'!$E$16+1,1))-AVERAGE(OFFSET($H$3,0,0,'Données projet'!$E$16+1,1))</f>
        <v>263.30962868541337</v>
      </c>
      <c r="FK92" s="62">
        <f t="shared" si="102"/>
        <v>269.61868559913404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20.476284134587839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20.476284134587839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291.89</v>
      </c>
      <c r="L93" s="13">
        <f>VLOOKUP(A93,'Données projet'!$A$35:$I$55,9,0)</f>
        <v>6.2826666666666631</v>
      </c>
      <c r="M93" s="13">
        <f t="array" ref="M93">INDEX(L:L,MIN(IF(ISNUMBER(L93:L289),ROW(L93:L289),"")))</f>
        <v>6.2826666666666631</v>
      </c>
      <c r="N93" s="14">
        <f>IF('Données projet'!$A$36&gt;35,N92+M93-V92,IF(A93&lt;'Données projet'!$A$36,$K$205^A93,IF(A93='Données projet'!$A$36,'Données projet'!$B$36,N92+M93-V92)))</f>
        <v>291.89000000000004</v>
      </c>
      <c r="O93" s="14">
        <f>N93*VLOOKUP('Données projet'!$B$9,Paramètres!$A$1:$I$89,3,0)*VLOOKUP('Données projet'!$B$9,Paramètres!$A$1:$I$89,5,0)</f>
        <v>174.55022000000002</v>
      </c>
      <c r="P93" s="14">
        <f t="shared" si="87"/>
        <v>44.10754956010063</v>
      </c>
      <c r="Q93" s="22">
        <f t="shared" si="54"/>
        <v>380.82894865050861</v>
      </c>
      <c r="R93" s="62">
        <f t="shared" si="55"/>
        <v>674.16228198384192</v>
      </c>
      <c r="S93" s="62">
        <f ca="1">AVERAGE(OFFSET($R$3,0,0,'Données projet'!$E$9+1,1))-AVERAGE(OFFSET($H$3,0,0,'Données projet'!$E$9+1,1))</f>
        <v>262.06511368698341</v>
      </c>
      <c r="T93" s="62">
        <f t="shared" si="88"/>
        <v>217.15709240080542</v>
      </c>
      <c r="U93" s="16">
        <f>IF(ISNA(VLOOKUP(A93,'Données projet'!$A$35:$I$55,3,0)),0,VLOOKUP(A93,'Données projet'!$A$35:$I$55,3,0))</f>
        <v>4</v>
      </c>
      <c r="V93" s="16">
        <f>IF(ISNA(VLOOKUP(A93,'Données projet'!$A$35:$I$55,4,0)),0,VLOOKUP(A93,'Données projet'!$A$35:$I$55,4,0))</f>
        <v>65.83</v>
      </c>
      <c r="W93" s="17">
        <f>IF(ISNA(VLOOKUP(A93,'Données projet'!$A$35:$I$55,5,0)),0%,VLOOKUP(A93,'Données projet'!$A$35:$I$55,5,0)*VLOOKUP('Données projet'!$B$9,Paramètres!$A$1:$I$89,7,0))</f>
        <v>0.36000000000000004</v>
      </c>
      <c r="X93" s="17">
        <f>IF(ISNA(VLOOKUP(A93,'Données projet'!$A$35:$I$55,6,0)),0%,VLOOKUP(A93,'Données projet'!$A$35:$I$55,6,0)*VLOOKUP('Données projet'!$B$9,Paramètres!$A$1:$I$89,7,0))</f>
        <v>4.9500000000000002E-2</v>
      </c>
      <c r="Y93" s="17">
        <f>IF(ISNA(VLOOKUP(A93,'Données projet'!$A$35:$I$55,7,0)),0%,VLOOKUP(A93,'Données projet'!$A$35:$I$55,7,0))</f>
        <v>0.09</v>
      </c>
      <c r="Z93" s="23">
        <f>EXP(-LN(2)/35)*Z92+(1-EXP(-LN(2)/35))/(LN(2)/35)*V93*W93*VLOOKUP('Données projet'!$B$9,Paramètres!$A$1:$I$89,3,0)*0.475*44/12</f>
        <v>45.547861693603878</v>
      </c>
      <c r="AA93" s="23">
        <f>EXP(-LN(2)/25)*AA92+(1-EXP(-LN(2)/25))/(LN(2)/25)*Calculateur!V93*Calculateur!X93*VLOOKUP('Données projet'!$B$9,Paramètres!$A$1:$I$89,3,0)*0.475*44/12</f>
        <v>10.57844590509078</v>
      </c>
      <c r="AB93" s="23">
        <f>EXP(-LN(2)/2)*AB92+(1-EXP(-LN(2)/2))/(LN(2)/2)*V93*Y93*VLOOKUP('Données projet'!$B$9,Paramètres!$A$1:$I$89,3,0)*0.475*44/12</f>
        <v>4.0482369825677402</v>
      </c>
      <c r="AC93" s="24">
        <f t="shared" si="57"/>
        <v>60.174544581262396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9.2716666666666665</v>
      </c>
      <c r="AI93" s="14">
        <f>IF('Données projet'!$A$62&gt;35,AI92+AH93-AQ92,IF(A93&lt;'Données projet'!$A$62,$AF$205^A93,IF(A93='Données projet'!$A$62,'Données projet'!$B$62,AI92+AH93-AQ92)))</f>
        <v>356.79499999999996</v>
      </c>
      <c r="AJ93" s="14">
        <f>AI93*VLOOKUP('Données projet'!$B$10,Paramètres!$A$1:$I$89,3,0)*VLOOKUP('Données projet'!$B$10,Paramètres!$A$1:$I$89,5,0)</f>
        <v>166.98005999999998</v>
      </c>
      <c r="AK93" s="14">
        <f t="shared" si="89"/>
        <v>42.412953533869</v>
      </c>
      <c r="AL93" s="22">
        <f t="shared" si="58"/>
        <v>364.69283190482179</v>
      </c>
      <c r="AM93" s="62">
        <f t="shared" si="59"/>
        <v>658.02616523815504</v>
      </c>
      <c r="AN93" s="62">
        <f ca="1">AVERAGE(OFFSET($AM$3,0,0,'Données projet'!$E$10+1,1))-AVERAGE(OFFSET($H$3,0,0,'Données projet'!$E$10+1,1))</f>
        <v>287.83167869616227</v>
      </c>
      <c r="AO93" s="62">
        <f t="shared" si="90"/>
        <v>233.84231920589906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52.301916832944208</v>
      </c>
      <c r="AV93" s="23">
        <f>EXP(-LN(2)/25)*AV92+(1-EXP(-LN(2)/25))/(LN(2)/25)*Calculateur!AQ93*Calculateur!AS93*VLOOKUP('Données projet'!$B$10,Paramètres!$A$1:$I$89,3,0)*0.475*44/12</f>
        <v>18.463275790833315</v>
      </c>
      <c r="AW93" s="23">
        <f>EXP(-LN(2)/2)*AW92+(1-EXP(-LN(2)/2))/(LN(2)/2)*AQ93*AT93*VLOOKUP('Données projet'!$B$10,Paramètres!$A$1:$I$89,3,0)*0.475*44/12</f>
        <v>2.2705171214235098</v>
      </c>
      <c r="AX93" s="23">
        <f t="shared" si="60"/>
        <v>73.035709745201032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-1.7053025658242404E-13</v>
      </c>
      <c r="BE93" s="14">
        <f>BD93*VLOOKUP('Données projet'!$B$11,Paramètres!$A$1:$I$89,3,0)*VLOOKUP('Données projet'!$B$11,Paramètres!$A$1:$I$89,5,0)</f>
        <v>-1.064108801074326E-13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262.36903350767881</v>
      </c>
      <c r="BJ93" s="62">
        <f t="shared" si="92"/>
        <v>331.21009482262417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94.864797908239311</v>
      </c>
      <c r="BQ93" s="23">
        <f>EXP(-LN(2)/25)*BQ92+(1-EXP(-LN(2)/25))/(LN(2)/25)*Calculateur!BL93*Calculateur!BN93*VLOOKUP('Données projet'!$B$11,Paramètres!$A$1:$I$89,3,0)*0.475*44/12</f>
        <v>17.524720058525169</v>
      </c>
      <c r="BR93" s="23">
        <f>EXP(-LN(2)/2)*BR92+(1-EXP(-LN(2)/2))/(LN(2)/2)*BL93*BO93*VLOOKUP('Données projet'!$B$11,Paramètres!$A$1:$I$89,3,0)*0.475*44/12</f>
        <v>6.0791682642616384E-4</v>
      </c>
      <c r="BS93" s="24">
        <f t="shared" si="63"/>
        <v>112.39012588359091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8.2910000000000021</v>
      </c>
      <c r="BY93" s="13">
        <f>IF('Données projet'!$A$114&gt;35,BY92+BX93-CG92,IF(A93&lt;'Données projet'!$A$114,$BV$205^A93,IF(A93='Données projet'!$A$114,'Données projet'!$B$114,BY92+BX93-CG92)))</f>
        <v>313.62600000000026</v>
      </c>
      <c r="BZ93" s="14">
        <f>BY93*VLOOKUP('Données projet'!$B$12,Paramètres!$A$1:$I$89,3,0)*VLOOKUP('Données projet'!$B$12,Paramètres!$A$1:$I$89,5,0)</f>
        <v>303.33906720000027</v>
      </c>
      <c r="CA93" s="14">
        <f t="shared" si="93"/>
        <v>71.876008639724958</v>
      </c>
      <c r="CB93" s="22">
        <f t="shared" si="64"/>
        <v>653.4995904208547</v>
      </c>
      <c r="CC93" s="62">
        <f t="shared" si="65"/>
        <v>946.83292375418796</v>
      </c>
      <c r="CD93" s="62">
        <f ca="1">AVERAGE(OFFSET($CC$3,0,0,'Données projet'!$E$12+1,1))-AVERAGE(OFFSET($H$3,0,0,'Données projet'!$E$12+1,1))</f>
        <v>618.83149423524605</v>
      </c>
      <c r="CE93" s="62">
        <f t="shared" si="94"/>
        <v>285.33582535802435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25.877034210776568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25.877034210776568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349.5718186624772</v>
      </c>
      <c r="CZ93" s="62">
        <f t="shared" si="96"/>
        <v>258.14152930815959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165.59958319059101</v>
      </c>
      <c r="DG93" s="23">
        <f>EXP(-LN(2)/25)*DG92+(1-EXP(-LN(2)/25))/(LN(2)/25)*Calculateur!DB93*Calculateur!DD93*VLOOKUP('Données projet'!$B$13,Paramètres!$A$1:$I$89,3,0)*0.475*44/12</f>
        <v>23.912066730829611</v>
      </c>
      <c r="DH93" s="23">
        <f>EXP(-LN(2)/2)*DH92+(1-EXP(-LN(2)/2))/(LN(2)/2)*DB93*DE93*VLOOKUP('Données projet'!$B$13,Paramètres!$A$1:$I$89,3,0)*0.475*44/12</f>
        <v>0.99439768295931275</v>
      </c>
      <c r="DI93" s="24">
        <f t="shared" si="69"/>
        <v>190.50604760437994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215</v>
      </c>
      <c r="DM93" s="13">
        <f>VLOOKUP(A93,'Données projet'!$A$165:$I$185,9,0)</f>
        <v>2.8</v>
      </c>
      <c r="DN93" s="13">
        <f t="array" ref="DN93">INDEX(DM:DM,MIN(IF(ISNUMBER(DM93:DM289),ROW(DM93:DM289),"")))</f>
        <v>2.8</v>
      </c>
      <c r="DO93" s="13">
        <f>IF('Données projet'!$A$166&gt;35,DO92+DN93-DW92,IF(A93&lt;'Données projet'!$A$166,$DL$205^A93,IF(A93='Données projet'!$A$166,'Données projet'!$B$166,DO92+DN93-DW92)))</f>
        <v>215.00000000000003</v>
      </c>
      <c r="DP93" s="18">
        <f>DO93*VLOOKUP('Données projet'!$B$14,Paramètres!$A$1:$I$89,3,0)*VLOOKUP('Données projet'!$B$14,Paramètres!$A$1:$I$89,5,0)</f>
        <v>187.82400000000007</v>
      </c>
      <c r="DQ93" s="14">
        <f t="shared" si="97"/>
        <v>47.05854810918273</v>
      </c>
      <c r="DR93" s="22">
        <f t="shared" si="70"/>
        <v>409.08710462349336</v>
      </c>
      <c r="DS93" s="62">
        <f t="shared" si="71"/>
        <v>702.42043795682662</v>
      </c>
      <c r="DT93" s="62">
        <f ca="1">AVERAGE(OFFSET($DS$3,0,0,'Données projet'!$E$14+1,1))-AVERAGE(OFFSET($H$3,0,0,'Données projet'!$E$14+1,1))</f>
        <v>300.63505444445104</v>
      </c>
      <c r="DU93" s="62">
        <f t="shared" si="98"/>
        <v>266.32508105927997</v>
      </c>
      <c r="DV93" s="16">
        <f>IF(ISNA(VLOOKUP(A93,'Données projet'!$A$165:$I$185,3,0)),0,VLOOKUP(A93,'Données projet'!$A$165:$I$185,3,0))</f>
        <v>17</v>
      </c>
      <c r="DW93" s="16">
        <f>IF(ISNA(VLOOKUP(A93,'Données projet'!$A$165:$I$185,4,0)),0,VLOOKUP(A93,'Données projet'!$A$165:$I$185,4,0))</f>
        <v>10</v>
      </c>
      <c r="DX93" s="17">
        <f>IF(ISNA(VLOOKUP(A93,'Données projet'!$A$165:$I$185,5,0)),0%,VLOOKUP(A93,'Données projet'!$A$165:$I$185,5,0)*VLOOKUP('Données projet'!$B$14,Paramètres!$A$1:$I$89,7,0))</f>
        <v>0.34400000000000003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22.606815836187902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22.606815836187902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353.37024194969638</v>
      </c>
      <c r="EP93" s="62">
        <f t="shared" si="100"/>
        <v>345.4750813433123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127.36941945589386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127.36941945589386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250</v>
      </c>
      <c r="FC93" s="13">
        <f>VLOOKUP(A93,'Données projet'!$A$217:$I$237,9,0)</f>
        <v>3.6</v>
      </c>
      <c r="FD93" s="13">
        <f t="array" ref="FD93">INDEX(FC:FC,MIN(IF(ISNUMBER(FC93:FC289),ROW(FC93:FC289),"")))</f>
        <v>3.6</v>
      </c>
      <c r="FE93" s="13">
        <f>IF('Données projet'!$A$218&gt;35,FE92+FD93-FM92,IF(A93&lt;'Données projet'!$A$218,$FB$205^A93,IF(A93='Données projet'!$A$218,'Données projet'!$B$218,FE92+FD93-FM92)))</f>
        <v>250.00000000000009</v>
      </c>
      <c r="FF93" s="18">
        <f>FE93*VLOOKUP('Données projet'!$B$16,Paramètres!$A$1:$I$89,3,0)*VLOOKUP('Données projet'!$B$16,Paramètres!$A$1:$I$89,5,0)</f>
        <v>163.80000000000004</v>
      </c>
      <c r="FG93" s="14">
        <f t="shared" si="101"/>
        <v>41.698441627605334</v>
      </c>
      <c r="FH93" s="22">
        <f t="shared" si="76"/>
        <v>357.90978583474595</v>
      </c>
      <c r="FI93" s="62">
        <f t="shared" si="77"/>
        <v>651.24311916807926</v>
      </c>
      <c r="FJ93" s="62">
        <f ca="1">AVERAGE(OFFSET($FI$3,0,0,'Données projet'!$E$16+1,1))-AVERAGE(OFFSET($H$3,0,0,'Données projet'!$E$16+1,1))</f>
        <v>263.30962868541337</v>
      </c>
      <c r="FK93" s="62">
        <f t="shared" si="102"/>
        <v>269.61868559913404</v>
      </c>
      <c r="FL93" s="16">
        <f>IF(ISNA(VLOOKUP(A93,'Données projet'!$A$217:$I$237,3,0)),0,VLOOKUP(A93,'Données projet'!$A$217:$I$237,3,0))</f>
        <v>17</v>
      </c>
      <c r="FM93" s="16">
        <f>IF(ISNA(VLOOKUP(A93,'Données projet'!$A$217:$I$237,4,0)),0,VLOOKUP(A93,'Données projet'!$A$217:$I$237,4,0))</f>
        <v>250</v>
      </c>
      <c r="FN93" s="17">
        <f>IF(ISNA(VLOOKUP(A93,'Données projet'!$A$217:$I$237,5,0)),0%,VLOOKUP(A93,'Données projet'!$A$217:$I$237,5,0)*VLOOKUP('Données projet'!$B$16,Paramètres!$A$1:$I$89,7,0))</f>
        <v>0.34400000000000003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82.364917261627724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82.364917261627724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5.9170000000000016</v>
      </c>
      <c r="N94" s="14">
        <f>IF('Données projet'!$A$36&gt;35,N93+M94-V93,IF(A94&lt;'Données projet'!$A$36,$K$205^A94,IF(A94='Données projet'!$A$36,'Données projet'!$B$36,N93+M94-V93)))</f>
        <v>231.97700000000003</v>
      </c>
      <c r="O94" s="14">
        <f>N94*VLOOKUP('Données projet'!$B$9,Paramètres!$A$1:$I$89,3,0)*VLOOKUP('Données projet'!$B$9,Paramètres!$A$1:$I$89,5,0)</f>
        <v>138.72224600000004</v>
      </c>
      <c r="P94" s="14">
        <f t="shared" si="87"/>
        <v>36.004133980975695</v>
      </c>
      <c r="Q94" s="22">
        <f t="shared" si="54"/>
        <v>304.31511180019942</v>
      </c>
      <c r="R94" s="62">
        <f t="shared" si="55"/>
        <v>597.64844513353273</v>
      </c>
      <c r="S94" s="62">
        <f ca="1">AVERAGE(OFFSET($R$3,0,0,'Données projet'!$E$9+1,1))-AVERAGE(OFFSET($H$3,0,0,'Données projet'!$E$9+1,1))</f>
        <v>262.06511368698341</v>
      </c>
      <c r="T94" s="62">
        <f t="shared" si="88"/>
        <v>217.15709240080542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44.654695907244751</v>
      </c>
      <c r="AA94" s="23">
        <f>EXP(-LN(2)/25)*AA93+(1-EXP(-LN(2)/25))/(LN(2)/25)*Calculateur!V94*Calculateur!X94*VLOOKUP('Données projet'!$B$9,Paramètres!$A$1:$I$89,3,0)*0.475*44/12</f>
        <v>10.28917774551978</v>
      </c>
      <c r="AB94" s="23">
        <f>EXP(-LN(2)/2)*AB93+(1-EXP(-LN(2)/2))/(LN(2)/2)*V94*Y94*VLOOKUP('Données projet'!$B$9,Paramètres!$A$1:$I$89,3,0)*0.475*44/12</f>
        <v>2.8625358222238169</v>
      </c>
      <c r="AC94" s="24">
        <f t="shared" si="57"/>
        <v>57.806409474988349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9.2716666666666665</v>
      </c>
      <c r="AI94" s="14">
        <f>IF('Données projet'!$A$62&gt;35,AI93+AH94-AQ93,IF(A94&lt;'Données projet'!$A$62,$AF$205^A94,IF(A94='Données projet'!$A$62,'Données projet'!$B$62,AI93+AH94-AQ93)))</f>
        <v>366.06666666666661</v>
      </c>
      <c r="AJ94" s="14">
        <f>AI94*VLOOKUP('Données projet'!$B$10,Paramètres!$A$1:$I$89,3,0)*VLOOKUP('Données projet'!$B$10,Paramètres!$A$1:$I$89,5,0)</f>
        <v>171.31919999999997</v>
      </c>
      <c r="AK94" s="14">
        <f t="shared" si="89"/>
        <v>43.385347447233634</v>
      </c>
      <c r="AL94" s="22">
        <f t="shared" si="58"/>
        <v>373.94375347059849</v>
      </c>
      <c r="AM94" s="62">
        <f t="shared" si="59"/>
        <v>667.27708680393175</v>
      </c>
      <c r="AN94" s="62">
        <f ca="1">AVERAGE(OFFSET($AM$3,0,0,'Données projet'!$E$10+1,1))-AVERAGE(OFFSET($H$3,0,0,'Données projet'!$E$10+1,1))</f>
        <v>287.83167869616227</v>
      </c>
      <c r="AO94" s="62">
        <f t="shared" si="90"/>
        <v>233.84231920589906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51.276308144869475</v>
      </c>
      <c r="AV94" s="23">
        <f>EXP(-LN(2)/25)*AV93+(1-EXP(-LN(2)/25))/(LN(2)/25)*Calculateur!AQ94*Calculateur!AS94*VLOOKUP('Données projet'!$B$10,Paramètres!$A$1:$I$89,3,0)*0.475*44/12</f>
        <v>17.958396543391501</v>
      </c>
      <c r="AW94" s="23">
        <f>EXP(-LN(2)/2)*AW93+(1-EXP(-LN(2)/2))/(LN(2)/2)*AQ94*AT94*VLOOKUP('Données projet'!$B$10,Paramètres!$A$1:$I$89,3,0)*0.475*44/12</f>
        <v>1.6054980533587235</v>
      </c>
      <c r="AX94" s="23">
        <f t="shared" si="60"/>
        <v>70.840202741619706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-1.064108801074326E-13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262.36903350767881</v>
      </c>
      <c r="BJ94" s="62">
        <f t="shared" si="92"/>
        <v>331.21009482262417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93.004557083072086</v>
      </c>
      <c r="BQ94" s="23">
        <f>EXP(-LN(2)/25)*BQ93+(1-EXP(-LN(2)/25))/(LN(2)/25)*Calculateur!BL94*Calculateur!BN94*VLOOKUP('Données projet'!$B$11,Paramètres!$A$1:$I$89,3,0)*0.475*44/12</f>
        <v>17.045505666939825</v>
      </c>
      <c r="BR94" s="23">
        <f>EXP(-LN(2)/2)*BR93+(1-EXP(-LN(2)/2))/(LN(2)/2)*BL94*BO94*VLOOKUP('Données projet'!$B$11,Paramètres!$A$1:$I$89,3,0)*0.475*44/12</f>
        <v>4.2986211036334583E-4</v>
      </c>
      <c r="BS94" s="24">
        <f t="shared" si="63"/>
        <v>110.05049261212227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8.2910000000000021</v>
      </c>
      <c r="BY94" s="13">
        <f>IF('Données projet'!$A$114&gt;35,BY93+BX94-CG93,IF(A94&lt;'Données projet'!$A$114,$BV$205^A94,IF(A94='Données projet'!$A$114,'Données projet'!$B$114,BY93+BX94-CG93)))</f>
        <v>321.91700000000026</v>
      </c>
      <c r="BZ94" s="14">
        <f>BY94*VLOOKUP('Données projet'!$B$12,Paramètres!$A$1:$I$89,3,0)*VLOOKUP('Données projet'!$B$12,Paramètres!$A$1:$I$89,5,0)</f>
        <v>311.35812240000024</v>
      </c>
      <c r="CA94" s="14">
        <f t="shared" si="93"/>
        <v>73.552387982296665</v>
      </c>
      <c r="CB94" s="22">
        <f t="shared" si="64"/>
        <v>670.38580558250044</v>
      </c>
      <c r="CC94" s="62">
        <f t="shared" si="65"/>
        <v>963.71913891583381</v>
      </c>
      <c r="CD94" s="62">
        <f ca="1">AVERAGE(OFFSET($CC$3,0,0,'Données projet'!$E$12+1,1))-AVERAGE(OFFSET($H$3,0,0,'Données projet'!$E$12+1,1))</f>
        <v>618.83149423524605</v>
      </c>
      <c r="CE94" s="62">
        <f t="shared" si="94"/>
        <v>285.33582535802435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25.369601353335625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25.369601353335625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349.5718186624772</v>
      </c>
      <c r="CZ94" s="62">
        <f t="shared" si="96"/>
        <v>258.14152930815959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162.35227636999576</v>
      </c>
      <c r="DG94" s="23">
        <f>EXP(-LN(2)/25)*DG93+(1-EXP(-LN(2)/25))/(LN(2)/25)*Calculateur!DB94*Calculateur!DD94*VLOOKUP('Données projet'!$B$13,Paramètres!$A$1:$I$89,3,0)*0.475*44/12</f>
        <v>23.258190008594138</v>
      </c>
      <c r="DH94" s="23">
        <f>EXP(-LN(2)/2)*DH93+(1-EXP(-LN(2)/2))/(LN(2)/2)*DB94*DE94*VLOOKUP('Données projet'!$B$13,Paramètres!$A$1:$I$89,3,0)*0.475*44/12</f>
        <v>0.70314534481672064</v>
      </c>
      <c r="DI94" s="24">
        <f t="shared" si="69"/>
        <v>186.31361172340664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2.8</v>
      </c>
      <c r="DO94" s="13">
        <f>IF('Données projet'!$A$166&gt;35,DO93+DN94-DW93,IF(A94&lt;'Données projet'!$A$166,$DL$205^A94,IF(A94='Données projet'!$A$166,'Données projet'!$B$166,DO93+DN94-DW93)))</f>
        <v>207.80000000000004</v>
      </c>
      <c r="DP94" s="18">
        <f>DO94*VLOOKUP('Données projet'!$B$14,Paramètres!$A$1:$I$89,3,0)*VLOOKUP('Données projet'!$B$14,Paramètres!$A$1:$I$89,5,0)</f>
        <v>181.53408000000007</v>
      </c>
      <c r="DQ94" s="14">
        <f t="shared" si="97"/>
        <v>45.663321943731901</v>
      </c>
      <c r="DR94" s="22">
        <f t="shared" si="70"/>
        <v>395.7021417186665</v>
      </c>
      <c r="DS94" s="62">
        <f t="shared" si="71"/>
        <v>689.03547505199981</v>
      </c>
      <c r="DT94" s="62">
        <f ca="1">AVERAGE(OFFSET($DS$3,0,0,'Données projet'!$E$14+1,1))-AVERAGE(OFFSET($H$3,0,0,'Données projet'!$E$14+1,1))</f>
        <v>300.63505444445104</v>
      </c>
      <c r="DU94" s="62">
        <f t="shared" si="98"/>
        <v>266.32508105927997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22.163509966436386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22.163509966436386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353.37024194969638</v>
      </c>
      <c r="EP94" s="62">
        <f t="shared" si="100"/>
        <v>345.4750813433123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124.87178282803863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124.87178282803863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8.5265128291212022E-14</v>
      </c>
      <c r="FF94" s="18">
        <f>FE94*VLOOKUP('Données projet'!$B$16,Paramètres!$A$1:$I$89,3,0)*VLOOKUP('Données projet'!$B$16,Paramètres!$A$1:$I$89,5,0)</f>
        <v>5.5865712056402117E-14</v>
      </c>
      <c r="FG94" s="14">
        <f t="shared" si="101"/>
        <v>8.9811031843713517E-13</v>
      </c>
      <c r="FH94" s="22">
        <f t="shared" si="76"/>
        <v>1.6615082531095774E-12</v>
      </c>
      <c r="FI94" s="62">
        <f t="shared" si="77"/>
        <v>293.33333333333496</v>
      </c>
      <c r="FJ94" s="62">
        <f ca="1">AVERAGE(OFFSET($FI$3,0,0,'Données projet'!$E$16+1,1))-AVERAGE(OFFSET($H$3,0,0,'Données projet'!$E$16+1,1))</f>
        <v>263.30962868541337</v>
      </c>
      <c r="FK94" s="62">
        <f t="shared" si="102"/>
        <v>269.61868559913404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80.749791471766173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80.749791471766173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5.9170000000000016</v>
      </c>
      <c r="N95" s="14">
        <f>IF('Données projet'!$A$36&gt;35,N94+M95-V94,IF(A95&lt;'Données projet'!$A$36,$K$205^A95,IF(A95='Données projet'!$A$36,'Données projet'!$B$36,N94+M95-V94)))</f>
        <v>237.89400000000003</v>
      </c>
      <c r="O95" s="14">
        <f>N95*VLOOKUP('Données projet'!$B$9,Paramètres!$A$1:$I$89,3,0)*VLOOKUP('Données projet'!$B$9,Paramètres!$A$1:$I$89,5,0)</f>
        <v>142.26061200000004</v>
      </c>
      <c r="P95" s="14">
        <f t="shared" si="87"/>
        <v>36.814396177136373</v>
      </c>
      <c r="Q95" s="22">
        <f t="shared" si="54"/>
        <v>311.88897257517925</v>
      </c>
      <c r="R95" s="62">
        <f t="shared" si="55"/>
        <v>605.22230590851257</v>
      </c>
      <c r="S95" s="62">
        <f ca="1">AVERAGE(OFFSET($R$3,0,0,'Données projet'!$E$9+1,1))-AVERAGE(OFFSET($H$3,0,0,'Données projet'!$E$9+1,1))</f>
        <v>262.06511368698341</v>
      </c>
      <c r="T95" s="62">
        <f t="shared" si="88"/>
        <v>217.15709240080542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43.779044557178786</v>
      </c>
      <c r="AA95" s="23">
        <f>EXP(-LN(2)/25)*AA94+(1-EXP(-LN(2)/25))/(LN(2)/25)*Calculateur!V95*Calculateur!X95*VLOOKUP('Données projet'!$B$9,Paramètres!$A$1:$I$89,3,0)*0.475*44/12</f>
        <v>10.0078196389842</v>
      </c>
      <c r="AB95" s="23">
        <f>EXP(-LN(2)/2)*AB94+(1-EXP(-LN(2)/2))/(LN(2)/2)*V95*Y95*VLOOKUP('Données projet'!$B$9,Paramètres!$A$1:$I$89,3,0)*0.475*44/12</f>
        <v>2.0241184912838706</v>
      </c>
      <c r="AC95" s="24">
        <f t="shared" si="57"/>
        <v>55.81098268744686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9.2716666666666665</v>
      </c>
      <c r="AI95" s="14">
        <f>IF('Données projet'!$A$62&gt;35,AI94+AH95-AQ94,IF(A95&lt;'Données projet'!$A$62,$AF$205^A95,IF(A95='Données projet'!$A$62,'Données projet'!$B$62,AI94+AH95-AQ94)))</f>
        <v>375.33833333333325</v>
      </c>
      <c r="AJ95" s="14">
        <f>AI95*VLOOKUP('Données projet'!$B$10,Paramètres!$A$1:$I$89,3,0)*VLOOKUP('Données projet'!$B$10,Paramètres!$A$1:$I$89,5,0)</f>
        <v>175.65833999999998</v>
      </c>
      <c r="AK95" s="14">
        <f t="shared" si="89"/>
        <v>44.354878488910238</v>
      </c>
      <c r="AL95" s="22">
        <f t="shared" si="58"/>
        <v>383.18968886818521</v>
      </c>
      <c r="AM95" s="62">
        <f t="shared" si="59"/>
        <v>676.52302220151853</v>
      </c>
      <c r="AN95" s="62">
        <f ca="1">AVERAGE(OFFSET($AM$3,0,0,'Données projet'!$E$10+1,1))-AVERAGE(OFFSET($H$3,0,0,'Données projet'!$E$10+1,1))</f>
        <v>287.83167869616227</v>
      </c>
      <c r="AO95" s="62">
        <f t="shared" si="90"/>
        <v>233.84231920589906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50.270811017608359</v>
      </c>
      <c r="AV95" s="23">
        <f>EXP(-LN(2)/25)*AV94+(1-EXP(-LN(2)/25))/(LN(2)/25)*Calculateur!AQ95*Calculateur!AS95*VLOOKUP('Données projet'!$B$10,Paramètres!$A$1:$I$89,3,0)*0.475*44/12</f>
        <v>17.467323245521431</v>
      </c>
      <c r="AW95" s="23">
        <f>EXP(-LN(2)/2)*AW94+(1-EXP(-LN(2)/2))/(LN(2)/2)*AQ95*AT95*VLOOKUP('Données projet'!$B$10,Paramètres!$A$1:$I$89,3,0)*0.475*44/12</f>
        <v>1.1352585607117549</v>
      </c>
      <c r="AX95" s="23">
        <f t="shared" si="60"/>
        <v>68.873392823841556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-1.064108801074326E-13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262.36903350767881</v>
      </c>
      <c r="BJ95" s="62">
        <f t="shared" si="92"/>
        <v>331.21009482262417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91.180794445851518</v>
      </c>
      <c r="BQ95" s="23">
        <f>EXP(-LN(2)/25)*BQ94+(1-EXP(-LN(2)/25))/(LN(2)/25)*Calculateur!BL95*Calculateur!BN95*VLOOKUP('Données projet'!$B$11,Paramètres!$A$1:$I$89,3,0)*0.475*44/12</f>
        <v>16.579395418093171</v>
      </c>
      <c r="BR95" s="23">
        <f>EXP(-LN(2)/2)*BR94+(1-EXP(-LN(2)/2))/(LN(2)/2)*BL95*BO95*VLOOKUP('Données projet'!$B$11,Paramètres!$A$1:$I$89,3,0)*0.475*44/12</f>
        <v>3.0395841321308192E-4</v>
      </c>
      <c r="BS95" s="24">
        <f t="shared" si="63"/>
        <v>107.7604938223579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8.2910000000000021</v>
      </c>
      <c r="BY95" s="13">
        <f>IF('Données projet'!$A$114&gt;35,BY94+BX95-CG94,IF(A95&lt;'Données projet'!$A$114,$BV$205^A95,IF(A95='Données projet'!$A$114,'Données projet'!$B$114,BY94+BX95-CG94)))</f>
        <v>330.20800000000025</v>
      </c>
      <c r="BZ95" s="14">
        <f>BY95*VLOOKUP('Données projet'!$B$12,Paramètres!$A$1:$I$89,3,0)*VLOOKUP('Données projet'!$B$12,Paramètres!$A$1:$I$89,5,0)</f>
        <v>319.37717760000021</v>
      </c>
      <c r="CA95" s="14">
        <f t="shared" si="93"/>
        <v>75.223748659890148</v>
      </c>
      <c r="CB95" s="22">
        <f t="shared" si="64"/>
        <v>687.26327990264235</v>
      </c>
      <c r="CC95" s="62">
        <f t="shared" si="65"/>
        <v>980.59661323597561</v>
      </c>
      <c r="CD95" s="62">
        <f ca="1">AVERAGE(OFFSET($CC$3,0,0,'Données projet'!$E$12+1,1))-AVERAGE(OFFSET($H$3,0,0,'Données projet'!$E$12+1,1))</f>
        <v>618.83149423524605</v>
      </c>
      <c r="CE95" s="62">
        <f t="shared" si="94"/>
        <v>285.33582535802435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24.872118944725614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24.872118944725614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349.5718186624772</v>
      </c>
      <c r="CZ95" s="62">
        <f t="shared" si="96"/>
        <v>258.14152930815959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159.16864725549081</v>
      </c>
      <c r="DG95" s="23">
        <f>EXP(-LN(2)/25)*DG94+(1-EXP(-LN(2)/25))/(LN(2)/25)*Calculateur!DB95*Calculateur!DD95*VLOOKUP('Données projet'!$B$13,Paramètres!$A$1:$I$89,3,0)*0.475*44/12</f>
        <v>22.622193579714075</v>
      </c>
      <c r="DH95" s="23">
        <f>EXP(-LN(2)/2)*DH94+(1-EXP(-LN(2)/2))/(LN(2)/2)*DB95*DE95*VLOOKUP('Données projet'!$B$13,Paramètres!$A$1:$I$89,3,0)*0.475*44/12</f>
        <v>0.49719884147965643</v>
      </c>
      <c r="DI95" s="24">
        <f t="shared" si="69"/>
        <v>182.28803967668452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2.8</v>
      </c>
      <c r="DO95" s="13">
        <f>IF('Données projet'!$A$166&gt;35,DO94+DN95-DW94,IF(A95&lt;'Données projet'!$A$166,$DL$205^A95,IF(A95='Données projet'!$A$166,'Données projet'!$B$166,DO94+DN95-DW94)))</f>
        <v>210.60000000000005</v>
      </c>
      <c r="DP95" s="18">
        <f>DO95*VLOOKUP('Données projet'!$B$14,Paramètres!$A$1:$I$89,3,0)*VLOOKUP('Données projet'!$B$14,Paramètres!$A$1:$I$89,5,0)</f>
        <v>183.98016000000007</v>
      </c>
      <c r="DQ95" s="14">
        <f t="shared" si="97"/>
        <v>46.206568123393758</v>
      </c>
      <c r="DR95" s="22">
        <f t="shared" si="70"/>
        <v>400.9085514815776</v>
      </c>
      <c r="DS95" s="62">
        <f t="shared" si="71"/>
        <v>694.24188481491092</v>
      </c>
      <c r="DT95" s="62">
        <f ca="1">AVERAGE(OFFSET($DS$3,0,0,'Données projet'!$E$14+1,1))-AVERAGE(OFFSET($H$3,0,0,'Données projet'!$E$14+1,1))</f>
        <v>300.63505444445104</v>
      </c>
      <c r="DU95" s="62">
        <f t="shared" si="98"/>
        <v>266.32508105927997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21.728897054400818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21.728897054400818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353.37024194969638</v>
      </c>
      <c r="EP95" s="62">
        <f t="shared" si="100"/>
        <v>345.4750813433123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122.42312333104772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122.42312333104772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8.5265128291212022E-14</v>
      </c>
      <c r="FF95" s="18">
        <f>FE95*VLOOKUP('Données projet'!$B$16,Paramètres!$A$1:$I$89,3,0)*VLOOKUP('Données projet'!$B$16,Paramètres!$A$1:$I$89,5,0)</f>
        <v>5.5865712056402117E-14</v>
      </c>
      <c r="FG95" s="14">
        <f t="shared" si="101"/>
        <v>8.9811031843713517E-13</v>
      </c>
      <c r="FH95" s="22">
        <f t="shared" si="76"/>
        <v>1.6615082531095774E-12</v>
      </c>
      <c r="FI95" s="62">
        <f t="shared" si="77"/>
        <v>293.33333333333496</v>
      </c>
      <c r="FJ95" s="62">
        <f ca="1">AVERAGE(OFFSET($FI$3,0,0,'Données projet'!$E$16+1,1))-AVERAGE(OFFSET($H$3,0,0,'Données projet'!$E$16+1,1))</f>
        <v>263.30962868541337</v>
      </c>
      <c r="FK95" s="62">
        <f t="shared" si="102"/>
        <v>269.61868559913404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79.166337313514362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79.166337313514362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5.9170000000000016</v>
      </c>
      <c r="N96" s="14">
        <f>IF('Données projet'!$A$36&gt;35,N95+M96-V95,IF(A96&lt;'Données projet'!$A$36,$K$205^A96,IF(A96='Données projet'!$A$36,'Données projet'!$B$36,N95+M96-V95)))</f>
        <v>243.81100000000004</v>
      </c>
      <c r="O96" s="14">
        <f>N96*VLOOKUP('Données projet'!$B$9,Paramètres!$A$1:$I$89,3,0)*VLOOKUP('Données projet'!$B$9,Paramètres!$A$1:$I$89,5,0)</f>
        <v>145.79897800000003</v>
      </c>
      <c r="P96" s="14">
        <f t="shared" si="87"/>
        <v>37.622315679966036</v>
      </c>
      <c r="Q96" s="22">
        <f t="shared" si="54"/>
        <v>319.45875315927424</v>
      </c>
      <c r="R96" s="62">
        <f t="shared" si="55"/>
        <v>612.7920864926075</v>
      </c>
      <c r="S96" s="62">
        <f ca="1">AVERAGE(OFFSET($R$3,0,0,'Données projet'!$E$9+1,1))-AVERAGE(OFFSET($H$3,0,0,'Données projet'!$E$9+1,1))</f>
        <v>262.06511368698341</v>
      </c>
      <c r="T96" s="62">
        <f t="shared" si="88"/>
        <v>217.15709240080542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42.92056419599303</v>
      </c>
      <c r="AA96" s="23">
        <f>EXP(-LN(2)/25)*AA95+(1-EXP(-LN(2)/25))/(LN(2)/25)*Calculateur!V96*Calculateur!X96*VLOOKUP('Données projet'!$B$9,Paramètres!$A$1:$I$89,3,0)*0.475*44/12</f>
        <v>9.7341552846678159</v>
      </c>
      <c r="AB96" s="23">
        <f>EXP(-LN(2)/2)*AB95+(1-EXP(-LN(2)/2))/(LN(2)/2)*V96*Y96*VLOOKUP('Données projet'!$B$9,Paramètres!$A$1:$I$89,3,0)*0.475*44/12</f>
        <v>1.4312679111119087</v>
      </c>
      <c r="AC96" s="24">
        <f t="shared" si="57"/>
        <v>54.085987391772754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9.2716666666666665</v>
      </c>
      <c r="AI96" s="14">
        <f>IF('Données projet'!$A$62&gt;35,AI95+AH96-AQ95,IF(A96&lt;'Données projet'!$A$62,$AF$205^A96,IF(A96='Données projet'!$A$62,'Données projet'!$B$62,AI95+AH96-AQ95)))</f>
        <v>384.6099999999999</v>
      </c>
      <c r="AJ96" s="14">
        <f>AI96*VLOOKUP('Données projet'!$B$10,Paramètres!$A$1:$I$89,3,0)*VLOOKUP('Données projet'!$B$10,Paramètres!$A$1:$I$89,5,0)</f>
        <v>179.99747999999997</v>
      </c>
      <c r="AK96" s="14">
        <f t="shared" si="89"/>
        <v>45.321625512535455</v>
      </c>
      <c r="AL96" s="22">
        <f t="shared" si="58"/>
        <v>392.43077543433247</v>
      </c>
      <c r="AM96" s="62">
        <f t="shared" si="59"/>
        <v>685.76410876766579</v>
      </c>
      <c r="AN96" s="62">
        <f ca="1">AVERAGE(OFFSET($AM$3,0,0,'Données projet'!$E$10+1,1))-AVERAGE(OFFSET($H$3,0,0,'Données projet'!$E$10+1,1))</f>
        <v>287.83167869616227</v>
      </c>
      <c r="AO96" s="62">
        <f t="shared" si="90"/>
        <v>233.84231920589906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49.285031075720141</v>
      </c>
      <c r="AV96" s="23">
        <f>EXP(-LN(2)/25)*AV95+(1-EXP(-LN(2)/25))/(LN(2)/25)*Calculateur!AQ96*Calculateur!AS96*VLOOKUP('Données projet'!$B$10,Paramètres!$A$1:$I$89,3,0)*0.475*44/12</f>
        <v>16.98967837280604</v>
      </c>
      <c r="AW96" s="23">
        <f>EXP(-LN(2)/2)*AW95+(1-EXP(-LN(2)/2))/(LN(2)/2)*AQ96*AT96*VLOOKUP('Données projet'!$B$10,Paramètres!$A$1:$I$89,3,0)*0.475*44/12</f>
        <v>0.80274902667936177</v>
      </c>
      <c r="AX96" s="23">
        <f t="shared" si="60"/>
        <v>67.077458475205546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-1.064108801074326E-13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262.36903350767881</v>
      </c>
      <c r="BJ96" s="62">
        <f t="shared" si="92"/>
        <v>331.21009482262417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89.392794681561483</v>
      </c>
      <c r="BQ96" s="23">
        <f>EXP(-LN(2)/25)*BQ95+(1-EXP(-LN(2)/25))/(LN(2)/25)*Calculateur!BL96*Calculateur!BN96*VLOOKUP('Données projet'!$B$11,Paramètres!$A$1:$I$89,3,0)*0.475*44/12</f>
        <v>16.126030978512901</v>
      </c>
      <c r="BR96" s="23">
        <f>EXP(-LN(2)/2)*BR95+(1-EXP(-LN(2)/2))/(LN(2)/2)*BL96*BO96*VLOOKUP('Données projet'!$B$11,Paramètres!$A$1:$I$89,3,0)*0.475*44/12</f>
        <v>2.1493105518167292E-4</v>
      </c>
      <c r="BS96" s="24">
        <f t="shared" si="63"/>
        <v>105.51904059112957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8.2910000000000021</v>
      </c>
      <c r="BY96" s="13">
        <f>IF('Données projet'!$A$114&gt;35,BY95+BX96-CG95,IF(A96&lt;'Données projet'!$A$114,$BV$205^A96,IF(A96='Données projet'!$A$114,'Données projet'!$B$114,BY95+BX96-CG95)))</f>
        <v>338.49900000000025</v>
      </c>
      <c r="BZ96" s="14">
        <f>BY96*VLOOKUP('Données projet'!$B$12,Paramètres!$A$1:$I$89,3,0)*VLOOKUP('Données projet'!$B$12,Paramètres!$A$1:$I$89,5,0)</f>
        <v>327.39623280000023</v>
      </c>
      <c r="CA96" s="14">
        <f t="shared" si="93"/>
        <v>76.890231175377878</v>
      </c>
      <c r="CB96" s="22">
        <f t="shared" si="64"/>
        <v>704.13225809045025</v>
      </c>
      <c r="CC96" s="62">
        <f t="shared" si="65"/>
        <v>997.46559142378351</v>
      </c>
      <c r="CD96" s="62">
        <f ca="1">AVERAGE(OFFSET($CC$3,0,0,'Données projet'!$E$12+1,1))-AVERAGE(OFFSET($H$3,0,0,'Données projet'!$E$12+1,1))</f>
        <v>618.83149423524605</v>
      </c>
      <c r="CE96" s="62">
        <f t="shared" si="94"/>
        <v>285.33582535802435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24.384391862714139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24.384391862714139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349.5718186624772</v>
      </c>
      <c r="CZ96" s="62">
        <f t="shared" si="96"/>
        <v>258.14152930815959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156.04744716609929</v>
      </c>
      <c r="DG96" s="23">
        <f>EXP(-LN(2)/25)*DG95+(1-EXP(-LN(2)/25))/(LN(2)/25)*Calculateur!DB96*Calculateur!DD96*VLOOKUP('Données projet'!$B$13,Paramètres!$A$1:$I$89,3,0)*0.475*44/12</f>
        <v>22.003588506627338</v>
      </c>
      <c r="DH96" s="23">
        <f>EXP(-LN(2)/2)*DH95+(1-EXP(-LN(2)/2))/(LN(2)/2)*DB96*DE96*VLOOKUP('Données projet'!$B$13,Paramètres!$A$1:$I$89,3,0)*0.475*44/12</f>
        <v>0.35157267240836038</v>
      </c>
      <c r="DI96" s="24">
        <f t="shared" si="69"/>
        <v>178.40260834513501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2.8</v>
      </c>
      <c r="DO96" s="13">
        <f>IF('Données projet'!$A$166&gt;35,DO95+DN96-DW95,IF(A96&lt;'Données projet'!$A$166,$DL$205^A96,IF(A96='Données projet'!$A$166,'Données projet'!$B$166,DO95+DN96-DW95)))</f>
        <v>213.40000000000006</v>
      </c>
      <c r="DP96" s="18">
        <f>DO96*VLOOKUP('Données projet'!$B$14,Paramètres!$A$1:$I$89,3,0)*VLOOKUP('Données projet'!$B$14,Paramètres!$A$1:$I$89,5,0)</f>
        <v>186.42624000000009</v>
      </c>
      <c r="DQ96" s="14">
        <f t="shared" si="97"/>
        <v>46.748974211060826</v>
      </c>
      <c r="DR96" s="22">
        <f t="shared" si="70"/>
        <v>406.11349808426439</v>
      </c>
      <c r="DS96" s="62">
        <f t="shared" si="71"/>
        <v>699.44683141759765</v>
      </c>
      <c r="DT96" s="62">
        <f ca="1">AVERAGE(OFFSET($DS$3,0,0,'Données projet'!$E$14+1,1))-AVERAGE(OFFSET($H$3,0,0,'Données projet'!$E$14+1,1))</f>
        <v>300.63505444445104</v>
      </c>
      <c r="DU96" s="62">
        <f t="shared" si="98"/>
        <v>266.32508105927997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21.302806636482565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21.302806636482565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353.37024194969638</v>
      </c>
      <c r="EP96" s="62">
        <f t="shared" si="100"/>
        <v>345.4750813433123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120.02248055325798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120.02248055325798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8.5265128291212022E-14</v>
      </c>
      <c r="FF96" s="18">
        <f>FE96*VLOOKUP('Données projet'!$B$16,Paramètres!$A$1:$I$89,3,0)*VLOOKUP('Données projet'!$B$16,Paramètres!$A$1:$I$89,5,0)</f>
        <v>5.5865712056402117E-14</v>
      </c>
      <c r="FG96" s="14">
        <f t="shared" si="101"/>
        <v>8.9811031843713517E-13</v>
      </c>
      <c r="FH96" s="22">
        <f t="shared" si="76"/>
        <v>1.6615082531095774E-12</v>
      </c>
      <c r="FI96" s="62">
        <f t="shared" si="77"/>
        <v>293.33333333333496</v>
      </c>
      <c r="FJ96" s="62">
        <f ca="1">AVERAGE(OFFSET($FI$3,0,0,'Données projet'!$E$16+1,1))-AVERAGE(OFFSET($H$3,0,0,'Données projet'!$E$16+1,1))</f>
        <v>263.30962868541337</v>
      </c>
      <c r="FK96" s="62">
        <f t="shared" si="102"/>
        <v>269.61868559913404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77.613933725494192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77.613933725494192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5.9170000000000016</v>
      </c>
      <c r="N97" s="14">
        <f>IF('Données projet'!$A$36&gt;35,N96+M97-V96,IF(A97&lt;'Données projet'!$A$36,$K$205^A97,IF(A97='Données projet'!$A$36,'Données projet'!$B$36,N96+M97-V96)))</f>
        <v>249.72800000000004</v>
      </c>
      <c r="O97" s="14">
        <f>N97*VLOOKUP('Données projet'!$B$9,Paramètres!$A$1:$I$89,3,0)*VLOOKUP('Données projet'!$B$9,Paramètres!$A$1:$I$89,5,0)</f>
        <v>149.33734400000003</v>
      </c>
      <c r="P97" s="14">
        <f t="shared" si="87"/>
        <v>38.427955884681651</v>
      </c>
      <c r="Q97" s="22">
        <f t="shared" si="54"/>
        <v>327.02456396582056</v>
      </c>
      <c r="R97" s="62">
        <f t="shared" si="55"/>
        <v>620.35789729915382</v>
      </c>
      <c r="S97" s="62">
        <f ca="1">AVERAGE(OFFSET($R$3,0,0,'Données projet'!$E$9+1,1))-AVERAGE(OFFSET($H$3,0,0,'Données projet'!$E$9+1,1))</f>
        <v>262.06511368698341</v>
      </c>
      <c r="T97" s="62">
        <f t="shared" si="88"/>
        <v>217.15709240080542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42.078918111068809</v>
      </c>
      <c r="AA97" s="23">
        <f>EXP(-LN(2)/25)*AA96+(1-EXP(-LN(2)/25))/(LN(2)/25)*Calculateur!V97*Calculateur!X97*VLOOKUP('Données projet'!$B$9,Paramètres!$A$1:$I$89,3,0)*0.475*44/12</f>
        <v>9.4679742965115956</v>
      </c>
      <c r="AB97" s="23">
        <f>EXP(-LN(2)/2)*AB96+(1-EXP(-LN(2)/2))/(LN(2)/2)*V97*Y97*VLOOKUP('Données projet'!$B$9,Paramètres!$A$1:$I$89,3,0)*0.475*44/12</f>
        <v>1.0120592456419355</v>
      </c>
      <c r="AC97" s="24">
        <f t="shared" si="57"/>
        <v>52.558951653222337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9.2716666666666665</v>
      </c>
      <c r="AI97" s="14">
        <f>IF('Données projet'!$A$62&gt;35,AI96+AH97-AQ96,IF(A97&lt;'Données projet'!$A$62,$AF$205^A97,IF(A97='Données projet'!$A$62,'Données projet'!$B$62,AI96+AH97-AQ96)))</f>
        <v>393.88166666666655</v>
      </c>
      <c r="AJ97" s="14">
        <f>AI97*VLOOKUP('Données projet'!$B$10,Paramètres!$A$1:$I$89,3,0)*VLOOKUP('Données projet'!$B$10,Paramètres!$A$1:$I$89,5,0)</f>
        <v>184.33661999999995</v>
      </c>
      <c r="AK97" s="14">
        <f t="shared" si="89"/>
        <v>46.285663353150817</v>
      </c>
      <c r="AL97" s="22">
        <f t="shared" si="58"/>
        <v>401.66714350673755</v>
      </c>
      <c r="AM97" s="62">
        <f t="shared" si="59"/>
        <v>695.00047684007086</v>
      </c>
      <c r="AN97" s="62">
        <f ca="1">AVERAGE(OFFSET($AM$3,0,0,'Données projet'!$E$10+1,1))-AVERAGE(OFFSET($H$3,0,0,'Données projet'!$E$10+1,1))</f>
        <v>287.83167869616227</v>
      </c>
      <c r="AO97" s="62">
        <f t="shared" si="90"/>
        <v>233.84231920589906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48.318581677225957</v>
      </c>
      <c r="AV97" s="23">
        <f>EXP(-LN(2)/25)*AV96+(1-EXP(-LN(2)/25))/(LN(2)/25)*Calculateur!AQ97*Calculateur!AS97*VLOOKUP('Données projet'!$B$10,Paramètres!$A$1:$I$89,3,0)*0.475*44/12</f>
        <v>16.525094724253304</v>
      </c>
      <c r="AW97" s="23">
        <f>EXP(-LN(2)/2)*AW96+(1-EXP(-LN(2)/2))/(LN(2)/2)*AQ97*AT97*VLOOKUP('Données projet'!$B$10,Paramètres!$A$1:$I$89,3,0)*0.475*44/12</f>
        <v>0.56762928035587745</v>
      </c>
      <c r="AX97" s="23">
        <f t="shared" si="60"/>
        <v>65.411305681835131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-1.064108801074326E-13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262.36903350767881</v>
      </c>
      <c r="BJ97" s="62">
        <f t="shared" si="92"/>
        <v>331.21009482262417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87.639856502076995</v>
      </c>
      <c r="BQ97" s="23">
        <f>EXP(-LN(2)/25)*BQ96+(1-EXP(-LN(2)/25))/(LN(2)/25)*Calculateur!BL97*Calculateur!BN97*VLOOKUP('Données projet'!$B$11,Paramètres!$A$1:$I$89,3,0)*0.475*44/12</f>
        <v>15.685063813374352</v>
      </c>
      <c r="BR97" s="23">
        <f>EXP(-LN(2)/2)*BR96+(1-EXP(-LN(2)/2))/(LN(2)/2)*BL97*BO97*VLOOKUP('Données projet'!$B$11,Paramètres!$A$1:$I$89,3,0)*0.475*44/12</f>
        <v>1.5197920660654096E-4</v>
      </c>
      <c r="BS97" s="24">
        <f t="shared" si="63"/>
        <v>103.32507229465796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>
        <f>VLOOKUP(A97,'Données projet'!$A$113:$I$133,2,0)</f>
        <v>346.79</v>
      </c>
      <c r="BW97" s="13">
        <f>VLOOKUP(A97,'Données projet'!$A$113:$I$133,9,0)</f>
        <v>8.2910000000000021</v>
      </c>
      <c r="BX97" s="13">
        <f t="array" ref="BX97">INDEX(BW:BW,MIN(IF(ISNUMBER(BW97:BW293),ROW(BW97:BW293),"")))</f>
        <v>8.2910000000000021</v>
      </c>
      <c r="BY97" s="13">
        <f>IF('Données projet'!$A$114&gt;35,BY96+BX97-CG96,IF(A97&lt;'Données projet'!$A$114,$BV$205^A97,IF(A97='Données projet'!$A$114,'Données projet'!$B$114,BY96+BX97-CG96)))</f>
        <v>346.79000000000025</v>
      </c>
      <c r="BZ97" s="14">
        <f>BY97*VLOOKUP('Données projet'!$B$12,Paramètres!$A$1:$I$89,3,0)*VLOOKUP('Données projet'!$B$12,Paramètres!$A$1:$I$89,5,0)</f>
        <v>335.41528800000026</v>
      </c>
      <c r="CA97" s="14">
        <f t="shared" si="93"/>
        <v>78.551968756441127</v>
      </c>
      <c r="CB97" s="22">
        <f t="shared" si="64"/>
        <v>720.9929721841354</v>
      </c>
      <c r="CC97" s="62">
        <f t="shared" si="65"/>
        <v>1014.3263055174687</v>
      </c>
      <c r="CD97" s="62">
        <f ca="1">AVERAGE(OFFSET($CC$3,0,0,'Données projet'!$E$12+1,1))-AVERAGE(OFFSET($H$3,0,0,'Données projet'!$E$12+1,1))</f>
        <v>618.83149423524605</v>
      </c>
      <c r="CE97" s="62">
        <f t="shared" si="94"/>
        <v>285.33582535802435</v>
      </c>
      <c r="CF97" s="16">
        <f>IF(ISNA(VLOOKUP(A97,'Données projet'!$A$113:$I$133,3,0)),0,VLOOKUP(A97,'Données projet'!$A$113:$I$133,3,0))</f>
        <v>7</v>
      </c>
      <c r="CG97" s="16">
        <f>IF(ISNA(VLOOKUP(A97,'Données projet'!$A$113:$I$133,4,0)),0,VLOOKUP(A97,'Données projet'!$A$113:$I$133,4,0))</f>
        <v>61.85</v>
      </c>
      <c r="CH97" s="17">
        <f>IF(ISNA(VLOOKUP(A97,'Données projet'!$A$113:$I$133,5,0)),0%,VLOOKUP(A97,'Données projet'!$A$113:$I$133,5,0)*VLOOKUP('Données projet'!$B$12,Paramètres!$A$1:$I$89,7,0))</f>
        <v>0.215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38.124328736077608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38.124328736077608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349.5718186624772</v>
      </c>
      <c r="CZ97" s="62">
        <f t="shared" si="96"/>
        <v>258.14152930815959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152.98745190671664</v>
      </c>
      <c r="DG97" s="23">
        <f>EXP(-LN(2)/25)*DG96+(1-EXP(-LN(2)/25))/(LN(2)/25)*Calculateur!DB97*Calculateur!DD97*VLOOKUP('Données projet'!$B$13,Paramètres!$A$1:$I$89,3,0)*0.475*44/12</f>
        <v>21.401899221795183</v>
      </c>
      <c r="DH97" s="23">
        <f>EXP(-LN(2)/2)*DH96+(1-EXP(-LN(2)/2))/(LN(2)/2)*DB97*DE97*VLOOKUP('Données projet'!$B$13,Paramètres!$A$1:$I$89,3,0)*0.475*44/12</f>
        <v>0.24859942073982824</v>
      </c>
      <c r="DI97" s="24">
        <f t="shared" si="69"/>
        <v>174.63795054925166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2.8</v>
      </c>
      <c r="DO97" s="13">
        <f>IF('Données projet'!$A$166&gt;35,DO96+DN97-DW96,IF(A97&lt;'Données projet'!$A$166,$DL$205^A97,IF(A97='Données projet'!$A$166,'Données projet'!$B$166,DO96+DN97-DW96)))</f>
        <v>216.20000000000007</v>
      </c>
      <c r="DP97" s="18">
        <f>DO97*VLOOKUP('Données projet'!$B$14,Paramètres!$A$1:$I$89,3,0)*VLOOKUP('Données projet'!$B$14,Paramètres!$A$1:$I$89,5,0)</f>
        <v>188.87232000000009</v>
      </c>
      <c r="DQ97" s="14">
        <f t="shared" si="97"/>
        <v>47.290552503862891</v>
      </c>
      <c r="DR97" s="22">
        <f t="shared" si="70"/>
        <v>411.31700294422802</v>
      </c>
      <c r="DS97" s="62">
        <f t="shared" si="71"/>
        <v>704.65033627756134</v>
      </c>
      <c r="DT97" s="62">
        <f ca="1">AVERAGE(OFFSET($DS$3,0,0,'Données projet'!$E$14+1,1))-AVERAGE(OFFSET($H$3,0,0,'Données projet'!$E$14+1,1))</f>
        <v>300.63505444445104</v>
      </c>
      <c r="DU97" s="62">
        <f t="shared" si="98"/>
        <v>266.32508105927997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20.885071591770195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20.885071591770195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353.37024194969638</v>
      </c>
      <c r="EP97" s="62">
        <f t="shared" si="100"/>
        <v>345.4750813433123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117.66891291609319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117.66891291609319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8.5265128291212022E-14</v>
      </c>
      <c r="FF97" s="18">
        <f>FE97*VLOOKUP('Données projet'!$B$16,Paramètres!$A$1:$I$89,3,0)*VLOOKUP('Données projet'!$B$16,Paramètres!$A$1:$I$89,5,0)</f>
        <v>5.5865712056402117E-14</v>
      </c>
      <c r="FG97" s="14">
        <f t="shared" si="101"/>
        <v>8.9811031843713517E-13</v>
      </c>
      <c r="FH97" s="22">
        <f t="shared" si="76"/>
        <v>1.6615082531095774E-12</v>
      </c>
      <c r="FI97" s="62">
        <f t="shared" si="77"/>
        <v>293.33333333333496</v>
      </c>
      <c r="FJ97" s="62">
        <f ca="1">AVERAGE(OFFSET($FI$3,0,0,'Données projet'!$E$16+1,1))-AVERAGE(OFFSET($H$3,0,0,'Données projet'!$E$16+1,1))</f>
        <v>263.30962868541337</v>
      </c>
      <c r="FK97" s="62">
        <f t="shared" si="102"/>
        <v>269.61868559913404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76.0919718249624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76.0919718249624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5.9170000000000016</v>
      </c>
      <c r="N98" s="14">
        <f>IF('Données projet'!$A$36&gt;35,N97+M98-V97,IF(A98&lt;'Données projet'!$A$36,$K$205^A98,IF(A98='Données projet'!$A$36,'Données projet'!$B$36,N97+M98-V97)))</f>
        <v>255.64500000000004</v>
      </c>
      <c r="O98" s="14">
        <f>N98*VLOOKUP('Données projet'!$B$9,Paramètres!$A$1:$I$89,3,0)*VLOOKUP('Données projet'!$B$9,Paramètres!$A$1:$I$89,5,0)</f>
        <v>152.87571000000003</v>
      </c>
      <c r="P98" s="14">
        <f t="shared" si="87"/>
        <v>39.231377010999772</v>
      </c>
      <c r="Q98" s="22">
        <f t="shared" si="54"/>
        <v>334.58650987749132</v>
      </c>
      <c r="R98" s="62">
        <f t="shared" si="55"/>
        <v>627.91984321082464</v>
      </c>
      <c r="S98" s="62">
        <f ca="1">AVERAGE(OFFSET($R$3,0,0,'Données projet'!$E$9+1,1))-AVERAGE(OFFSET($H$3,0,0,'Données projet'!$E$9+1,1))</f>
        <v>262.06511368698341</v>
      </c>
      <c r="T98" s="62">
        <f t="shared" si="88"/>
        <v>217.15709240080542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41.253776192516533</v>
      </c>
      <c r="AA98" s="23">
        <f>EXP(-LN(2)/25)*AA97+(1-EXP(-LN(2)/25))/(LN(2)/25)*Calculateur!V98*Calculateur!X98*VLOOKUP('Données projet'!$B$9,Paramètres!$A$1:$I$89,3,0)*0.475*44/12</f>
        <v>9.2090720414743572</v>
      </c>
      <c r="AB98" s="23">
        <f>EXP(-LN(2)/2)*AB97+(1-EXP(-LN(2)/2))/(LN(2)/2)*V98*Y98*VLOOKUP('Données projet'!$B$9,Paramètres!$A$1:$I$89,3,0)*0.475*44/12</f>
        <v>0.71563395555595444</v>
      </c>
      <c r="AC98" s="24">
        <f t="shared" si="57"/>
        <v>51.178482189546841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9.2716666666666665</v>
      </c>
      <c r="AI98" s="14">
        <f>IF('Données projet'!$A$62&gt;35,AI97+AH98-AQ97,IF(A98&lt;'Données projet'!$A$62,$AF$205^A98,IF(A98='Données projet'!$A$62,'Données projet'!$B$62,AI97+AH98-AQ97)))</f>
        <v>403.15333333333319</v>
      </c>
      <c r="AJ98" s="14">
        <f>AI98*VLOOKUP('Données projet'!$B$10,Paramètres!$A$1:$I$89,3,0)*VLOOKUP('Données projet'!$B$10,Paramètres!$A$1:$I$89,5,0)</f>
        <v>188.67575999999994</v>
      </c>
      <c r="AK98" s="14">
        <f t="shared" si="89"/>
        <v>47.247063121703242</v>
      </c>
      <c r="AL98" s="22">
        <f t="shared" si="58"/>
        <v>410.89891693696637</v>
      </c>
      <c r="AM98" s="62">
        <f t="shared" si="59"/>
        <v>704.23225027029969</v>
      </c>
      <c r="AN98" s="62">
        <f ca="1">AVERAGE(OFFSET($AM$3,0,0,'Données projet'!$E$10+1,1))-AVERAGE(OFFSET($H$3,0,0,'Données projet'!$E$10+1,1))</f>
        <v>287.83167869616227</v>
      </c>
      <c r="AO98" s="62">
        <f t="shared" si="90"/>
        <v>233.84231920589906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47.371083761960321</v>
      </c>
      <c r="AV98" s="23">
        <f>EXP(-LN(2)/25)*AV97+(1-EXP(-LN(2)/25))/(LN(2)/25)*Calculateur!AQ98*Calculateur!AS98*VLOOKUP('Données projet'!$B$10,Paramètres!$A$1:$I$89,3,0)*0.475*44/12</f>
        <v>16.073215140001633</v>
      </c>
      <c r="AW98" s="23">
        <f>EXP(-LN(2)/2)*AW97+(1-EXP(-LN(2)/2))/(LN(2)/2)*AQ98*AT98*VLOOKUP('Données projet'!$B$10,Paramètres!$A$1:$I$89,3,0)*0.475*44/12</f>
        <v>0.40137451333968088</v>
      </c>
      <c r="AX98" s="23">
        <f t="shared" si="60"/>
        <v>63.84567341530164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-1.064108801074326E-13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262.36903350767881</v>
      </c>
      <c r="BJ98" s="62">
        <f t="shared" si="92"/>
        <v>331.21009482262417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85.92129237110548</v>
      </c>
      <c r="BQ98" s="23">
        <f>EXP(-LN(2)/25)*BQ97+(1-EXP(-LN(2)/25))/(LN(2)/25)*Calculateur!BL98*Calculateur!BN98*VLOOKUP('Données projet'!$B$11,Paramètres!$A$1:$I$89,3,0)*0.475*44/12</f>
        <v>15.256154918555973</v>
      </c>
      <c r="BR98" s="23">
        <f>EXP(-LN(2)/2)*BR97+(1-EXP(-LN(2)/2))/(LN(2)/2)*BL98*BO98*VLOOKUP('Données projet'!$B$11,Paramètres!$A$1:$I$89,3,0)*0.475*44/12</f>
        <v>1.0746552759083646E-4</v>
      </c>
      <c r="BS98" s="24">
        <f t="shared" si="63"/>
        <v>101.17755475518905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8.0470000000000024</v>
      </c>
      <c r="BY98" s="13">
        <f>IF('Données projet'!$A$114&gt;35,BY97+BX98-CG97,IF(A98&lt;'Données projet'!$A$114,$BV$205^A98,IF(A98='Données projet'!$A$114,'Données projet'!$B$114,BY97+BX98-CG97)))</f>
        <v>292.98700000000025</v>
      </c>
      <c r="BZ98" s="14">
        <f>BY98*VLOOKUP('Données projet'!$B$12,Paramètres!$A$1:$I$89,3,0)*VLOOKUP('Données projet'!$B$12,Paramètres!$A$1:$I$89,5,0)</f>
        <v>283.37702640000026</v>
      </c>
      <c r="CA98" s="14">
        <f t="shared" si="93"/>
        <v>67.68017292381127</v>
      </c>
      <c r="CB98" s="22">
        <f t="shared" si="64"/>
        <v>611.42462215563842</v>
      </c>
      <c r="CC98" s="62">
        <f t="shared" si="65"/>
        <v>904.75795548897167</v>
      </c>
      <c r="CD98" s="62">
        <f ca="1">AVERAGE(OFFSET($CC$3,0,0,'Données projet'!$E$12+1,1))-AVERAGE(OFFSET($H$3,0,0,'Données projet'!$E$12+1,1))</f>
        <v>618.83149423524605</v>
      </c>
      <c r="CE98" s="62">
        <f t="shared" si="94"/>
        <v>285.33582535802435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37.376733903107557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37.376733903107557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349.5718186624772</v>
      </c>
      <c r="CZ98" s="62">
        <f t="shared" si="96"/>
        <v>258.14152930815959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149.9874612879577</v>
      </c>
      <c r="DG98" s="23">
        <f>EXP(-LN(2)/25)*DG97+(1-EXP(-LN(2)/25))/(LN(2)/25)*Calculateur!DB98*Calculateur!DD98*VLOOKUP('Données projet'!$B$13,Paramètres!$A$1:$I$89,3,0)*0.475*44/12</f>
        <v>20.81666316209823</v>
      </c>
      <c r="DH98" s="23">
        <f>EXP(-LN(2)/2)*DH97+(1-EXP(-LN(2)/2))/(LN(2)/2)*DB98*DE98*VLOOKUP('Données projet'!$B$13,Paramètres!$A$1:$I$89,3,0)*0.475*44/12</f>
        <v>0.17578633620418022</v>
      </c>
      <c r="DI98" s="24">
        <f t="shared" si="69"/>
        <v>170.97991078626009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219</v>
      </c>
      <c r="DM98" s="13">
        <f>VLOOKUP(A98,'Données projet'!$A$165:$I$185,9,0)</f>
        <v>2.8</v>
      </c>
      <c r="DN98" s="13">
        <f t="array" ref="DN98">INDEX(DM:DM,MIN(IF(ISNUMBER(DM98:DM294),ROW(DM98:DM294),"")))</f>
        <v>2.8</v>
      </c>
      <c r="DO98" s="13">
        <f>IF('Données projet'!$A$166&gt;35,DO97+DN98-DW97,IF(A98&lt;'Données projet'!$A$166,$DL$205^A98,IF(A98='Données projet'!$A$166,'Données projet'!$B$166,DO97+DN98-DW97)))</f>
        <v>219.00000000000009</v>
      </c>
      <c r="DP98" s="18">
        <f>DO98*VLOOKUP('Données projet'!$B$14,Paramètres!$A$1:$I$89,3,0)*VLOOKUP('Données projet'!$B$14,Paramètres!$A$1:$I$89,5,0)</f>
        <v>191.31840000000008</v>
      </c>
      <c r="DQ98" s="14">
        <f t="shared" si="97"/>
        <v>47.831314962098396</v>
      </c>
      <c r="DR98" s="22">
        <f t="shared" si="70"/>
        <v>416.51908689232147</v>
      </c>
      <c r="DS98" s="62">
        <f t="shared" si="71"/>
        <v>709.85242022565478</v>
      </c>
      <c r="DT98" s="62">
        <f ca="1">AVERAGE(OFFSET($DS$3,0,0,'Données projet'!$E$14+1,1))-AVERAGE(OFFSET($H$3,0,0,'Données projet'!$E$14+1,1))</f>
        <v>300.63505444445104</v>
      </c>
      <c r="DU98" s="62">
        <f t="shared" si="98"/>
        <v>266.32508105927997</v>
      </c>
      <c r="DV98" s="16">
        <f>IF(ISNA(VLOOKUP(A98,'Données projet'!$A$165:$I$185,3,0)),0,VLOOKUP(A98,'Données projet'!$A$165:$I$185,3,0))</f>
        <v>18</v>
      </c>
      <c r="DW98" s="16">
        <f>IF(ISNA(VLOOKUP(A98,'Données projet'!$A$165:$I$185,4,0)),0,VLOOKUP(A98,'Données projet'!$A$165:$I$185,4,0))</f>
        <v>11</v>
      </c>
      <c r="DX98" s="17">
        <f>IF(ISNA(VLOOKUP(A98,'Données projet'!$A$165:$I$185,5,0)),0%,VLOOKUP(A98,'Données projet'!$A$165:$I$185,5,0)*VLOOKUP('Données projet'!$B$14,Paramètres!$A$1:$I$89,7,0))</f>
        <v>0.34400000000000003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24.129884163242401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24.129884163242401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353.37024194969638</v>
      </c>
      <c r="EP98" s="62">
        <f t="shared" si="100"/>
        <v>345.4750813433123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115.36149730475869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115.36149730475869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8.5265128291212022E-14</v>
      </c>
      <c r="FF98" s="18">
        <f>FE98*VLOOKUP('Données projet'!$B$16,Paramètres!$A$1:$I$89,3,0)*VLOOKUP('Données projet'!$B$16,Paramètres!$A$1:$I$89,5,0)</f>
        <v>5.5865712056402117E-14</v>
      </c>
      <c r="FG98" s="14">
        <f t="shared" si="101"/>
        <v>8.9811031843713517E-13</v>
      </c>
      <c r="FH98" s="22">
        <f t="shared" si="76"/>
        <v>1.6615082531095774E-12</v>
      </c>
      <c r="FI98" s="62">
        <f t="shared" si="77"/>
        <v>293.33333333333496</v>
      </c>
      <c r="FJ98" s="62">
        <f ca="1">AVERAGE(OFFSET($FI$3,0,0,'Données projet'!$E$16+1,1))-AVERAGE(OFFSET($H$3,0,0,'Données projet'!$E$16+1,1))</f>
        <v>263.30962868541337</v>
      </c>
      <c r="FK98" s="62">
        <f t="shared" si="102"/>
        <v>269.61868559913404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74.599854668994936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74.599854668994936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5.9170000000000016</v>
      </c>
      <c r="N99" s="14">
        <f>IF('Données projet'!$A$36&gt;35,N98+M99-V98,IF(A99&lt;'Données projet'!$A$36,$K$205^A99,IF(A99='Données projet'!$A$36,'Données projet'!$B$36,N98+M99-V98)))</f>
        <v>261.56200000000001</v>
      </c>
      <c r="O99" s="14">
        <f>N99*VLOOKUP('Données projet'!$B$9,Paramètres!$A$1:$I$89,3,0)*VLOOKUP('Données projet'!$B$9,Paramètres!$A$1:$I$89,5,0)</f>
        <v>156.41407600000002</v>
      </c>
      <c r="P99" s="14">
        <f t="shared" si="87"/>
        <v>40.032636331959992</v>
      </c>
      <c r="Q99" s="22">
        <f t="shared" ref="Q99:Q130" si="107">(O99+P99)*0.475*44/12</f>
        <v>342.1446906448304</v>
      </c>
      <c r="R99" s="62">
        <f t="shared" si="55"/>
        <v>635.47802397816372</v>
      </c>
      <c r="S99" s="62">
        <f ca="1">AVERAGE(OFFSET($R$3,0,0,'Données projet'!$E$9+1,1))-AVERAGE(OFFSET($H$3,0,0,'Données projet'!$E$9+1,1))</f>
        <v>262.06511368698341</v>
      </c>
      <c r="T99" s="62">
        <f t="shared" si="88"/>
        <v>217.15709240080542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40.44481480370019</v>
      </c>
      <c r="AA99" s="23">
        <f>EXP(-LN(2)/25)*AA98+(1-EXP(-LN(2)/25))/(LN(2)/25)*Calculateur!V99*Calculateur!X99*VLOOKUP('Données projet'!$B$9,Paramètres!$A$1:$I$89,3,0)*0.475*44/12</f>
        <v>8.9572494822161897</v>
      </c>
      <c r="AB99" s="23">
        <f>EXP(-LN(2)/2)*AB98+(1-EXP(-LN(2)/2))/(LN(2)/2)*V99*Y99*VLOOKUP('Données projet'!$B$9,Paramètres!$A$1:$I$89,3,0)*0.475*44/12</f>
        <v>0.50602962282096775</v>
      </c>
      <c r="AC99" s="24">
        <f t="shared" si="57"/>
        <v>49.908093908737349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9.2716666666666665</v>
      </c>
      <c r="AI99" s="14">
        <f>IF('Données projet'!$A$62&gt;35,AI98+AH99-AQ98,IF(A99&lt;'Données projet'!$A$62,$AF$205^A99,IF(A99='Données projet'!$A$62,'Données projet'!$B$62,AI98+AH99-AQ98)))</f>
        <v>412.42499999999984</v>
      </c>
      <c r="AJ99" s="14">
        <f>AI99*VLOOKUP('Données projet'!$B$10,Paramètres!$A$1:$I$89,3,0)*VLOOKUP('Données projet'!$B$10,Paramètres!$A$1:$I$89,5,0)</f>
        <v>193.01489999999993</v>
      </c>
      <c r="AK99" s="14">
        <f t="shared" si="89"/>
        <v>48.205892471690547</v>
      </c>
      <c r="AL99" s="22">
        <f t="shared" si="58"/>
        <v>420.1262135548609</v>
      </c>
      <c r="AM99" s="62">
        <f t="shared" si="59"/>
        <v>713.45954688819415</v>
      </c>
      <c r="AN99" s="62">
        <f ca="1">AVERAGE(OFFSET($AM$3,0,0,'Données projet'!$E$10+1,1))-AVERAGE(OFFSET($H$3,0,0,'Données projet'!$E$10+1,1))</f>
        <v>287.83167869616227</v>
      </c>
      <c r="AO99" s="62">
        <f t="shared" si="90"/>
        <v>233.84231920589906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46.442165702896375</v>
      </c>
      <c r="AV99" s="23">
        <f>EXP(-LN(2)/25)*AV98+(1-EXP(-LN(2)/25))/(LN(2)/25)*Calculateur!AQ99*Calculateur!AS99*VLOOKUP('Données projet'!$B$10,Paramètres!$A$1:$I$89,3,0)*0.475*44/12</f>
        <v>15.633692226744639</v>
      </c>
      <c r="AW99" s="23">
        <f>EXP(-LN(2)/2)*AW98+(1-EXP(-LN(2)/2))/(LN(2)/2)*AQ99*AT99*VLOOKUP('Données projet'!$B$10,Paramètres!$A$1:$I$89,3,0)*0.475*44/12</f>
        <v>0.28381464017793873</v>
      </c>
      <c r="AX99" s="23">
        <f t="shared" si="60"/>
        <v>62.359672569818954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-1.064108801074326E-13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262.36903350767881</v>
      </c>
      <c r="BJ99" s="62">
        <f t="shared" si="92"/>
        <v>331.21009482262417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84.236428234521711</v>
      </c>
      <c r="BQ99" s="23">
        <f>EXP(-LN(2)/25)*BQ98+(1-EXP(-LN(2)/25))/(LN(2)/25)*Calculateur!BL99*Calculateur!BN99*VLOOKUP('Données projet'!$B$11,Paramètres!$A$1:$I$89,3,0)*0.475*44/12</f>
        <v>14.838974560021741</v>
      </c>
      <c r="BR99" s="23">
        <f>EXP(-LN(2)/2)*BR98+(1-EXP(-LN(2)/2))/(LN(2)/2)*BL99*BO99*VLOOKUP('Données projet'!$B$11,Paramètres!$A$1:$I$89,3,0)*0.475*44/12</f>
        <v>7.598960330327048E-5</v>
      </c>
      <c r="BS99" s="24">
        <f t="shared" si="63"/>
        <v>99.075478784146753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8.0470000000000024</v>
      </c>
      <c r="BY99" s="13">
        <f>IF('Données projet'!$A$114&gt;35,BY98+BX99-CG98,IF(A99&lt;'Données projet'!$A$114,$BV$205^A99,IF(A99='Données projet'!$A$114,'Données projet'!$B$114,BY98+BX99-CG98)))</f>
        <v>301.03400000000028</v>
      </c>
      <c r="BZ99" s="14">
        <f>BY99*VLOOKUP('Données projet'!$B$12,Paramètres!$A$1:$I$89,3,0)*VLOOKUP('Données projet'!$B$12,Paramètres!$A$1:$I$89,5,0)</f>
        <v>291.16008480000028</v>
      </c>
      <c r="CA99" s="14">
        <f t="shared" si="93"/>
        <v>69.320064193077258</v>
      </c>
      <c r="CB99" s="22">
        <f t="shared" si="64"/>
        <v>627.83625949627674</v>
      </c>
      <c r="CC99" s="62">
        <f t="shared" si="65"/>
        <v>921.16959282961011</v>
      </c>
      <c r="CD99" s="62">
        <f ca="1">AVERAGE(OFFSET($CC$3,0,0,'Données projet'!$E$12+1,1))-AVERAGE(OFFSET($H$3,0,0,'Données projet'!$E$12+1,1))</f>
        <v>618.83149423524605</v>
      </c>
      <c r="CE99" s="62">
        <f t="shared" si="94"/>
        <v>285.33582535802435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36.643798948824227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36.643798948824227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349.5718186624772</v>
      </c>
      <c r="CZ99" s="62">
        <f t="shared" si="96"/>
        <v>258.14152930815959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147.04629865541901</v>
      </c>
      <c r="DG99" s="23">
        <f>EXP(-LN(2)/25)*DG98+(1-EXP(-LN(2)/25))/(LN(2)/25)*Calculateur!DB99*Calculateur!DD99*VLOOKUP('Données projet'!$B$13,Paramètres!$A$1:$I$89,3,0)*0.475*44/12</f>
        <v>20.247430413229914</v>
      </c>
      <c r="DH99" s="23">
        <f>EXP(-LN(2)/2)*DH98+(1-EXP(-LN(2)/2))/(LN(2)/2)*DB99*DE99*VLOOKUP('Données projet'!$B$13,Paramètres!$A$1:$I$89,3,0)*0.475*44/12</f>
        <v>0.12429971036991415</v>
      </c>
      <c r="DI99" s="24">
        <f t="shared" si="69"/>
        <v>167.41802877901884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</v>
      </c>
      <c r="DO99" s="13">
        <f>IF('Données projet'!$A$166&gt;35,DO98+DN99-DW98,IF(A99&lt;'Données projet'!$A$166,$DL$205^A99,IF(A99='Données projet'!$A$166,'Données projet'!$B$166,DO98+DN99-DW98)))</f>
        <v>211.00000000000009</v>
      </c>
      <c r="DP99" s="18">
        <f>DO99*VLOOKUP('Données projet'!$B$14,Paramètres!$A$1:$I$89,3,0)*VLOOKUP('Données projet'!$B$14,Paramètres!$A$1:$I$89,5,0)</f>
        <v>184.32960000000008</v>
      </c>
      <c r="DQ99" s="14">
        <f t="shared" si="97"/>
        <v>46.284105851003098</v>
      </c>
      <c r="DR99" s="22">
        <f t="shared" si="70"/>
        <v>401.65220435716384</v>
      </c>
      <c r="DS99" s="62">
        <f t="shared" si="71"/>
        <v>694.98553769049715</v>
      </c>
      <c r="DT99" s="62">
        <f ca="1">AVERAGE(OFFSET($DS$3,0,0,'Données projet'!$E$14+1,1))-AVERAGE(OFFSET($H$3,0,0,'Données projet'!$E$14+1,1))</f>
        <v>300.63505444445104</v>
      </c>
      <c r="DU99" s="62">
        <f t="shared" si="98"/>
        <v>266.32508105927997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23.656711852577299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23.656711852577299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353.37024194969638</v>
      </c>
      <c r="EP99" s="62">
        <f t="shared" si="100"/>
        <v>345.4750813433123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113.0993287061779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113.0993287061779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8.5265128291212022E-14</v>
      </c>
      <c r="FF99" s="18">
        <f>FE99*VLOOKUP('Données projet'!$B$16,Paramètres!$A$1:$I$89,3,0)*VLOOKUP('Données projet'!$B$16,Paramètres!$A$1:$I$89,5,0)</f>
        <v>5.5865712056402117E-14</v>
      </c>
      <c r="FG99" s="14">
        <f t="shared" si="101"/>
        <v>8.9811031843713517E-13</v>
      </c>
      <c r="FH99" s="22">
        <f t="shared" si="76"/>
        <v>1.6615082531095774E-12</v>
      </c>
      <c r="FI99" s="62">
        <f t="shared" si="77"/>
        <v>293.33333333333496</v>
      </c>
      <c r="FJ99" s="62">
        <f ca="1">AVERAGE(OFFSET($FI$3,0,0,'Données projet'!$E$16+1,1))-AVERAGE(OFFSET($H$3,0,0,'Données projet'!$E$16+1,1))</f>
        <v>263.30962868541337</v>
      </c>
      <c r="FK99" s="62">
        <f t="shared" si="102"/>
        <v>269.61868559913404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73.1369970203544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73.1369970203544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5.9170000000000016</v>
      </c>
      <c r="N100" s="14">
        <f>IF('Données projet'!$A$36&gt;35,N99+M100-V99,IF(A100&lt;'Données projet'!$A$36,$K$205^A100,IF(A100='Données projet'!$A$36,'Données projet'!$B$36,N99+M100-V99)))</f>
        <v>267.47900000000004</v>
      </c>
      <c r="O100" s="14">
        <f>N100*VLOOKUP('Données projet'!$B$9,Paramètres!$A$1:$I$89,3,0)*VLOOKUP('Données projet'!$B$9,Paramètres!$A$1:$I$89,5,0)</f>
        <v>159.95244200000005</v>
      </c>
      <c r="P100" s="14">
        <f t="shared" si="87"/>
        <v>40.83178838145907</v>
      </c>
      <c r="Q100" s="22">
        <f t="shared" si="107"/>
        <v>349.69920124770789</v>
      </c>
      <c r="R100" s="62">
        <f t="shared" si="55"/>
        <v>643.0325345810412</v>
      </c>
      <c r="S100" s="62">
        <f ca="1">AVERAGE(OFFSET($R$3,0,0,'Données projet'!$E$9+1,1))-AVERAGE(OFFSET($H$3,0,0,'Données projet'!$E$9+1,1))</f>
        <v>262.06511368698341</v>
      </c>
      <c r="T100" s="62">
        <f t="shared" si="88"/>
        <v>217.15709240080542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39.651716654300806</v>
      </c>
      <c r="AA100" s="23">
        <f>EXP(-LN(2)/25)*AA99+(1-EXP(-LN(2)/25))/(LN(2)/25)*Calculateur!V100*Calculateur!X100*VLOOKUP('Données projet'!$B$9,Paramètres!$A$1:$I$89,3,0)*0.475*44/12</f>
        <v>8.7123130240837092</v>
      </c>
      <c r="AB100" s="23">
        <f>EXP(-LN(2)/2)*AB99+(1-EXP(-LN(2)/2))/(LN(2)/2)*V100*Y100*VLOOKUP('Données projet'!$B$9,Paramètres!$A$1:$I$89,3,0)*0.475*44/12</f>
        <v>0.35781697777797722</v>
      </c>
      <c r="AC100" s="24">
        <f t="shared" si="57"/>
        <v>48.721846656162491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9.2716666666666665</v>
      </c>
      <c r="AI100" s="14">
        <f>IF('Données projet'!$A$62&gt;35,AI99+AH100-AQ99,IF(A100&lt;'Données projet'!$A$62,$AF$205^A100,IF(A100='Données projet'!$A$62,'Données projet'!$B$62,AI99+AH100-AQ99)))</f>
        <v>421.69666666666649</v>
      </c>
      <c r="AJ100" s="14">
        <f>AI100*VLOOKUP('Données projet'!$B$10,Paramètres!$A$1:$I$89,3,0)*VLOOKUP('Données projet'!$B$10,Paramètres!$A$1:$I$89,5,0)</f>
        <v>197.35403999999994</v>
      </c>
      <c r="AK100" s="14">
        <f t="shared" si="89"/>
        <v>49.162215841153191</v>
      </c>
      <c r="AL100" s="22">
        <f t="shared" si="58"/>
        <v>429.34914559000839</v>
      </c>
      <c r="AM100" s="62">
        <f t="shared" si="59"/>
        <v>722.68247892334171</v>
      </c>
      <c r="AN100" s="62">
        <f ca="1">AVERAGE(OFFSET($AM$3,0,0,'Données projet'!$E$10+1,1))-AVERAGE(OFFSET($H$3,0,0,'Données projet'!$E$10+1,1))</f>
        <v>287.83167869616227</v>
      </c>
      <c r="AO100" s="62">
        <f t="shared" si="90"/>
        <v>233.84231920589906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45.531463160386608</v>
      </c>
      <c r="AV100" s="23">
        <f>EXP(-LN(2)/25)*AV99+(1-EXP(-LN(2)/25))/(LN(2)/25)*Calculateur!AQ100*Calculateur!AS100*VLOOKUP('Données projet'!$B$10,Paramètres!$A$1:$I$89,3,0)*0.475*44/12</f>
        <v>15.206188090664163</v>
      </c>
      <c r="AW100" s="23">
        <f>EXP(-LN(2)/2)*AW99+(1-EXP(-LN(2)/2))/(LN(2)/2)*AQ100*AT100*VLOOKUP('Données projet'!$B$10,Paramètres!$A$1:$I$89,3,0)*0.475*44/12</f>
        <v>0.20068725666984044</v>
      </c>
      <c r="AX100" s="23">
        <f t="shared" si="60"/>
        <v>60.938338507720609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-1.064108801074326E-13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262.36903350767881</v>
      </c>
      <c r="BJ100" s="62">
        <f t="shared" si="92"/>
        <v>331.21009482262417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82.5846032559907</v>
      </c>
      <c r="BQ100" s="23">
        <f>EXP(-LN(2)/25)*BQ99+(1-EXP(-LN(2)/25))/(LN(2)/25)*Calculateur!BL100*Calculateur!BN100*VLOOKUP('Données projet'!$B$11,Paramètres!$A$1:$I$89,3,0)*0.475*44/12</f>
        <v>14.433202020330191</v>
      </c>
      <c r="BR100" s="23">
        <f>EXP(-LN(2)/2)*BR99+(1-EXP(-LN(2)/2))/(LN(2)/2)*BL100*BO100*VLOOKUP('Données projet'!$B$11,Paramètres!$A$1:$I$89,3,0)*0.475*44/12</f>
        <v>5.3732763795418229E-5</v>
      </c>
      <c r="BS100" s="24">
        <f t="shared" si="63"/>
        <v>97.017859009084674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8.0470000000000024</v>
      </c>
      <c r="BY100" s="13">
        <f>IF('Données projet'!$A$114&gt;35,BY99+BX100-CG99,IF(A100&lt;'Données projet'!$A$114,$BV$205^A100,IF(A100='Données projet'!$A$114,'Données projet'!$B$114,BY99+BX100-CG99)))</f>
        <v>309.0810000000003</v>
      </c>
      <c r="BZ100" s="14">
        <f>BY100*VLOOKUP('Données projet'!$B$12,Paramètres!$A$1:$I$89,3,0)*VLOOKUP('Données projet'!$B$12,Paramètres!$A$1:$I$89,5,0)</f>
        <v>298.94314320000029</v>
      </c>
      <c r="CA100" s="14">
        <f t="shared" si="93"/>
        <v>70.954860210387238</v>
      </c>
      <c r="CB100" s="22">
        <f t="shared" si="64"/>
        <v>644.23902260642501</v>
      </c>
      <c r="CC100" s="62">
        <f t="shared" si="65"/>
        <v>937.57235593975838</v>
      </c>
      <c r="CD100" s="62">
        <f ca="1">AVERAGE(OFFSET($CC$3,0,0,'Données projet'!$E$12+1,1))-AVERAGE(OFFSET($H$3,0,0,'Données projet'!$E$12+1,1))</f>
        <v>618.83149423524605</v>
      </c>
      <c r="CE100" s="62">
        <f t="shared" si="94"/>
        <v>285.33582535802435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35.925236401948212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35.925236401948212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349.5718186624772</v>
      </c>
      <c r="CZ100" s="62">
        <f t="shared" si="96"/>
        <v>258.14152930815959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144.16281042817232</v>
      </c>
      <c r="DG100" s="23">
        <f>EXP(-LN(2)/25)*DG99+(1-EXP(-LN(2)/25))/(LN(2)/25)*Calculateur!DB100*Calculateur!DD100*VLOOKUP('Données projet'!$B$13,Paramètres!$A$1:$I$89,3,0)*0.475*44/12</f>
        <v>19.693763363814053</v>
      </c>
      <c r="DH100" s="23">
        <f>EXP(-LN(2)/2)*DH99+(1-EXP(-LN(2)/2))/(LN(2)/2)*DB100*DE100*VLOOKUP('Données projet'!$B$13,Paramètres!$A$1:$I$89,3,0)*0.475*44/12</f>
        <v>8.7893168102090122E-2</v>
      </c>
      <c r="DI100" s="24">
        <f t="shared" si="69"/>
        <v>163.94446696008845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</v>
      </c>
      <c r="DO100" s="13">
        <f>IF('Données projet'!$A$166&gt;35,DO99+DN100-DW99,IF(A100&lt;'Données projet'!$A$166,$DL$205^A100,IF(A100='Données projet'!$A$166,'Données projet'!$B$166,DO99+DN100-DW99)))</f>
        <v>214.00000000000009</v>
      </c>
      <c r="DP100" s="18">
        <f>DO100*VLOOKUP('Données projet'!$B$14,Paramètres!$A$1:$I$89,3,0)*VLOOKUP('Données projet'!$B$14,Paramètres!$A$1:$I$89,5,0)</f>
        <v>186.95040000000009</v>
      </c>
      <c r="DQ100" s="14">
        <f t="shared" si="97"/>
        <v>46.865095976617653</v>
      </c>
      <c r="DR100" s="22">
        <f t="shared" si="70"/>
        <v>407.22865549260922</v>
      </c>
      <c r="DS100" s="62">
        <f t="shared" si="71"/>
        <v>700.56198882594254</v>
      </c>
      <c r="DT100" s="62">
        <f ca="1">AVERAGE(OFFSET($DS$3,0,0,'Données projet'!$E$14+1,1))-AVERAGE(OFFSET($H$3,0,0,'Données projet'!$E$14+1,1))</f>
        <v>300.63505444445104</v>
      </c>
      <c r="DU100" s="62">
        <f t="shared" si="98"/>
        <v>266.32508105927997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23.192818162317725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23.192818162317725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353.37024194969638</v>
      </c>
      <c r="EP100" s="62">
        <f t="shared" si="100"/>
        <v>345.4750813433123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110.88151985402868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110.88151985402868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8.5265128291212022E-14</v>
      </c>
      <c r="FF100" s="18">
        <f>FE100*VLOOKUP('Données projet'!$B$16,Paramètres!$A$1:$I$89,3,0)*VLOOKUP('Données projet'!$B$16,Paramètres!$A$1:$I$89,5,0)</f>
        <v>5.5865712056402117E-14</v>
      </c>
      <c r="FG100" s="14">
        <f t="shared" si="101"/>
        <v>8.9811031843713517E-13</v>
      </c>
      <c r="FH100" s="22">
        <f t="shared" si="76"/>
        <v>1.6615082531095774E-12</v>
      </c>
      <c r="FI100" s="62">
        <f t="shared" si="77"/>
        <v>293.33333333333496</v>
      </c>
      <c r="FJ100" s="62">
        <f ca="1">AVERAGE(OFFSET($FI$3,0,0,'Données projet'!$E$16+1,1))-AVERAGE(OFFSET($H$3,0,0,'Données projet'!$E$16+1,1))</f>
        <v>263.30962868541337</v>
      </c>
      <c r="FK100" s="62">
        <f t="shared" si="102"/>
        <v>269.61868559913404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71.702825117948649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71.702825117948649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5.9170000000000016</v>
      </c>
      <c r="N101" s="14">
        <f>IF('Données projet'!$A$36&gt;35,N100+M101-V100,IF(A101&lt;'Données projet'!$A$36,$K$205^A101,IF(A101='Données projet'!$A$36,'Données projet'!$B$36,N100+M101-V100)))</f>
        <v>273.39600000000007</v>
      </c>
      <c r="O101" s="14">
        <f>N101*VLOOKUP('Données projet'!$B$9,Paramètres!$A$1:$I$89,3,0)*VLOOKUP('Données projet'!$B$9,Paramètres!$A$1:$I$89,5,0)</f>
        <v>163.49080800000004</v>
      </c>
      <c r="P101" s="14">
        <f t="shared" si="87"/>
        <v>41.628885142903925</v>
      </c>
      <c r="Q101" s="22">
        <f t="shared" si="107"/>
        <v>357.25013222389106</v>
      </c>
      <c r="R101" s="62">
        <f t="shared" si="55"/>
        <v>650.58346555722437</v>
      </c>
      <c r="S101" s="62">
        <f ca="1">AVERAGE(OFFSET($R$3,0,0,'Données projet'!$E$9+1,1))-AVERAGE(OFFSET($H$3,0,0,'Données projet'!$E$9+1,1))</f>
        <v>262.06511368698341</v>
      </c>
      <c r="T101" s="62">
        <f t="shared" si="88"/>
        <v>217.15709240080542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38.874170675869038</v>
      </c>
      <c r="AA101" s="23">
        <f>EXP(-LN(2)/25)*AA100+(1-EXP(-LN(2)/25))/(LN(2)/25)*Calculateur!V101*Calculateur!X101*VLOOKUP('Données projet'!$B$9,Paramètres!$A$1:$I$89,3,0)*0.475*44/12</f>
        <v>8.4740743662795097</v>
      </c>
      <c r="AB101" s="23">
        <f>EXP(-LN(2)/2)*AB100+(1-EXP(-LN(2)/2))/(LN(2)/2)*V101*Y101*VLOOKUP('Données projet'!$B$9,Paramètres!$A$1:$I$89,3,0)*0.475*44/12</f>
        <v>0.25301481141048388</v>
      </c>
      <c r="AC101" s="24">
        <f t="shared" si="57"/>
        <v>47.601259853559029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9.2716666666666665</v>
      </c>
      <c r="AI101" s="14">
        <f>IF('Données projet'!$A$62&gt;35,AI100+AH101-AQ100,IF(A101&lt;'Données projet'!$A$62,$AF$205^A101,IF(A101='Données projet'!$A$62,'Données projet'!$B$62,AI100+AH101-AQ100)))</f>
        <v>430.96833333333313</v>
      </c>
      <c r="AJ101" s="14">
        <f>AI101*VLOOKUP('Données projet'!$B$10,Paramètres!$A$1:$I$89,3,0)*VLOOKUP('Données projet'!$B$10,Paramètres!$A$1:$I$89,5,0)</f>
        <v>201.69317999999993</v>
      </c>
      <c r="AK101" s="14">
        <f t="shared" si="89"/>
        <v>50.116094672783646</v>
      </c>
      <c r="AL101" s="22">
        <f t="shared" si="58"/>
        <v>438.56782005509808</v>
      </c>
      <c r="AM101" s="62">
        <f t="shared" si="59"/>
        <v>731.90115338843134</v>
      </c>
      <c r="AN101" s="62">
        <f ca="1">AVERAGE(OFFSET($AM$3,0,0,'Données projet'!$E$10+1,1))-AVERAGE(OFFSET($H$3,0,0,'Données projet'!$E$10+1,1))</f>
        <v>287.83167869616227</v>
      </c>
      <c r="AO101" s="62">
        <f t="shared" si="90"/>
        <v>233.84231920589906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44.638618939261754</v>
      </c>
      <c r="AV101" s="23">
        <f>EXP(-LN(2)/25)*AV100+(1-EXP(-LN(2)/25))/(LN(2)/25)*Calculateur!AQ101*Calculateur!AS101*VLOOKUP('Données projet'!$B$10,Paramètres!$A$1:$I$89,3,0)*0.475*44/12</f>
        <v>14.790374077666275</v>
      </c>
      <c r="AW101" s="23">
        <f>EXP(-LN(2)/2)*AW100+(1-EXP(-LN(2)/2))/(LN(2)/2)*AQ101*AT101*VLOOKUP('Données projet'!$B$10,Paramètres!$A$1:$I$89,3,0)*0.475*44/12</f>
        <v>0.14190732008896936</v>
      </c>
      <c r="AX101" s="23">
        <f t="shared" si="60"/>
        <v>59.570900337017001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-1.064108801074326E-13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262.36903350767881</v>
      </c>
      <c r="BJ101" s="62">
        <f t="shared" si="92"/>
        <v>331.21009482262417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80.965169557774928</v>
      </c>
      <c r="BQ101" s="23">
        <f>EXP(-LN(2)/25)*BQ100+(1-EXP(-LN(2)/25))/(LN(2)/25)*Calculateur!BL101*Calculateur!BN101*VLOOKUP('Données projet'!$B$11,Paramètres!$A$1:$I$89,3,0)*0.475*44/12</f>
        <v>14.038525352075155</v>
      </c>
      <c r="BR101" s="23">
        <f>EXP(-LN(2)/2)*BR100+(1-EXP(-LN(2)/2))/(LN(2)/2)*BL101*BO101*VLOOKUP('Données projet'!$B$11,Paramètres!$A$1:$I$89,3,0)*0.475*44/12</f>
        <v>3.799480165163524E-5</v>
      </c>
      <c r="BS101" s="24">
        <f t="shared" si="63"/>
        <v>95.003732904651741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8.0470000000000024</v>
      </c>
      <c r="BY101" s="13">
        <f>IF('Données projet'!$A$114&gt;35,BY100+BX101-CG100,IF(A101&lt;'Données projet'!$A$114,$BV$205^A101,IF(A101='Données projet'!$A$114,'Données projet'!$B$114,BY100+BX101-CG100)))</f>
        <v>317.12800000000033</v>
      </c>
      <c r="BZ101" s="14">
        <f>BY101*VLOOKUP('Données projet'!$B$12,Paramètres!$A$1:$I$89,3,0)*VLOOKUP('Données projet'!$B$12,Paramètres!$A$1:$I$89,5,0)</f>
        <v>306.72620160000031</v>
      </c>
      <c r="CA101" s="14">
        <f t="shared" si="93"/>
        <v>72.584708882698152</v>
      </c>
      <c r="CB101" s="22">
        <f t="shared" si="64"/>
        <v>660.63316909069977</v>
      </c>
      <c r="CC101" s="62">
        <f t="shared" si="65"/>
        <v>953.96650242403302</v>
      </c>
      <c r="CD101" s="62">
        <f ca="1">AVERAGE(OFFSET($CC$3,0,0,'Données projet'!$E$12+1,1))-AVERAGE(OFFSET($H$3,0,0,'Données projet'!$E$12+1,1))</f>
        <v>618.83149423524605</v>
      </c>
      <c r="CE101" s="62">
        <f t="shared" si="94"/>
        <v>285.33582535802435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35.220764428336558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35.220764428336558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349.5718186624772</v>
      </c>
      <c r="CZ101" s="62">
        <f t="shared" si="96"/>
        <v>258.14152930815959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141.33586564630778</v>
      </c>
      <c r="DG101" s="23">
        <f>EXP(-LN(2)/25)*DG100+(1-EXP(-LN(2)/25))/(LN(2)/25)*Calculateur!DB101*Calculateur!DD101*VLOOKUP('Données projet'!$B$13,Paramètres!$A$1:$I$89,3,0)*0.475*44/12</f>
        <v>19.155236368980553</v>
      </c>
      <c r="DH101" s="23">
        <f>EXP(-LN(2)/2)*DH100+(1-EXP(-LN(2)/2))/(LN(2)/2)*DB101*DE101*VLOOKUP('Données projet'!$B$13,Paramètres!$A$1:$I$89,3,0)*0.475*44/12</f>
        <v>6.2149855184957081E-2</v>
      </c>
      <c r="DI101" s="24">
        <f t="shared" si="69"/>
        <v>160.5532518704733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</v>
      </c>
      <c r="DO101" s="13">
        <f>IF('Données projet'!$A$166&gt;35,DO100+DN101-DW100,IF(A101&lt;'Données projet'!$A$166,$DL$205^A101,IF(A101='Données projet'!$A$166,'Données projet'!$B$166,DO100+DN101-DW100)))</f>
        <v>217.00000000000009</v>
      </c>
      <c r="DP101" s="18">
        <f>DO101*VLOOKUP('Données projet'!$B$14,Paramètres!$A$1:$I$89,3,0)*VLOOKUP('Données projet'!$B$14,Paramètres!$A$1:$I$89,5,0)</f>
        <v>189.57120000000009</v>
      </c>
      <c r="DQ101" s="14">
        <f t="shared" si="97"/>
        <v>47.445138796932483</v>
      </c>
      <c r="DR101" s="22">
        <f t="shared" si="70"/>
        <v>412.80345673799087</v>
      </c>
      <c r="DS101" s="62">
        <f t="shared" si="71"/>
        <v>706.13679007132419</v>
      </c>
      <c r="DT101" s="62">
        <f ca="1">AVERAGE(OFFSET($DS$3,0,0,'Données projet'!$E$14+1,1))-AVERAGE(OFFSET($H$3,0,0,'Données projet'!$E$14+1,1))</f>
        <v>300.63505444445104</v>
      </c>
      <c r="DU101" s="62">
        <f t="shared" si="98"/>
        <v>266.32508105927997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22.73802114437693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22.73802114437693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353.37024194969638</v>
      </c>
      <c r="EP101" s="62">
        <f t="shared" si="100"/>
        <v>345.4750813433123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108.70720088074027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108.70720088074027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8.5265128291212022E-14</v>
      </c>
      <c r="FF101" s="18">
        <f>FE101*VLOOKUP('Données projet'!$B$16,Paramètres!$A$1:$I$89,3,0)*VLOOKUP('Données projet'!$B$16,Paramètres!$A$1:$I$89,5,0)</f>
        <v>5.5865712056402117E-14</v>
      </c>
      <c r="FG101" s="14">
        <f t="shared" si="101"/>
        <v>8.9811031843713517E-13</v>
      </c>
      <c r="FH101" s="22">
        <f t="shared" si="76"/>
        <v>1.6615082531095774E-12</v>
      </c>
      <c r="FI101" s="62">
        <f t="shared" si="77"/>
        <v>293.33333333333496</v>
      </c>
      <c r="FJ101" s="62">
        <f ca="1">AVERAGE(OFFSET($FI$3,0,0,'Données projet'!$E$16+1,1))-AVERAGE(OFFSET($H$3,0,0,'Données projet'!$E$16+1,1))</f>
        <v>263.30962868541337</v>
      </c>
      <c r="FK101" s="62">
        <f t="shared" si="102"/>
        <v>269.61868559913404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70.296776451790578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70.296776451790578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5.9170000000000016</v>
      </c>
      <c r="N102" s="14">
        <f>IF('Données projet'!$A$36&gt;35,N101+M102-V101,IF(A102&lt;'Données projet'!$A$36,$K$205^A102,IF(A102='Données projet'!$A$36,'Données projet'!$B$36,N101+M102-V101)))</f>
        <v>279.3130000000001</v>
      </c>
      <c r="O102" s="14">
        <f>N102*VLOOKUP('Données projet'!$B$9,Paramètres!$A$1:$I$89,3,0)*VLOOKUP('Données projet'!$B$9,Paramètres!$A$1:$I$89,5,0)</f>
        <v>167.0291740000001</v>
      </c>
      <c r="P102" s="14">
        <f t="shared" si="87"/>
        <v>42.423976221071555</v>
      </c>
      <c r="Q102" s="22">
        <f t="shared" si="107"/>
        <v>364.79756996836642</v>
      </c>
      <c r="R102" s="62">
        <f t="shared" si="55"/>
        <v>658.13090330169973</v>
      </c>
      <c r="S102" s="62">
        <f ca="1">AVERAGE(OFFSET($R$3,0,0,'Données projet'!$E$9+1,1))-AVERAGE(OFFSET($H$3,0,0,'Données projet'!$E$9+1,1))</f>
        <v>262.06511368698341</v>
      </c>
      <c r="T102" s="62">
        <f t="shared" si="88"/>
        <v>217.15709240080542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38.111871899818105</v>
      </c>
      <c r="AA102" s="23">
        <f>EXP(-LN(2)/25)*AA101+(1-EXP(-LN(2)/25))/(LN(2)/25)*Calculateur!V102*Calculateur!X102*VLOOKUP('Données projet'!$B$9,Paramètres!$A$1:$I$89,3,0)*0.475*44/12</f>
        <v>8.2423503571013939</v>
      </c>
      <c r="AB102" s="23">
        <f>EXP(-LN(2)/2)*AB101+(1-EXP(-LN(2)/2))/(LN(2)/2)*V102*Y102*VLOOKUP('Données projet'!$B$9,Paramètres!$A$1:$I$89,3,0)*0.475*44/12</f>
        <v>0.17890848888898861</v>
      </c>
      <c r="AC102" s="24">
        <f t="shared" si="57"/>
        <v>46.533130745808485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>
        <f>VLOOKUP(A102,'Données projet'!$A$61:$I$81,2,0)</f>
        <v>440.24</v>
      </c>
      <c r="AG102" s="13">
        <f>VLOOKUP(A102,'Données projet'!$A$61:$I$81,9,0)</f>
        <v>9.2716666666666665</v>
      </c>
      <c r="AH102" s="13">
        <f t="array" ref="AH102">INDEX(AG:AG,MIN(IF(ISNUMBER(AG102:AG298),ROW(AG102:AG298),"")))</f>
        <v>9.2716666666666665</v>
      </c>
      <c r="AI102" s="14">
        <f>IF('Données projet'!$A$62&gt;35,AI101+AH102-AQ101,IF(A102&lt;'Données projet'!$A$62,$AF$205^A102,IF(A102='Données projet'!$A$62,'Données projet'!$B$62,AI101+AH102-AQ101)))</f>
        <v>440.23999999999978</v>
      </c>
      <c r="AJ102" s="14">
        <f>AI102*VLOOKUP('Données projet'!$B$10,Paramètres!$A$1:$I$89,3,0)*VLOOKUP('Données projet'!$B$10,Paramètres!$A$1:$I$89,5,0)</f>
        <v>206.03231999999991</v>
      </c>
      <c r="AK102" s="14">
        <f t="shared" si="89"/>
        <v>51.067587614560068</v>
      </c>
      <c r="AL102" s="22">
        <f t="shared" si="58"/>
        <v>447.78233909535862</v>
      </c>
      <c r="AM102" s="62">
        <f t="shared" si="59"/>
        <v>741.11567242869194</v>
      </c>
      <c r="AN102" s="62">
        <f ca="1">AVERAGE(OFFSET($AM$3,0,0,'Données projet'!$E$10+1,1))-AVERAGE(OFFSET($H$3,0,0,'Données projet'!$E$10+1,1))</f>
        <v>287.83167869616227</v>
      </c>
      <c r="AO102" s="62">
        <f t="shared" si="90"/>
        <v>233.84231920589906</v>
      </c>
      <c r="AP102" s="16">
        <f>IF(ISNA(VLOOKUP(A102,'Données projet'!$A$61:$I$81,3,0)),0,VLOOKUP(A102,'Données projet'!$A$61:$I$81,3,0))</f>
        <v>5</v>
      </c>
      <c r="AQ102" s="16">
        <f>IF(ISNA(VLOOKUP(A102,'Données projet'!$A$61:$I$81,4,0)),0,VLOOKUP(A102,'Données projet'!$A$61:$I$81,4,0))</f>
        <v>440.24</v>
      </c>
      <c r="AR102" s="17">
        <f>IF(ISNA(VLOOKUP(A102,'Données projet'!$A$61:$I$81,5,0)),0%,VLOOKUP(A102,'Données projet'!$A$61:$I$81,5,0)*VLOOKUP('Données projet'!$B$10,Paramètres!$A$1:$I$89,7,0))</f>
        <v>0.44000000000000006</v>
      </c>
      <c r="AS102" s="17">
        <f>IF(ISNA(VLOOKUP(A102,'Données projet'!$A$61:$I$81,6,0)),0%,VLOOKUP(A102,'Données projet'!$A$61:$I$81,6,0)*VLOOKUP('Données projet'!$B$10,Paramètres!$A$1:$I$89,7,0))</f>
        <v>6.0500000000000005E-2</v>
      </c>
      <c r="AT102" s="17">
        <f>IF(ISNA(VLOOKUP(A102,'Données projet'!$A$61:$I$81,7,0)),0%,VLOOKUP(A102,'Données projet'!$A$61:$I$81,7,0))</f>
        <v>0.09</v>
      </c>
      <c r="AU102" s="23">
        <f>EXP(-LN(2)/35)*AU101+(1-EXP(-LN(2)/35))/(LN(2)/35)*AQ102*AR102*VLOOKUP('Données projet'!$B$10,Paramètres!$A$1:$I$89,3,0)*0.475*44/12</f>
        <v>164.02194989757979</v>
      </c>
      <c r="AV102" s="23">
        <f>EXP(-LN(2)/25)*AV101+(1-EXP(-LN(2)/25))/(LN(2)/25)*Calculateur!AQ102*Calculateur!AS102*VLOOKUP('Données projet'!$B$10,Paramètres!$A$1:$I$89,3,0)*0.475*44/12</f>
        <v>30.856390413218669</v>
      </c>
      <c r="AW102" s="23">
        <f>EXP(-LN(2)/2)*AW101+(1-EXP(-LN(2)/2))/(LN(2)/2)*AQ102*AT102*VLOOKUP('Données projet'!$B$10,Paramètres!$A$1:$I$89,3,0)*0.475*44/12</f>
        <v>21.095223861782639</v>
      </c>
      <c r="AX102" s="23">
        <f t="shared" si="60"/>
        <v>215.97356417258109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-1.064108801074326E-13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262.36903350767881</v>
      </c>
      <c r="BJ102" s="62">
        <f t="shared" si="92"/>
        <v>331.21009482262417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79.377491966624135</v>
      </c>
      <c r="BQ102" s="23">
        <f>EXP(-LN(2)/25)*BQ101+(1-EXP(-LN(2)/25))/(LN(2)/25)*Calculateur!BL102*Calculateur!BN102*VLOOKUP('Données projet'!$B$11,Paramètres!$A$1:$I$89,3,0)*0.475*44/12</f>
        <v>13.654641138068698</v>
      </c>
      <c r="BR102" s="23">
        <f>EXP(-LN(2)/2)*BR101+(1-EXP(-LN(2)/2))/(LN(2)/2)*BL102*BO102*VLOOKUP('Données projet'!$B$11,Paramètres!$A$1:$I$89,3,0)*0.475*44/12</f>
        <v>2.6866381897709115E-5</v>
      </c>
      <c r="BS102" s="24">
        <f t="shared" si="63"/>
        <v>93.032159971074734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8.0470000000000024</v>
      </c>
      <c r="BY102" s="13">
        <f>IF('Données projet'!$A$114&gt;35,BY101+BX102-CG101,IF(A102&lt;'Données projet'!$A$114,$BV$205^A102,IF(A102='Données projet'!$A$114,'Données projet'!$B$114,BY101+BX102-CG101)))</f>
        <v>325.17500000000035</v>
      </c>
      <c r="BZ102" s="14">
        <f>BY102*VLOOKUP('Données projet'!$B$12,Paramètres!$A$1:$I$89,3,0)*VLOOKUP('Données projet'!$B$12,Paramètres!$A$1:$I$89,5,0)</f>
        <v>314.50926000000038</v>
      </c>
      <c r="CA102" s="14">
        <f t="shared" si="93"/>
        <v>74.209750183096105</v>
      </c>
      <c r="CB102" s="22">
        <f t="shared" si="64"/>
        <v>677.01894273555968</v>
      </c>
      <c r="CC102" s="62">
        <f t="shared" si="65"/>
        <v>970.35227606889293</v>
      </c>
      <c r="CD102" s="62">
        <f ca="1">AVERAGE(OFFSET($CC$3,0,0,'Données projet'!$E$12+1,1))-AVERAGE(OFFSET($H$3,0,0,'Données projet'!$E$12+1,1))</f>
        <v>618.83149423524605</v>
      </c>
      <c r="CE102" s="62">
        <f t="shared" si="94"/>
        <v>285.33582535802435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34.530106720441957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34.530106720441957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349.5718186624772</v>
      </c>
      <c r="CZ102" s="62">
        <f t="shared" si="96"/>
        <v>258.14152930815959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138.56435552734956</v>
      </c>
      <c r="DG102" s="23">
        <f>EXP(-LN(2)/25)*DG101+(1-EXP(-LN(2)/25))/(LN(2)/25)*Calculateur!DB102*Calculateur!DD102*VLOOKUP('Données projet'!$B$13,Paramètres!$A$1:$I$89,3,0)*0.475*44/12</f>
        <v>18.63143542314068</v>
      </c>
      <c r="DH102" s="23">
        <f>EXP(-LN(2)/2)*DH101+(1-EXP(-LN(2)/2))/(LN(2)/2)*DB102*DE102*VLOOKUP('Données projet'!$B$13,Paramètres!$A$1:$I$89,3,0)*0.475*44/12</f>
        <v>4.3946584051045068E-2</v>
      </c>
      <c r="DI102" s="24">
        <f t="shared" si="69"/>
        <v>157.23973753454129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</v>
      </c>
      <c r="DO102" s="13">
        <f>IF('Données projet'!$A$166&gt;35,DO101+DN102-DW101,IF(A102&lt;'Données projet'!$A$166,$DL$205^A102,IF(A102='Données projet'!$A$166,'Données projet'!$B$166,DO101+DN102-DW101)))</f>
        <v>220.00000000000009</v>
      </c>
      <c r="DP102" s="18">
        <f>DO102*VLOOKUP('Données projet'!$B$14,Paramètres!$A$1:$I$89,3,0)*VLOOKUP('Données projet'!$B$14,Paramètres!$A$1:$I$89,5,0)</f>
        <v>192.19200000000009</v>
      </c>
      <c r="DQ102" s="14">
        <f t="shared" si="97"/>
        <v>48.024248921932482</v>
      </c>
      <c r="DR102" s="22">
        <f t="shared" si="70"/>
        <v>418.37663353903253</v>
      </c>
      <c r="DS102" s="62">
        <f t="shared" si="71"/>
        <v>711.70996687236584</v>
      </c>
      <c r="DT102" s="62">
        <f ca="1">AVERAGE(OFFSET($DS$3,0,0,'Données projet'!$E$14+1,1))-AVERAGE(OFFSET($H$3,0,0,'Données projet'!$E$14+1,1))</f>
        <v>300.63505444445104</v>
      </c>
      <c r="DU102" s="62">
        <f t="shared" si="98"/>
        <v>266.32508105927997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22.292142418559163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22.292142418559163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353.37024194969638</v>
      </c>
      <c r="EP102" s="62">
        <f t="shared" si="100"/>
        <v>345.4750813433123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106.57551897631444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106.57551897631444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8.5265128291212022E-14</v>
      </c>
      <c r="FF102" s="18">
        <f>FE102*VLOOKUP('Données projet'!$B$16,Paramètres!$A$1:$I$89,3,0)*VLOOKUP('Données projet'!$B$16,Paramètres!$A$1:$I$89,5,0)</f>
        <v>5.5865712056402117E-14</v>
      </c>
      <c r="FG102" s="14">
        <f t="shared" si="101"/>
        <v>8.9811031843713517E-13</v>
      </c>
      <c r="FH102" s="22">
        <f t="shared" si="76"/>
        <v>1.6615082531095774E-12</v>
      </c>
      <c r="FI102" s="62">
        <f t="shared" si="77"/>
        <v>293.33333333333496</v>
      </c>
      <c r="FJ102" s="62">
        <f ca="1">AVERAGE(OFFSET($FI$3,0,0,'Données projet'!$E$16+1,1))-AVERAGE(OFFSET($H$3,0,0,'Données projet'!$E$16+1,1))</f>
        <v>263.30962868541337</v>
      </c>
      <c r="FK102" s="62">
        <f t="shared" si="102"/>
        <v>269.61868559913404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68.918299542370875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68.918299542370875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285.23</v>
      </c>
      <c r="L103" s="13">
        <f>VLOOKUP(A103,'Données projet'!$A$35:$I$55,9,0)</f>
        <v>5.9170000000000016</v>
      </c>
      <c r="M103" s="13">
        <f t="array" ref="M103">INDEX(L:L,MIN(IF(ISNUMBER(L103:L299),ROW(L103:L299),"")))</f>
        <v>5.9170000000000016</v>
      </c>
      <c r="N103" s="14">
        <f>IF('Données projet'!$A$36&gt;35,N102+M103-V102,IF(A103&lt;'Données projet'!$A$36,$K$205^A103,IF(A103='Données projet'!$A$36,'Données projet'!$B$36,N102+M103-V102)))</f>
        <v>285.23000000000013</v>
      </c>
      <c r="O103" s="14">
        <f>N103*VLOOKUP('Données projet'!$B$9,Paramètres!$A$1:$I$89,3,0)*VLOOKUP('Données projet'!$B$9,Paramètres!$A$1:$I$89,5,0)</f>
        <v>170.56754000000009</v>
      </c>
      <c r="P103" s="14">
        <f t="shared" si="87"/>
        <v>43.21710899899557</v>
      </c>
      <c r="Q103" s="22">
        <f t="shared" si="107"/>
        <v>372.3415970065841</v>
      </c>
      <c r="R103" s="62">
        <f t="shared" si="55"/>
        <v>665.67493033991741</v>
      </c>
      <c r="S103" s="62">
        <f ca="1">AVERAGE(OFFSET($R$3,0,0,'Données projet'!$E$9+1,1))-AVERAGE(OFFSET($H$3,0,0,'Données projet'!$E$9+1,1))</f>
        <v>262.06511368698341</v>
      </c>
      <c r="T103" s="62">
        <f t="shared" si="88"/>
        <v>217.15709240080542</v>
      </c>
      <c r="U103" s="16">
        <f>IF(ISNA(VLOOKUP(A103,'Données projet'!$A$35:$I$55,3,0)),0,VLOOKUP(A103,'Données projet'!$A$35:$I$55,3,0))</f>
        <v>5</v>
      </c>
      <c r="V103" s="16">
        <f>IF(ISNA(VLOOKUP(A103,'Données projet'!$A$35:$I$55,4,0)),0,VLOOKUP(A103,'Données projet'!$A$35:$I$55,4,0))</f>
        <v>92.21</v>
      </c>
      <c r="W103" s="17">
        <f>IF(ISNA(VLOOKUP(A103,'Données projet'!$A$35:$I$55,5,0)),0%,VLOOKUP(A103,'Données projet'!$A$35:$I$55,5,0)*VLOOKUP('Données projet'!$B$9,Paramètres!$A$1:$I$89,7,0))</f>
        <v>0.36000000000000004</v>
      </c>
      <c r="X103" s="17">
        <f>IF(ISNA(VLOOKUP(A103,'Données projet'!$A$35:$I$55,6,0)),0%,VLOOKUP(A103,'Données projet'!$A$35:$I$55,6,0)*VLOOKUP('Données projet'!$B$9,Paramètres!$A$1:$I$89,7,0))</f>
        <v>4.9500000000000002E-2</v>
      </c>
      <c r="Y103" s="17">
        <f>IF(ISNA(VLOOKUP(A103,'Données projet'!$A$35:$I$55,7,0)),0%,VLOOKUP(A103,'Données projet'!$A$35:$I$55,7,0))</f>
        <v>0.09</v>
      </c>
      <c r="Z103" s="23">
        <f>EXP(-LN(2)/35)*Z102+(1-EXP(-LN(2)/35))/(LN(2)/35)*V103*W103*VLOOKUP('Données projet'!$B$9,Paramètres!$A$1:$I$89,3,0)*0.475*44/12</f>
        <v>63.698110953928492</v>
      </c>
      <c r="AA103" s="23">
        <f>EXP(-LN(2)/25)*AA102+(1-EXP(-LN(2)/25))/(LN(2)/25)*Calculateur!V103*Calculateur!X103*VLOOKUP('Données projet'!$B$9,Paramètres!$A$1:$I$89,3,0)*0.475*44/12</f>
        <v>11.623574686128588</v>
      </c>
      <c r="AB103" s="23">
        <f>EXP(-LN(2)/2)*AB102+(1-EXP(-LN(2)/2))/(LN(2)/2)*V103*Y103*VLOOKUP('Données projet'!$B$9,Paramètres!$A$1:$I$89,3,0)*0.475*44/12</f>
        <v>5.7454844088427892</v>
      </c>
      <c r="AC103" s="24">
        <f t="shared" si="57"/>
        <v>81.067170048899868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-1.064108801074326E-13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287.83167869616227</v>
      </c>
      <c r="AO103" s="62">
        <f t="shared" si="90"/>
        <v>233.84231920589906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160.8055795035992</v>
      </c>
      <c r="AV103" s="23">
        <f>EXP(-LN(2)/25)*AV102+(1-EXP(-LN(2)/25))/(LN(2)/25)*Calculateur!AQ103*Calculateur!AS103*VLOOKUP('Données projet'!$B$10,Paramètres!$A$1:$I$89,3,0)*0.475*44/12</f>
        <v>30.012620794702155</v>
      </c>
      <c r="AW103" s="23">
        <f>EXP(-LN(2)/2)*AW102+(1-EXP(-LN(2)/2))/(LN(2)/2)*AQ103*AT103*VLOOKUP('Données projet'!$B$10,Paramètres!$A$1:$I$89,3,0)*0.475*44/12</f>
        <v>14.916575843314774</v>
      </c>
      <c r="AX103" s="23">
        <f t="shared" si="60"/>
        <v>205.73477614161612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-1.064108801074326E-13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262.36903350767881</v>
      </c>
      <c r="BJ103" s="62">
        <f t="shared" si="92"/>
        <v>331.21009482262417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77.820947764648096</v>
      </c>
      <c r="BQ103" s="23">
        <f>EXP(-LN(2)/25)*BQ102+(1-EXP(-LN(2)/25))/(LN(2)/25)*Calculateur!BL103*Calculateur!BN103*VLOOKUP('Données projet'!$B$11,Paramètres!$A$1:$I$89,3,0)*0.475*44/12</f>
        <v>13.281254258081839</v>
      </c>
      <c r="BR103" s="23">
        <f>EXP(-LN(2)/2)*BR102+(1-EXP(-LN(2)/2))/(LN(2)/2)*BL103*BO103*VLOOKUP('Données projet'!$B$11,Paramètres!$A$1:$I$89,3,0)*0.475*44/12</f>
        <v>1.899740082581762E-5</v>
      </c>
      <c r="BS103" s="24">
        <f t="shared" si="63"/>
        <v>91.10222102013077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8.0470000000000024</v>
      </c>
      <c r="BY103" s="13">
        <f>IF('Données projet'!$A$114&gt;35,BY102+BX103-CG102,IF(A103&lt;'Données projet'!$A$114,$BV$205^A103,IF(A103='Données projet'!$A$114,'Données projet'!$B$114,BY102+BX103-CG102)))</f>
        <v>333.22200000000038</v>
      </c>
      <c r="BZ103" s="14">
        <f>BY103*VLOOKUP('Données projet'!$B$12,Paramètres!$A$1:$I$89,3,0)*VLOOKUP('Données projet'!$B$12,Paramètres!$A$1:$I$89,5,0)</f>
        <v>322.2923184000004</v>
      </c>
      <c r="CA103" s="14">
        <f t="shared" si="93"/>
        <v>75.830116762031381</v>
      </c>
      <c r="CB103" s="22">
        <f t="shared" si="64"/>
        <v>693.39657457387193</v>
      </c>
      <c r="CC103" s="62">
        <f t="shared" si="65"/>
        <v>986.72990790720519</v>
      </c>
      <c r="CD103" s="62">
        <f ca="1">AVERAGE(OFFSET($CC$3,0,0,'Données projet'!$E$12+1,1))-AVERAGE(OFFSET($H$3,0,0,'Données projet'!$E$12+1,1))</f>
        <v>618.83149423524605</v>
      </c>
      <c r="CE103" s="62">
        <f t="shared" si="94"/>
        <v>285.33582535802435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33.852992388939562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33.852992388939562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349.5718186624772</v>
      </c>
      <c r="CZ103" s="62">
        <f t="shared" si="96"/>
        <v>258.14152930815959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135.84719303136987</v>
      </c>
      <c r="DG103" s="23">
        <f>EXP(-LN(2)/25)*DG102+(1-EXP(-LN(2)/25))/(LN(2)/25)*Calculateur!DB103*Calculateur!DD103*VLOOKUP('Données projet'!$B$13,Paramètres!$A$1:$I$89,3,0)*0.475*44/12</f>
        <v>18.121957841710291</v>
      </c>
      <c r="DH103" s="23">
        <f>EXP(-LN(2)/2)*DH102+(1-EXP(-LN(2)/2))/(LN(2)/2)*DB103*DE103*VLOOKUP('Données projet'!$B$13,Paramètres!$A$1:$I$89,3,0)*0.475*44/12</f>
        <v>3.1074927592478548E-2</v>
      </c>
      <c r="DI103" s="24">
        <f t="shared" si="69"/>
        <v>154.00022580067264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223</v>
      </c>
      <c r="DM103" s="13">
        <f>VLOOKUP(A103,'Données projet'!$A$165:$I$185,9,0)</f>
        <v>3</v>
      </c>
      <c r="DN103" s="13">
        <f t="array" ref="DN103">INDEX(DM:DM,MIN(IF(ISNUMBER(DM103:DM299),ROW(DM103:DM299),"")))</f>
        <v>3</v>
      </c>
      <c r="DO103" s="13">
        <f>IF('Données projet'!$A$166&gt;35,DO102+DN103-DW102,IF(A103&lt;'Données projet'!$A$166,$DL$205^A103,IF(A103='Données projet'!$A$166,'Données projet'!$B$166,DO102+DN103-DW102)))</f>
        <v>223.00000000000009</v>
      </c>
      <c r="DP103" s="18">
        <f>DO103*VLOOKUP('Données projet'!$B$14,Paramètres!$A$1:$I$89,3,0)*VLOOKUP('Données projet'!$B$14,Paramètres!$A$1:$I$89,5,0)</f>
        <v>194.81280000000012</v>
      </c>
      <c r="DQ103" s="14">
        <f t="shared" si="97"/>
        <v>48.602440540253902</v>
      </c>
      <c r="DR103" s="22">
        <f t="shared" si="70"/>
        <v>423.9482106076091</v>
      </c>
      <c r="DS103" s="62">
        <f t="shared" si="71"/>
        <v>717.28154394094236</v>
      </c>
      <c r="DT103" s="62">
        <f ca="1">AVERAGE(OFFSET($DS$3,0,0,'Données projet'!$E$14+1,1))-AVERAGE(OFFSET($H$3,0,0,'Données projet'!$E$14+1,1))</f>
        <v>300.63505444445104</v>
      </c>
      <c r="DU103" s="62">
        <f t="shared" si="98"/>
        <v>266.32508105927997</v>
      </c>
      <c r="DV103" s="16">
        <f>IF(ISNA(VLOOKUP(A103,'Données projet'!$A$165:$I$185,3,0)),0,VLOOKUP(A103,'Données projet'!$A$165:$I$185,3,0))</f>
        <v>19</v>
      </c>
      <c r="DW103" s="16">
        <f>IF(ISNA(VLOOKUP(A103,'Données projet'!$A$165:$I$185,4,0)),0,VLOOKUP(A103,'Données projet'!$A$165:$I$185,4,0))</f>
        <v>223</v>
      </c>
      <c r="DX103" s="17">
        <f>IF(ISNA(VLOOKUP(A103,'Données projet'!$A$165:$I$185,5,0)),0%,VLOOKUP(A103,'Données projet'!$A$165:$I$185,5,0)*VLOOKUP('Données projet'!$B$14,Paramètres!$A$1:$I$89,7,0))</f>
        <v>0.34400000000000003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95.938771406729103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95.938771406729103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353.37024194969638</v>
      </c>
      <c r="EP103" s="62">
        <f t="shared" si="100"/>
        <v>345.4750813433123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104.48563805383681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104.48563805383681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8.5265128291212022E-14</v>
      </c>
      <c r="FF103" s="18">
        <f>FE103*VLOOKUP('Données projet'!$B$16,Paramètres!$A$1:$I$89,3,0)*VLOOKUP('Données projet'!$B$16,Paramètres!$A$1:$I$89,5,0)</f>
        <v>5.5865712056402117E-14</v>
      </c>
      <c r="FG103" s="14">
        <f t="shared" si="101"/>
        <v>8.9811031843713517E-13</v>
      </c>
      <c r="FH103" s="22">
        <f t="shared" si="76"/>
        <v>1.6615082531095774E-12</v>
      </c>
      <c r="FI103" s="62">
        <f t="shared" si="77"/>
        <v>293.33333333333496</v>
      </c>
      <c r="FJ103" s="62">
        <f ca="1">AVERAGE(OFFSET($FI$3,0,0,'Données projet'!$E$16+1,1))-AVERAGE(OFFSET($H$3,0,0,'Données projet'!$E$16+1,1))</f>
        <v>263.30962868541337</v>
      </c>
      <c r="FK103" s="62">
        <f t="shared" si="102"/>
        <v>269.61868559913404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67.566853724356989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67.566853724356989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5.1069999999999967</v>
      </c>
      <c r="N104" s="14">
        <f>IF('Données projet'!$A$36&gt;35,N103+M104-V103,IF(A104&lt;'Données projet'!$A$36,$K$205^A104,IF(A104='Données projet'!$A$36,'Données projet'!$B$36,N103+M104-V103)))</f>
        <v>198.12700000000012</v>
      </c>
      <c r="O104" s="14">
        <f>N104*VLOOKUP('Données projet'!$B$9,Paramètres!$A$1:$I$89,3,0)*VLOOKUP('Données projet'!$B$9,Paramètres!$A$1:$I$89,5,0)</f>
        <v>118.4799460000001</v>
      </c>
      <c r="P104" s="14">
        <f t="shared" si="87"/>
        <v>31.320209053317207</v>
      </c>
      <c r="Q104" s="22">
        <f t="shared" si="107"/>
        <v>260.90193671786096</v>
      </c>
      <c r="R104" s="62">
        <f t="shared" si="55"/>
        <v>554.23527005119422</v>
      </c>
      <c r="S104" s="62">
        <f ca="1">AVERAGE(OFFSET($R$3,0,0,'Données projet'!$E$9+1,1))-AVERAGE(OFFSET($H$3,0,0,'Données projet'!$E$9+1,1))</f>
        <v>262.06511368698341</v>
      </c>
      <c r="T104" s="62">
        <f t="shared" si="88"/>
        <v>217.15709240080542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62.449029850133321</v>
      </c>
      <c r="AA104" s="23">
        <f>EXP(-LN(2)/25)*AA103+(1-EXP(-LN(2)/25))/(LN(2)/25)*Calculateur!V104*Calculateur!X104*VLOOKUP('Données projet'!$B$9,Paramètres!$A$1:$I$89,3,0)*0.475*44/12</f>
        <v>11.305727425079175</v>
      </c>
      <c r="AB104" s="23">
        <f>EXP(-LN(2)/2)*AB103+(1-EXP(-LN(2)/2))/(LN(2)/2)*V104*Y104*VLOOKUP('Données projet'!$B$9,Paramètres!$A$1:$I$89,3,0)*0.475*44/12</f>
        <v>4.0626709866943189</v>
      </c>
      <c r="AC104" s="24">
        <f t="shared" si="57"/>
        <v>77.817428261906812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287.83167869616227</v>
      </c>
      <c r="AO104" s="62">
        <f t="shared" si="90"/>
        <v>233.84231920589906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157.65228017125236</v>
      </c>
      <c r="AV104" s="23">
        <f>EXP(-LN(2)/25)*AV103+(1-EXP(-LN(2)/25))/(LN(2)/25)*Calculateur!AQ104*Calculateur!AS104*VLOOKUP('Données projet'!$B$10,Paramètres!$A$1:$I$89,3,0)*0.475*44/12</f>
        <v>29.191924100775893</v>
      </c>
      <c r="AW104" s="23">
        <f>EXP(-LN(2)/2)*AW103+(1-EXP(-LN(2)/2))/(LN(2)/2)*AQ104*AT104*VLOOKUP('Données projet'!$B$10,Paramètres!$A$1:$I$89,3,0)*0.475*44/12</f>
        <v>10.547611930891321</v>
      </c>
      <c r="AX104" s="23">
        <f t="shared" si="60"/>
        <v>197.39181620291959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-1.064108801074326E-13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262.36903350767881</v>
      </c>
      <c r="BJ104" s="62">
        <f t="shared" si="92"/>
        <v>331.21009482262417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76.294926445074594</v>
      </c>
      <c r="BQ104" s="23">
        <f>EXP(-LN(2)/25)*BQ103+(1-EXP(-LN(2)/25))/(LN(2)/25)*Calculateur!BL104*Calculateur!BN104*VLOOKUP('Données projet'!$B$11,Paramètres!$A$1:$I$89,3,0)*0.475*44/12</f>
        <v>12.918077661963785</v>
      </c>
      <c r="BR104" s="23">
        <f>EXP(-LN(2)/2)*BR103+(1-EXP(-LN(2)/2))/(LN(2)/2)*BL104*BO104*VLOOKUP('Données projet'!$B$11,Paramètres!$A$1:$I$89,3,0)*0.475*44/12</f>
        <v>1.3433190948854557E-5</v>
      </c>
      <c r="BS104" s="24">
        <f t="shared" si="63"/>
        <v>89.21301754022933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8.0470000000000024</v>
      </c>
      <c r="BY104" s="13">
        <f>IF('Données projet'!$A$114&gt;35,BY103+BX104-CG103,IF(A104&lt;'Données projet'!$A$114,$BV$205^A104,IF(A104='Données projet'!$A$114,'Données projet'!$B$114,BY103+BX104-CG103)))</f>
        <v>341.2690000000004</v>
      </c>
      <c r="BZ104" s="14">
        <f>BY104*VLOOKUP('Données projet'!$B$12,Paramètres!$A$1:$I$89,3,0)*VLOOKUP('Données projet'!$B$12,Paramètres!$A$1:$I$89,5,0)</f>
        <v>330.07537680000041</v>
      </c>
      <c r="CA104" s="14">
        <f t="shared" si="93"/>
        <v>77.445934497848739</v>
      </c>
      <c r="CB104" s="22">
        <f t="shared" si="64"/>
        <v>709.76628384375397</v>
      </c>
      <c r="CC104" s="62">
        <f t="shared" si="65"/>
        <v>1003.0996171770873</v>
      </c>
      <c r="CD104" s="62">
        <f ca="1">AVERAGE(OFFSET($CC$3,0,0,'Données projet'!$E$12+1,1))-AVERAGE(OFFSET($H$3,0,0,'Données projet'!$E$12+1,1))</f>
        <v>618.83149423524605</v>
      </c>
      <c r="CE104" s="62">
        <f t="shared" si="94"/>
        <v>285.33582535802435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33.189155856478962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33.189155856478962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349.5718186624772</v>
      </c>
      <c r="CZ104" s="62">
        <f t="shared" si="96"/>
        <v>258.14152930815959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133.18331243463084</v>
      </c>
      <c r="DG104" s="23">
        <f>EXP(-LN(2)/25)*DG103+(1-EXP(-LN(2)/25))/(LN(2)/25)*Calculateur!DB104*Calculateur!DD104*VLOOKUP('Données projet'!$B$13,Paramètres!$A$1:$I$89,3,0)*0.475*44/12</f>
        <v>17.62641195153638</v>
      </c>
      <c r="DH104" s="23">
        <f>EXP(-LN(2)/2)*DH103+(1-EXP(-LN(2)/2))/(LN(2)/2)*DB104*DE104*VLOOKUP('Données projet'!$B$13,Paramètres!$A$1:$I$89,3,0)*0.475*44/12</f>
        <v>2.1973292025522537E-2</v>
      </c>
      <c r="DI104" s="24">
        <f t="shared" si="69"/>
        <v>150.83169767819274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8.5265128291212022E-14</v>
      </c>
      <c r="DP104" s="18">
        <f>DO104*VLOOKUP('Données projet'!$B$14,Paramètres!$A$1:$I$89,3,0)*VLOOKUP('Données projet'!$B$14,Paramètres!$A$1:$I$89,5,0)</f>
        <v>7.4487616075202836E-14</v>
      </c>
      <c r="DQ104" s="14">
        <f t="shared" si="97"/>
        <v>1.1580453144473142E-12</v>
      </c>
      <c r="DR104" s="22">
        <f t="shared" si="70"/>
        <v>2.1466615206600508E-12</v>
      </c>
      <c r="DS104" s="62">
        <f t="shared" si="71"/>
        <v>293.33333333333547</v>
      </c>
      <c r="DT104" s="62">
        <f ca="1">AVERAGE(OFFSET($DS$3,0,0,'Données projet'!$E$14+1,1))-AVERAGE(OFFSET($H$3,0,0,'Données projet'!$E$14+1,1))</f>
        <v>300.63505444445104</v>
      </c>
      <c r="DU104" s="62">
        <f t="shared" si="98"/>
        <v>266.32508105927997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94.057470616315641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94.057470616315641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353.37024194969638</v>
      </c>
      <c r="EP104" s="62">
        <f t="shared" si="100"/>
        <v>345.4750813433123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102.43673842154747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102.43673842154747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8.5265128291212022E-14</v>
      </c>
      <c r="FF104" s="18">
        <f>FE104*VLOOKUP('Données projet'!$B$16,Paramètres!$A$1:$I$89,3,0)*VLOOKUP('Données projet'!$B$16,Paramètres!$A$1:$I$89,5,0)</f>
        <v>5.5865712056402117E-14</v>
      </c>
      <c r="FG104" s="14">
        <f t="shared" si="101"/>
        <v>8.9811031843713517E-13</v>
      </c>
      <c r="FH104" s="22">
        <f t="shared" si="76"/>
        <v>1.6615082531095774E-12</v>
      </c>
      <c r="FI104" s="62">
        <f t="shared" si="77"/>
        <v>293.33333333333496</v>
      </c>
      <c r="FJ104" s="62">
        <f ca="1">AVERAGE(OFFSET($FI$3,0,0,'Données projet'!$E$16+1,1))-AVERAGE(OFFSET($H$3,0,0,'Données projet'!$E$16+1,1))</f>
        <v>263.30962868541337</v>
      </c>
      <c r="FK104" s="62">
        <f t="shared" si="102"/>
        <v>269.61868559913404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66.241908934533797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66.241908934533797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5.1069999999999967</v>
      </c>
      <c r="N105" s="14">
        <f>IF('Données projet'!$A$36&gt;35,N104+M105-V104,IF(A105&lt;'Données projet'!$A$36,$K$205^A105,IF(A105='Données projet'!$A$36,'Données projet'!$B$36,N104+M105-V104)))</f>
        <v>203.23400000000012</v>
      </c>
      <c r="O105" s="14">
        <f>N105*VLOOKUP('Données projet'!$B$9,Paramètres!$A$1:$I$89,3,0)*VLOOKUP('Données projet'!$B$9,Paramètres!$A$1:$I$89,5,0)</f>
        <v>121.53393200000008</v>
      </c>
      <c r="P105" s="14">
        <f t="shared" si="87"/>
        <v>32.032498839332504</v>
      </c>
      <c r="Q105" s="22">
        <f t="shared" si="107"/>
        <v>267.4615337118376</v>
      </c>
      <c r="R105" s="62">
        <f t="shared" si="55"/>
        <v>560.79486704517092</v>
      </c>
      <c r="S105" s="62">
        <f ca="1">AVERAGE(OFFSET($R$3,0,0,'Données projet'!$E$9+1,1))-AVERAGE(OFFSET($H$3,0,0,'Données projet'!$E$9+1,1))</f>
        <v>262.06511368698341</v>
      </c>
      <c r="T105" s="62">
        <f t="shared" si="88"/>
        <v>217.15709240080542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61.224442464919328</v>
      </c>
      <c r="AA105" s="23">
        <f>EXP(-LN(2)/25)*AA104+(1-EXP(-LN(2)/25))/(LN(2)/25)*Calculateur!V105*Calculateur!X105*VLOOKUP('Données projet'!$B$9,Paramètres!$A$1:$I$89,3,0)*0.475*44/12</f>
        <v>10.996571714098019</v>
      </c>
      <c r="AB105" s="23">
        <f>EXP(-LN(2)/2)*AB104+(1-EXP(-LN(2)/2))/(LN(2)/2)*V105*Y105*VLOOKUP('Données projet'!$B$9,Paramètres!$A$1:$I$89,3,0)*0.475*44/12</f>
        <v>2.8727422044213951</v>
      </c>
      <c r="AC105" s="24">
        <f t="shared" si="57"/>
        <v>75.093756383438745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287.83167869616227</v>
      </c>
      <c r="AO105" s="62">
        <f t="shared" si="90"/>
        <v>233.84231920589906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154.56081511549016</v>
      </c>
      <c r="AV105" s="23">
        <f>EXP(-LN(2)/25)*AV104+(1-EXP(-LN(2)/25))/(LN(2)/25)*Calculateur!AQ105*Calculateur!AS105*VLOOKUP('Données projet'!$B$10,Paramètres!$A$1:$I$89,3,0)*0.475*44/12</f>
        <v>28.393669401103608</v>
      </c>
      <c r="AW105" s="23">
        <f>EXP(-LN(2)/2)*AW104+(1-EXP(-LN(2)/2))/(LN(2)/2)*AQ105*AT105*VLOOKUP('Données projet'!$B$10,Paramètres!$A$1:$I$89,3,0)*0.475*44/12</f>
        <v>7.4582879216573881</v>
      </c>
      <c r="AX105" s="23">
        <f t="shared" si="60"/>
        <v>190.41277243825115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-1.064108801074326E-13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262.36903350767881</v>
      </c>
      <c r="BJ105" s="62">
        <f t="shared" si="92"/>
        <v>331.21009482262417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74.798829472796839</v>
      </c>
      <c r="BQ105" s="23">
        <f>EXP(-LN(2)/25)*BQ104+(1-EXP(-LN(2)/25))/(LN(2)/25)*Calculateur!BL105*Calculateur!BN105*VLOOKUP('Données projet'!$B$11,Paramètres!$A$1:$I$89,3,0)*0.475*44/12</f>
        <v>12.564832148965206</v>
      </c>
      <c r="BR105" s="23">
        <f>EXP(-LN(2)/2)*BR104+(1-EXP(-LN(2)/2))/(LN(2)/2)*BL105*BO105*VLOOKUP('Données projet'!$B$11,Paramètres!$A$1:$I$89,3,0)*0.475*44/12</f>
        <v>9.49870041290881E-6</v>
      </c>
      <c r="BS105" s="24">
        <f t="shared" si="63"/>
        <v>87.363671120462456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8.0470000000000024</v>
      </c>
      <c r="BY105" s="13">
        <f>IF('Données projet'!$A$114&gt;35,BY104+BX105-CG104,IF(A105&lt;'Données projet'!$A$114,$BV$205^A105,IF(A105='Données projet'!$A$114,'Données projet'!$B$114,BY104+BX105-CG104)))</f>
        <v>349.31600000000043</v>
      </c>
      <c r="BZ105" s="14">
        <f>BY105*VLOOKUP('Données projet'!$B$12,Paramètres!$A$1:$I$89,3,0)*VLOOKUP('Données projet'!$B$12,Paramètres!$A$1:$I$89,5,0)</f>
        <v>337.85843520000043</v>
      </c>
      <c r="CA105" s="14">
        <f t="shared" si="93"/>
        <v>79.057322993928835</v>
      </c>
      <c r="CB105" s="22">
        <f t="shared" si="64"/>
        <v>726.12827885442675</v>
      </c>
      <c r="CC105" s="62">
        <f t="shared" si="65"/>
        <v>1019.46161218776</v>
      </c>
      <c r="CD105" s="62">
        <f ca="1">AVERAGE(OFFSET($CC$3,0,0,'Données projet'!$E$12+1,1))-AVERAGE(OFFSET($H$3,0,0,'Données projet'!$E$12+1,1))</f>
        <v>618.83149423524605</v>
      </c>
      <c r="CE105" s="62">
        <f t="shared" si="94"/>
        <v>285.33582535802435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32.538336753519616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32.538336753519616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349.5718186624772</v>
      </c>
      <c r="CZ105" s="62">
        <f t="shared" si="96"/>
        <v>258.14152930815959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130.57166891158712</v>
      </c>
      <c r="DG105" s="23">
        <f>EXP(-LN(2)/25)*DG104+(1-EXP(-LN(2)/25))/(LN(2)/25)*Calculateur!DB105*Calculateur!DD105*VLOOKUP('Données projet'!$B$13,Paramètres!$A$1:$I$89,3,0)*0.475*44/12</f>
        <v>17.144416789788899</v>
      </c>
      <c r="DH105" s="23">
        <f>EXP(-LN(2)/2)*DH104+(1-EXP(-LN(2)/2))/(LN(2)/2)*DB105*DE105*VLOOKUP('Données projet'!$B$13,Paramètres!$A$1:$I$89,3,0)*0.475*44/12</f>
        <v>1.5537463796239276E-2</v>
      </c>
      <c r="DI105" s="24">
        <f t="shared" si="69"/>
        <v>147.73162316517227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8.5265128291212022E-14</v>
      </c>
      <c r="DP105" s="18">
        <f>DO105*VLOOKUP('Données projet'!$B$14,Paramètres!$A$1:$I$89,3,0)*VLOOKUP('Données projet'!$B$14,Paramètres!$A$1:$I$89,5,0)</f>
        <v>7.4487616075202836E-14</v>
      </c>
      <c r="DQ105" s="14">
        <f t="shared" si="97"/>
        <v>1.1580453144473142E-12</v>
      </c>
      <c r="DR105" s="22">
        <f t="shared" si="70"/>
        <v>2.1466615206600508E-12</v>
      </c>
      <c r="DS105" s="62">
        <f t="shared" si="71"/>
        <v>293.33333333333547</v>
      </c>
      <c r="DT105" s="62">
        <f ca="1">AVERAGE(OFFSET($DS$3,0,0,'Données projet'!$E$14+1,1))-AVERAGE(OFFSET($H$3,0,0,'Données projet'!$E$14+1,1))</f>
        <v>300.63505444445104</v>
      </c>
      <c r="DU105" s="62">
        <f t="shared" si="98"/>
        <v>266.32508105927997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92.213060986922017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92.213060986922017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353.37024194969638</v>
      </c>
      <c r="EP105" s="62">
        <f t="shared" si="100"/>
        <v>345.4750813433123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100.42801646134195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100.42801646134195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8.5265128291212022E-14</v>
      </c>
      <c r="FF105" s="18">
        <f>FE105*VLOOKUP('Données projet'!$B$16,Paramètres!$A$1:$I$89,3,0)*VLOOKUP('Données projet'!$B$16,Paramètres!$A$1:$I$89,5,0)</f>
        <v>5.5865712056402117E-14</v>
      </c>
      <c r="FG105" s="14">
        <f t="shared" si="101"/>
        <v>8.9811031843713517E-13</v>
      </c>
      <c r="FH105" s="22">
        <f t="shared" si="76"/>
        <v>1.6615082531095774E-12</v>
      </c>
      <c r="FI105" s="62">
        <f t="shared" si="77"/>
        <v>293.33333333333496</v>
      </c>
      <c r="FJ105" s="62">
        <f ca="1">AVERAGE(OFFSET($FI$3,0,0,'Données projet'!$E$16+1,1))-AVERAGE(OFFSET($H$3,0,0,'Données projet'!$E$16+1,1))</f>
        <v>263.30962868541337</v>
      </c>
      <c r="FK105" s="62">
        <f t="shared" si="102"/>
        <v>269.61868559913404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64.942945503902521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64.942945503902521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5.1069999999999967</v>
      </c>
      <c r="N106" s="14">
        <f>IF('Données projet'!$A$36&gt;35,N105+M106-V105,IF(A106&lt;'Données projet'!$A$36,$K$205^A106,IF(A106='Données projet'!$A$36,'Données projet'!$B$36,N105+M106-V105)))</f>
        <v>208.34100000000012</v>
      </c>
      <c r="O106" s="14">
        <f>N106*VLOOKUP('Données projet'!$B$9,Paramètres!$A$1:$I$89,3,0)*VLOOKUP('Données projet'!$B$9,Paramètres!$A$1:$I$89,5,0)</f>
        <v>124.58791800000007</v>
      </c>
      <c r="P106" s="14">
        <f t="shared" si="87"/>
        <v>32.742708006638317</v>
      </c>
      <c r="Q106" s="22">
        <f t="shared" si="107"/>
        <v>274.01750696156188</v>
      </c>
      <c r="R106" s="62">
        <f t="shared" si="55"/>
        <v>567.35084029489519</v>
      </c>
      <c r="S106" s="62">
        <f ca="1">AVERAGE(OFFSET($R$3,0,0,'Données projet'!$E$9+1,1))-AVERAGE(OFFSET($H$3,0,0,'Données projet'!$E$9+1,1))</f>
        <v>262.06511368698341</v>
      </c>
      <c r="T106" s="62">
        <f t="shared" si="88"/>
        <v>217.15709240080542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60.023868491404826</v>
      </c>
      <c r="AA106" s="23">
        <f>EXP(-LN(2)/25)*AA105+(1-EXP(-LN(2)/25))/(LN(2)/25)*Calculateur!V106*Calculateur!X106*VLOOKUP('Données projet'!$B$9,Paramètres!$A$1:$I$89,3,0)*0.475*44/12</f>
        <v>10.695869882291435</v>
      </c>
      <c r="AB106" s="23">
        <f>EXP(-LN(2)/2)*AB105+(1-EXP(-LN(2)/2))/(LN(2)/2)*V106*Y106*VLOOKUP('Données projet'!$B$9,Paramètres!$A$1:$I$89,3,0)*0.475*44/12</f>
        <v>2.0313354933471599</v>
      </c>
      <c r="AC106" s="24">
        <f t="shared" si="57"/>
        <v>72.751073867043416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287.83167869616227</v>
      </c>
      <c r="AO106" s="62">
        <f t="shared" si="90"/>
        <v>233.84231920589906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151.52997180386396</v>
      </c>
      <c r="AV106" s="23">
        <f>EXP(-LN(2)/25)*AV105+(1-EXP(-LN(2)/25))/(LN(2)/25)*Calculateur!AQ106*Calculateur!AS106*VLOOKUP('Données projet'!$B$10,Paramètres!$A$1:$I$89,3,0)*0.475*44/12</f>
        <v>27.61724301817225</v>
      </c>
      <c r="AW106" s="23">
        <f>EXP(-LN(2)/2)*AW105+(1-EXP(-LN(2)/2))/(LN(2)/2)*AQ106*AT106*VLOOKUP('Données projet'!$B$10,Paramètres!$A$1:$I$89,3,0)*0.475*44/12</f>
        <v>5.2738059654456615</v>
      </c>
      <c r="AX106" s="23">
        <f t="shared" si="60"/>
        <v>184.42102078748186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-1.064108801074326E-13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262.36903350767881</v>
      </c>
      <c r="BJ106" s="62">
        <f t="shared" si="92"/>
        <v>331.21009482262417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73.332070049616391</v>
      </c>
      <c r="BQ106" s="23">
        <f>EXP(-LN(2)/25)*BQ105+(1-EXP(-LN(2)/25))/(LN(2)/25)*Calculateur!BL106*Calculateur!BN106*VLOOKUP('Données projet'!$B$11,Paramètres!$A$1:$I$89,3,0)*0.475*44/12</f>
        <v>12.221246153095947</v>
      </c>
      <c r="BR106" s="23">
        <f>EXP(-LN(2)/2)*BR105+(1-EXP(-LN(2)/2))/(LN(2)/2)*BL106*BO106*VLOOKUP('Données projet'!$B$11,Paramètres!$A$1:$I$89,3,0)*0.475*44/12</f>
        <v>6.7165954744272787E-6</v>
      </c>
      <c r="BS106" s="24">
        <f t="shared" si="63"/>
        <v>85.553322919307817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8.0470000000000024</v>
      </c>
      <c r="BY106" s="13">
        <f>IF('Données projet'!$A$114&gt;35,BY105+BX106-CG105,IF(A106&lt;'Données projet'!$A$114,$BV$205^A106,IF(A106='Données projet'!$A$114,'Données projet'!$B$114,BY105+BX106-CG105)))</f>
        <v>357.36300000000045</v>
      </c>
      <c r="BZ106" s="14">
        <f>BY106*VLOOKUP('Données projet'!$B$12,Paramètres!$A$1:$I$89,3,0)*VLOOKUP('Données projet'!$B$12,Paramètres!$A$1:$I$89,5,0)</f>
        <v>345.64149360000044</v>
      </c>
      <c r="CA106" s="14">
        <f t="shared" si="93"/>
        <v>80.664396028729414</v>
      </c>
      <c r="CB106" s="22">
        <f t="shared" si="64"/>
        <v>742.48275777003767</v>
      </c>
      <c r="CC106" s="62">
        <f t="shared" si="65"/>
        <v>1035.816091103371</v>
      </c>
      <c r="CD106" s="62">
        <f ca="1">AVERAGE(OFFSET($CC$3,0,0,'Données projet'!$E$12+1,1))-AVERAGE(OFFSET($H$3,0,0,'Données projet'!$E$12+1,1))</f>
        <v>618.83149423524605</v>
      </c>
      <c r="CE106" s="62">
        <f t="shared" si="94"/>
        <v>285.33582535802435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31.900279816208844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31.900279816208844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349.5718186624772</v>
      </c>
      <c r="CZ106" s="62">
        <f t="shared" si="96"/>
        <v>258.14152930815959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128.01123812508504</v>
      </c>
      <c r="DG106" s="23">
        <f>EXP(-LN(2)/25)*DG105+(1-EXP(-LN(2)/25))/(LN(2)/25)*Calculateur!DB106*Calculateur!DD106*VLOOKUP('Données projet'!$B$13,Paramètres!$A$1:$I$89,3,0)*0.475*44/12</f>
        <v>16.675601811086427</v>
      </c>
      <c r="DH106" s="23">
        <f>EXP(-LN(2)/2)*DH105+(1-EXP(-LN(2)/2))/(LN(2)/2)*DB106*DE106*VLOOKUP('Données projet'!$B$13,Paramètres!$A$1:$I$89,3,0)*0.475*44/12</f>
        <v>1.098664601276127E-2</v>
      </c>
      <c r="DI106" s="24">
        <f t="shared" si="69"/>
        <v>144.69782658218423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8.5265128291212022E-14</v>
      </c>
      <c r="DP106" s="18">
        <f>DO106*VLOOKUP('Données projet'!$B$14,Paramètres!$A$1:$I$89,3,0)*VLOOKUP('Données projet'!$B$14,Paramètres!$A$1:$I$89,5,0)</f>
        <v>7.4487616075202836E-14</v>
      </c>
      <c r="DQ106" s="14">
        <f t="shared" si="97"/>
        <v>1.1580453144473142E-12</v>
      </c>
      <c r="DR106" s="22">
        <f t="shared" si="70"/>
        <v>2.1466615206600508E-12</v>
      </c>
      <c r="DS106" s="62">
        <f t="shared" si="71"/>
        <v>293.33333333333547</v>
      </c>
      <c r="DT106" s="62">
        <f ca="1">AVERAGE(OFFSET($DS$3,0,0,'Données projet'!$E$14+1,1))-AVERAGE(OFFSET($H$3,0,0,'Données projet'!$E$14+1,1))</f>
        <v>300.63505444445104</v>
      </c>
      <c r="DU106" s="62">
        <f t="shared" si="98"/>
        <v>266.32508105927997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90.404819105382003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90.404819105382003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353.37024194969638</v>
      </c>
      <c r="EP106" s="62">
        <f t="shared" si="100"/>
        <v>345.4750813433123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98.45868431357664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98.45868431357664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8.5265128291212022E-14</v>
      </c>
      <c r="FF106" s="18">
        <f>FE106*VLOOKUP('Données projet'!$B$16,Paramètres!$A$1:$I$89,3,0)*VLOOKUP('Données projet'!$B$16,Paramètres!$A$1:$I$89,5,0)</f>
        <v>5.5865712056402117E-14</v>
      </c>
      <c r="FG106" s="14">
        <f t="shared" si="101"/>
        <v>8.9811031843713517E-13</v>
      </c>
      <c r="FH106" s="22">
        <f t="shared" si="76"/>
        <v>1.6615082531095774E-12</v>
      </c>
      <c r="FI106" s="62">
        <f t="shared" si="77"/>
        <v>293.33333333333496</v>
      </c>
      <c r="FJ106" s="62">
        <f ca="1">AVERAGE(OFFSET($FI$3,0,0,'Données projet'!$E$16+1,1))-AVERAGE(OFFSET($H$3,0,0,'Données projet'!$E$16+1,1))</f>
        <v>263.30962868541337</v>
      </c>
      <c r="FK106" s="62">
        <f t="shared" si="102"/>
        <v>269.61868559913404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63.669453953856461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63.669453953856461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5.1069999999999967</v>
      </c>
      <c r="N107" s="14">
        <f>IF('Données projet'!$A$36&gt;35,N106+M107-V106,IF(A107&lt;'Données projet'!$A$36,$K$205^A107,IF(A107='Données projet'!$A$36,'Données projet'!$B$36,N106+M107-V106)))</f>
        <v>213.44800000000012</v>
      </c>
      <c r="O107" s="14">
        <f>N107*VLOOKUP('Données projet'!$B$9,Paramètres!$A$1:$I$89,3,0)*VLOOKUP('Données projet'!$B$9,Paramètres!$A$1:$I$89,5,0)</f>
        <v>127.64190400000008</v>
      </c>
      <c r="P107" s="14">
        <f t="shared" si="87"/>
        <v>33.450893423761919</v>
      </c>
      <c r="Q107" s="22">
        <f t="shared" si="107"/>
        <v>280.56995551305215</v>
      </c>
      <c r="R107" s="62">
        <f t="shared" si="55"/>
        <v>573.90328884638552</v>
      </c>
      <c r="S107" s="62">
        <f ca="1">AVERAGE(OFFSET($R$3,0,0,'Données projet'!$E$9+1,1))-AVERAGE(OFFSET($H$3,0,0,'Données projet'!$E$9+1,1))</f>
        <v>262.06511368698341</v>
      </c>
      <c r="T107" s="62">
        <f t="shared" si="88"/>
        <v>217.15709240080542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58.84683704123313</v>
      </c>
      <c r="AA107" s="23">
        <f>EXP(-LN(2)/25)*AA106+(1-EXP(-LN(2)/25))/(LN(2)/25)*Calculateur!V107*Calculateur!X107*VLOOKUP('Données projet'!$B$9,Paramètres!$A$1:$I$89,3,0)*0.475*44/12</f>
        <v>10.403390757888824</v>
      </c>
      <c r="AB107" s="23">
        <f>EXP(-LN(2)/2)*AB106+(1-EXP(-LN(2)/2))/(LN(2)/2)*V107*Y107*VLOOKUP('Données projet'!$B$9,Paramètres!$A$1:$I$89,3,0)*0.475*44/12</f>
        <v>1.436371102210698</v>
      </c>
      <c r="AC107" s="24">
        <f t="shared" si="57"/>
        <v>70.686598901332658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287.83167869616227</v>
      </c>
      <c r="AO107" s="62">
        <f t="shared" si="90"/>
        <v>233.84231920589906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148.55856148094685</v>
      </c>
      <c r="AV107" s="23">
        <f>EXP(-LN(2)/25)*AV106+(1-EXP(-LN(2)/25))/(LN(2)/25)*Calculateur!AQ107*Calculateur!AS107*VLOOKUP('Données projet'!$B$10,Paramètres!$A$1:$I$89,3,0)*0.475*44/12</f>
        <v>26.862048055512638</v>
      </c>
      <c r="AW107" s="23">
        <f>EXP(-LN(2)/2)*AW106+(1-EXP(-LN(2)/2))/(LN(2)/2)*AQ107*AT107*VLOOKUP('Données projet'!$B$10,Paramètres!$A$1:$I$89,3,0)*0.475*44/12</f>
        <v>3.7291439608286945</v>
      </c>
      <c r="AX107" s="23">
        <f t="shared" si="60"/>
        <v>179.1497534972882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-1.064108801074326E-13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262.36903350767881</v>
      </c>
      <c r="BJ107" s="62">
        <f t="shared" si="92"/>
        <v>331.21009482262417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71.89407288408961</v>
      </c>
      <c r="BQ107" s="23">
        <f>EXP(-LN(2)/25)*BQ106+(1-EXP(-LN(2)/25))/(LN(2)/25)*Calculateur!BL107*Calculateur!BN107*VLOOKUP('Données projet'!$B$11,Paramètres!$A$1:$I$89,3,0)*0.475*44/12</f>
        <v>11.887055534352136</v>
      </c>
      <c r="BR107" s="23">
        <f>EXP(-LN(2)/2)*BR106+(1-EXP(-LN(2)/2))/(LN(2)/2)*BL107*BO107*VLOOKUP('Données projet'!$B$11,Paramètres!$A$1:$I$89,3,0)*0.475*44/12</f>
        <v>4.749350206454405E-6</v>
      </c>
      <c r="BS107" s="24">
        <f t="shared" si="63"/>
        <v>83.78113316779195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>
        <f>VLOOKUP(A107,'Données projet'!$A$113:$I$133,2,0)</f>
        <v>365.41</v>
      </c>
      <c r="BW107" s="13">
        <f>VLOOKUP(A107,'Données projet'!$A$113:$I$133,9,0)</f>
        <v>8.0470000000000024</v>
      </c>
      <c r="BX107" s="13">
        <f t="array" ref="BX107">INDEX(BW:BW,MIN(IF(ISNUMBER(BW107:BW303),ROW(BW107:BW303),"")))</f>
        <v>8.0470000000000024</v>
      </c>
      <c r="BY107" s="13">
        <f>IF('Données projet'!$A$114&gt;35,BY106+BX107-CG106,IF(A107&lt;'Données projet'!$A$114,$BV$205^A107,IF(A107='Données projet'!$A$114,'Données projet'!$B$114,BY106+BX107-CG106)))</f>
        <v>365.41000000000048</v>
      </c>
      <c r="BZ107" s="14">
        <f>BY107*VLOOKUP('Données projet'!$B$12,Paramètres!$A$1:$I$89,3,0)*VLOOKUP('Données projet'!$B$12,Paramètres!$A$1:$I$89,5,0)</f>
        <v>353.42455200000046</v>
      </c>
      <c r="CA107" s="14">
        <f t="shared" si="93"/>
        <v>82.267261964148275</v>
      </c>
      <c r="CB107" s="22">
        <f t="shared" si="64"/>
        <v>758.8299093208924</v>
      </c>
      <c r="CC107" s="62">
        <f t="shared" si="65"/>
        <v>1052.1632426542258</v>
      </c>
      <c r="CD107" s="62">
        <f ca="1">AVERAGE(OFFSET($CC$3,0,0,'Données projet'!$E$12+1,1))-AVERAGE(OFFSET($H$3,0,0,'Données projet'!$E$12+1,1))</f>
        <v>618.83149423524605</v>
      </c>
      <c r="CE107" s="62">
        <f t="shared" si="94"/>
        <v>285.33582535802435</v>
      </c>
      <c r="CF107" s="16">
        <f>IF(ISNA(VLOOKUP(A107,'Données projet'!$A$113:$I$133,3,0)),0,VLOOKUP(A107,'Données projet'!$A$113:$I$133,3,0))</f>
        <v>8</v>
      </c>
      <c r="CG107" s="16">
        <f>IF(ISNA(VLOOKUP(A107,'Données projet'!$A$113:$I$133,4,0)),0,VLOOKUP(A107,'Données projet'!$A$113:$I$133,4,0))</f>
        <v>60.19</v>
      </c>
      <c r="CH107" s="17">
        <f>IF(ISNA(VLOOKUP(A107,'Données projet'!$A$113:$I$133,5,0)),0%,VLOOKUP(A107,'Données projet'!$A$113:$I$133,5,0)*VLOOKUP('Données projet'!$B$12,Paramètres!$A$1:$I$89,7,0))</f>
        <v>0.215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45.111233322601294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45.111233322601294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349.5718186624772</v>
      </c>
      <c r="CZ107" s="62">
        <f t="shared" si="96"/>
        <v>258.14152930815959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125.5010158245977</v>
      </c>
      <c r="DG107" s="23">
        <f>EXP(-LN(2)/25)*DG106+(1-EXP(-LN(2)/25))/(LN(2)/25)*Calculateur!DB107*Calculateur!DD107*VLOOKUP('Données projet'!$B$13,Paramètres!$A$1:$I$89,3,0)*0.475*44/12</f>
        <v>16.219606602630481</v>
      </c>
      <c r="DH107" s="23">
        <f>EXP(-LN(2)/2)*DH106+(1-EXP(-LN(2)/2))/(LN(2)/2)*DB107*DE107*VLOOKUP('Données projet'!$B$13,Paramètres!$A$1:$I$89,3,0)*0.475*44/12</f>
        <v>7.7687318981196386E-3</v>
      </c>
      <c r="DI107" s="24">
        <f t="shared" si="69"/>
        <v>141.72839115912632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8.5265128291212022E-14</v>
      </c>
      <c r="DP107" s="18">
        <f>DO107*VLOOKUP('Données projet'!$B$14,Paramètres!$A$1:$I$89,3,0)*VLOOKUP('Données projet'!$B$14,Paramètres!$A$1:$I$89,5,0)</f>
        <v>7.4487616075202836E-14</v>
      </c>
      <c r="DQ107" s="14">
        <f t="shared" si="97"/>
        <v>1.1580453144473142E-12</v>
      </c>
      <c r="DR107" s="22">
        <f t="shared" si="70"/>
        <v>2.1466615206600508E-12</v>
      </c>
      <c r="DS107" s="62">
        <f t="shared" si="71"/>
        <v>293.33333333333547</v>
      </c>
      <c r="DT107" s="62">
        <f ca="1">AVERAGE(OFFSET($DS$3,0,0,'Données projet'!$E$14+1,1))-AVERAGE(OFFSET($H$3,0,0,'Données projet'!$E$14+1,1))</f>
        <v>300.63505444445104</v>
      </c>
      <c r="DU107" s="62">
        <f t="shared" si="98"/>
        <v>266.32508105927997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88.632035744220346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88.632035744220346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353.37024194969638</v>
      </c>
      <c r="EP107" s="62">
        <f t="shared" si="100"/>
        <v>345.4750813433123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96.527969568055013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96.527969568055013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8.5265128291212022E-14</v>
      </c>
      <c r="FF107" s="18">
        <f>FE107*VLOOKUP('Données projet'!$B$16,Paramètres!$A$1:$I$89,3,0)*VLOOKUP('Données projet'!$B$16,Paramètres!$A$1:$I$89,5,0)</f>
        <v>5.5865712056402117E-14</v>
      </c>
      <c r="FG107" s="14">
        <f t="shared" si="101"/>
        <v>8.9811031843713517E-13</v>
      </c>
      <c r="FH107" s="22">
        <f t="shared" si="76"/>
        <v>1.6615082531095774E-12</v>
      </c>
      <c r="FI107" s="62">
        <f t="shared" si="77"/>
        <v>293.33333333333496</v>
      </c>
      <c r="FJ107" s="62">
        <f ca="1">AVERAGE(OFFSET($FI$3,0,0,'Données projet'!$E$16+1,1))-AVERAGE(OFFSET($H$3,0,0,'Données projet'!$E$16+1,1))</f>
        <v>263.30962868541337</v>
      </c>
      <c r="FK107" s="62">
        <f t="shared" si="102"/>
        <v>269.61868559913404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62.420934796353656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62.420934796353656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5.1069999999999967</v>
      </c>
      <c r="N108" s="14">
        <f>IF('Données projet'!$A$36&gt;35,N107+M108-V107,IF(A108&lt;'Données projet'!$A$36,$K$205^A108,IF(A108='Données projet'!$A$36,'Données projet'!$B$36,N107+M108-V107)))</f>
        <v>218.55500000000012</v>
      </c>
      <c r="O108" s="14">
        <f>N108*VLOOKUP('Données projet'!$B$9,Paramètres!$A$1:$I$89,3,0)*VLOOKUP('Données projet'!$B$9,Paramètres!$A$1:$I$89,5,0)</f>
        <v>130.69589000000008</v>
      </c>
      <c r="P108" s="14">
        <f t="shared" si="87"/>
        <v>34.157109082735246</v>
      </c>
      <c r="Q108" s="22">
        <f t="shared" si="107"/>
        <v>287.1189734024307</v>
      </c>
      <c r="R108" s="62">
        <f t="shared" si="55"/>
        <v>580.45230673576407</v>
      </c>
      <c r="S108" s="62">
        <f ca="1">AVERAGE(OFFSET($R$3,0,0,'Données projet'!$E$9+1,1))-AVERAGE(OFFSET($H$3,0,0,'Données projet'!$E$9+1,1))</f>
        <v>262.06511368698341</v>
      </c>
      <c r="T108" s="62">
        <f t="shared" si="88"/>
        <v>217.15709240080542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57.692886459881002</v>
      </c>
      <c r="AA108" s="23">
        <f>EXP(-LN(2)/25)*AA107+(1-EXP(-LN(2)/25))/(LN(2)/25)*Calculateur!V108*Calculateur!X108*VLOOKUP('Données projet'!$B$9,Paramètres!$A$1:$I$89,3,0)*0.475*44/12</f>
        <v>10.11890949052381</v>
      </c>
      <c r="AB108" s="23">
        <f>EXP(-LN(2)/2)*AB107+(1-EXP(-LN(2)/2))/(LN(2)/2)*V108*Y108*VLOOKUP('Données projet'!$B$9,Paramètres!$A$1:$I$89,3,0)*0.475*44/12</f>
        <v>1.0156677466735802</v>
      </c>
      <c r="AC108" s="24">
        <f t="shared" si="57"/>
        <v>68.8274636970784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287.83167869616227</v>
      </c>
      <c r="AO108" s="62">
        <f t="shared" si="90"/>
        <v>233.84231920589906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145.6454187020808</v>
      </c>
      <c r="AV108" s="23">
        <f>EXP(-LN(2)/25)*AV107+(1-EXP(-LN(2)/25))/(LN(2)/25)*Calculateur!AQ108*Calculateur!AS108*VLOOKUP('Données projet'!$B$10,Paramètres!$A$1:$I$89,3,0)*0.475*44/12</f>
        <v>26.127503938820933</v>
      </c>
      <c r="AW108" s="23">
        <f>EXP(-LN(2)/2)*AW107+(1-EXP(-LN(2)/2))/(LN(2)/2)*AQ108*AT108*VLOOKUP('Données projet'!$B$10,Paramètres!$A$1:$I$89,3,0)*0.475*44/12</f>
        <v>2.6369029827228312</v>
      </c>
      <c r="AX108" s="23">
        <f t="shared" si="60"/>
        <v>174.40982562362456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-1.064108801074326E-13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262.36903350767881</v>
      </c>
      <c r="BJ108" s="62">
        <f t="shared" si="92"/>
        <v>331.21009482262417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70.484273965887141</v>
      </c>
      <c r="BQ108" s="23">
        <f>EXP(-LN(2)/25)*BQ107+(1-EXP(-LN(2)/25))/(LN(2)/25)*Calculateur!BL108*Calculateur!BN108*VLOOKUP('Données projet'!$B$11,Paramètres!$A$1:$I$89,3,0)*0.475*44/12</f>
        <v>11.562003375652194</v>
      </c>
      <c r="BR108" s="23">
        <f>EXP(-LN(2)/2)*BR107+(1-EXP(-LN(2)/2))/(LN(2)/2)*BL108*BO108*VLOOKUP('Données projet'!$B$11,Paramètres!$A$1:$I$89,3,0)*0.475*44/12</f>
        <v>3.3582977372136393E-6</v>
      </c>
      <c r="BS108" s="24">
        <f t="shared" si="63"/>
        <v>82.04628069983707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7.9349999999999969</v>
      </c>
      <c r="BY108" s="13">
        <f>IF('Données projet'!$A$114&gt;35,BY107+BX108-CG107,IF(A108&lt;'Données projet'!$A$114,$BV$205^A108,IF(A108='Données projet'!$A$114,'Données projet'!$B$114,BY107+BX108-CG107)))</f>
        <v>313.15500000000048</v>
      </c>
      <c r="BZ108" s="14">
        <f>BY108*VLOOKUP('Données projet'!$B$12,Paramètres!$A$1:$I$89,3,0)*VLOOKUP('Données projet'!$B$12,Paramètres!$A$1:$I$89,5,0)</f>
        <v>302.88351600000044</v>
      </c>
      <c r="CA108" s="14">
        <f t="shared" si="93"/>
        <v>71.780622233603793</v>
      </c>
      <c r="CB108" s="22">
        <f t="shared" si="64"/>
        <v>652.54004075686078</v>
      </c>
      <c r="CC108" s="62">
        <f t="shared" si="65"/>
        <v>945.87337409019415</v>
      </c>
      <c r="CD108" s="62">
        <f ca="1">AVERAGE(OFFSET($CC$3,0,0,'Données projet'!$E$12+1,1))-AVERAGE(OFFSET($H$3,0,0,'Données projet'!$E$12+1,1))</f>
        <v>618.83149423524605</v>
      </c>
      <c r="CE108" s="62">
        <f t="shared" si="94"/>
        <v>285.33582535802435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44.226629552280514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44.226629552280514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349.5718186624772</v>
      </c>
      <c r="CZ108" s="62">
        <f t="shared" si="96"/>
        <v>258.14152930815959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123.0400174523385</v>
      </c>
      <c r="DG108" s="23">
        <f>EXP(-LN(2)/25)*DG107+(1-EXP(-LN(2)/25))/(LN(2)/25)*Calculateur!DB108*Calculateur!DD108*VLOOKUP('Données projet'!$B$13,Paramètres!$A$1:$I$89,3,0)*0.475*44/12</f>
        <v>15.77608060712951</v>
      </c>
      <c r="DH108" s="23">
        <f>EXP(-LN(2)/2)*DH107+(1-EXP(-LN(2)/2))/(LN(2)/2)*DB108*DE108*VLOOKUP('Données projet'!$B$13,Paramètres!$A$1:$I$89,3,0)*0.475*44/12</f>
        <v>5.4933230063806361E-3</v>
      </c>
      <c r="DI108" s="24">
        <f t="shared" si="69"/>
        <v>138.8215913824744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8.5265128291212022E-14</v>
      </c>
      <c r="DP108" s="18">
        <f>DO108*VLOOKUP('Données projet'!$B$14,Paramètres!$A$1:$I$89,3,0)*VLOOKUP('Données projet'!$B$14,Paramètres!$A$1:$I$89,5,0)</f>
        <v>7.4487616075202836E-14</v>
      </c>
      <c r="DQ108" s="14">
        <f t="shared" si="97"/>
        <v>1.1580453144473142E-12</v>
      </c>
      <c r="DR108" s="22">
        <f t="shared" si="70"/>
        <v>2.1466615206600508E-12</v>
      </c>
      <c r="DS108" s="62">
        <f t="shared" si="71"/>
        <v>293.33333333333547</v>
      </c>
      <c r="DT108" s="62">
        <f ca="1">AVERAGE(OFFSET($DS$3,0,0,'Données projet'!$E$14+1,1))-AVERAGE(OFFSET($H$3,0,0,'Données projet'!$E$14+1,1))</f>
        <v>300.63505444445104</v>
      </c>
      <c r="DU108" s="62">
        <f t="shared" si="98"/>
        <v>266.32508105927997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86.894015583479984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86.894015583479984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353.37024194969638</v>
      </c>
      <c r="EP108" s="62">
        <f t="shared" si="100"/>
        <v>345.4750813433123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94.635114961073342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94.635114961073342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8.5265128291212022E-14</v>
      </c>
      <c r="FF108" s="18">
        <f>FE108*VLOOKUP('Données projet'!$B$16,Paramètres!$A$1:$I$89,3,0)*VLOOKUP('Données projet'!$B$16,Paramètres!$A$1:$I$89,5,0)</f>
        <v>5.5865712056402117E-14</v>
      </c>
      <c r="FG108" s="14">
        <f t="shared" si="101"/>
        <v>8.9811031843713517E-13</v>
      </c>
      <c r="FH108" s="22">
        <f t="shared" si="76"/>
        <v>1.6615082531095774E-12</v>
      </c>
      <c r="FI108" s="62">
        <f t="shared" si="77"/>
        <v>293.33333333333496</v>
      </c>
      <c r="FJ108" s="62">
        <f ca="1">AVERAGE(OFFSET($FI$3,0,0,'Données projet'!$E$16+1,1))-AVERAGE(OFFSET($H$3,0,0,'Données projet'!$E$16+1,1))</f>
        <v>263.30962868541337</v>
      </c>
      <c r="FK108" s="62">
        <f t="shared" si="102"/>
        <v>269.61868559913404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61.196898338007991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61.196898338007991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5.1069999999999967</v>
      </c>
      <c r="N109" s="14">
        <f>IF('Données projet'!$A$36&gt;35,N108+M109-V108,IF(A109&lt;'Données projet'!$A$36,$K$205^A109,IF(A109='Données projet'!$A$36,'Données projet'!$B$36,N108+M109-V108)))</f>
        <v>223.66200000000012</v>
      </c>
      <c r="O109" s="14">
        <f>N109*VLOOKUP('Données projet'!$B$9,Paramètres!$A$1:$I$89,3,0)*VLOOKUP('Données projet'!$B$9,Paramètres!$A$1:$I$89,5,0)</f>
        <v>133.74987600000009</v>
      </c>
      <c r="P109" s="14">
        <f t="shared" si="87"/>
        <v>34.861406308356763</v>
      </c>
      <c r="Q109" s="22">
        <f t="shared" si="107"/>
        <v>293.66465002038825</v>
      </c>
      <c r="R109" s="62">
        <f t="shared" si="55"/>
        <v>586.99798335372157</v>
      </c>
      <c r="S109" s="62">
        <f ca="1">AVERAGE(OFFSET($R$3,0,0,'Données projet'!$E$9+1,1))-AVERAGE(OFFSET($H$3,0,0,'Données projet'!$E$9+1,1))</f>
        <v>262.06511368698341</v>
      </c>
      <c r="T109" s="62">
        <f t="shared" si="88"/>
        <v>217.15709240080542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56.561564145588832</v>
      </c>
      <c r="AA109" s="23">
        <f>EXP(-LN(2)/25)*AA108+(1-EXP(-LN(2)/25))/(LN(2)/25)*Calculateur!V109*Calculateur!X109*VLOOKUP('Données projet'!$B$9,Paramètres!$A$1:$I$89,3,0)*0.475*44/12</f>
        <v>9.8422073783751145</v>
      </c>
      <c r="AB109" s="23">
        <f>EXP(-LN(2)/2)*AB108+(1-EXP(-LN(2)/2))/(LN(2)/2)*V109*Y109*VLOOKUP('Données projet'!$B$9,Paramètres!$A$1:$I$89,3,0)*0.475*44/12</f>
        <v>0.7181855511053491</v>
      </c>
      <c r="AC109" s="24">
        <f t="shared" si="57"/>
        <v>67.12195707506929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287.83167869616227</v>
      </c>
      <c r="AO109" s="62">
        <f t="shared" si="90"/>
        <v>233.84231920589906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142.78940087626668</v>
      </c>
      <c r="AV109" s="23">
        <f>EXP(-LN(2)/25)*AV108+(1-EXP(-LN(2)/25))/(LN(2)/25)*Calculateur!AQ109*Calculateur!AS109*VLOOKUP('Données projet'!$B$10,Paramètres!$A$1:$I$89,3,0)*0.475*44/12</f>
        <v>25.413045969628158</v>
      </c>
      <c r="AW109" s="23">
        <f>EXP(-LN(2)/2)*AW108+(1-EXP(-LN(2)/2))/(LN(2)/2)*AQ109*AT109*VLOOKUP('Données projet'!$B$10,Paramètres!$A$1:$I$89,3,0)*0.475*44/12</f>
        <v>1.8645719804143477</v>
      </c>
      <c r="AX109" s="23">
        <f t="shared" si="60"/>
        <v>170.06701882630918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-1.064108801074326E-13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262.36903350767881</v>
      </c>
      <c r="BJ109" s="62">
        <f t="shared" si="92"/>
        <v>331.21009482262417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69.102120344578182</v>
      </c>
      <c r="BQ109" s="23">
        <f>EXP(-LN(2)/25)*BQ108+(1-EXP(-LN(2)/25))/(LN(2)/25)*Calculateur!BL109*Calculateur!BN109*VLOOKUP('Données projet'!$B$11,Paramètres!$A$1:$I$89,3,0)*0.475*44/12</f>
        <v>11.245839785325654</v>
      </c>
      <c r="BR109" s="23">
        <f>EXP(-LN(2)/2)*BR108+(1-EXP(-LN(2)/2))/(LN(2)/2)*BL109*BO109*VLOOKUP('Données projet'!$B$11,Paramètres!$A$1:$I$89,3,0)*0.475*44/12</f>
        <v>2.3746751032272025E-6</v>
      </c>
      <c r="BS109" s="24">
        <f t="shared" si="63"/>
        <v>80.347962504578945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7.9349999999999969</v>
      </c>
      <c r="BY109" s="13">
        <f>IF('Données projet'!$A$114&gt;35,BY108+BX109-CG108,IF(A109&lt;'Données projet'!$A$114,$BV$205^A109,IF(A109='Données projet'!$A$114,'Données projet'!$B$114,BY108+BX109-CG108)))</f>
        <v>321.09000000000049</v>
      </c>
      <c r="BZ109" s="14">
        <f>BY109*VLOOKUP('Données projet'!$B$12,Paramètres!$A$1:$I$89,3,0)*VLOOKUP('Données projet'!$B$12,Paramètres!$A$1:$I$89,5,0)</f>
        <v>310.5582480000005</v>
      </c>
      <c r="CA109" s="14">
        <f t="shared" si="93"/>
        <v>73.385402362433595</v>
      </c>
      <c r="CB109" s="22">
        <f t="shared" si="64"/>
        <v>668.70185771457261</v>
      </c>
      <c r="CC109" s="62">
        <f t="shared" si="65"/>
        <v>962.03519104790598</v>
      </c>
      <c r="CD109" s="62">
        <f ca="1">AVERAGE(OFFSET($CC$3,0,0,'Données projet'!$E$12+1,1))-AVERAGE(OFFSET($H$3,0,0,'Données projet'!$E$12+1,1))</f>
        <v>618.83149423524605</v>
      </c>
      <c r="CE109" s="62">
        <f t="shared" si="94"/>
        <v>285.33582535802435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43.359372322340704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43.359372322340704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349.5718186624772</v>
      </c>
      <c r="CZ109" s="62">
        <f t="shared" si="96"/>
        <v>258.14152930815959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120.62727775709851</v>
      </c>
      <c r="DG109" s="23">
        <f>EXP(-LN(2)/25)*DG108+(1-EXP(-LN(2)/25))/(LN(2)/25)*Calculateur!DB109*Calculateur!DD109*VLOOKUP('Données projet'!$B$13,Paramètres!$A$1:$I$89,3,0)*0.475*44/12</f>
        <v>15.344682853299531</v>
      </c>
      <c r="DH109" s="23">
        <f>EXP(-LN(2)/2)*DH108+(1-EXP(-LN(2)/2))/(LN(2)/2)*DB109*DE109*VLOOKUP('Données projet'!$B$13,Paramètres!$A$1:$I$89,3,0)*0.475*44/12</f>
        <v>3.8843659490598202E-3</v>
      </c>
      <c r="DI109" s="24">
        <f t="shared" si="69"/>
        <v>135.9758449763471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8.5265128291212022E-14</v>
      </c>
      <c r="DP109" s="18">
        <f>DO109*VLOOKUP('Données projet'!$B$14,Paramètres!$A$1:$I$89,3,0)*VLOOKUP('Données projet'!$B$14,Paramètres!$A$1:$I$89,5,0)</f>
        <v>7.4487616075202836E-14</v>
      </c>
      <c r="DQ109" s="14">
        <f t="shared" si="97"/>
        <v>1.1580453144473142E-12</v>
      </c>
      <c r="DR109" s="22">
        <f t="shared" si="70"/>
        <v>2.1466615206600508E-12</v>
      </c>
      <c r="DS109" s="62">
        <f t="shared" si="71"/>
        <v>293.33333333333547</v>
      </c>
      <c r="DT109" s="62">
        <f ca="1">AVERAGE(OFFSET($DS$3,0,0,'Données projet'!$E$14+1,1))-AVERAGE(OFFSET($H$3,0,0,'Données projet'!$E$14+1,1))</f>
        <v>300.63505444445104</v>
      </c>
      <c r="DU109" s="62">
        <f t="shared" si="98"/>
        <v>266.32508105927997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85.190076938004125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85.190076938004125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353.37024194969638</v>
      </c>
      <c r="EP109" s="62">
        <f t="shared" si="100"/>
        <v>345.4750813433123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92.779378078407277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92.779378078407277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8.5265128291212022E-14</v>
      </c>
      <c r="FF109" s="18">
        <f>FE109*VLOOKUP('Données projet'!$B$16,Paramètres!$A$1:$I$89,3,0)*VLOOKUP('Données projet'!$B$16,Paramètres!$A$1:$I$89,5,0)</f>
        <v>5.5865712056402117E-14</v>
      </c>
      <c r="FG109" s="14">
        <f t="shared" si="101"/>
        <v>8.9811031843713517E-13</v>
      </c>
      <c r="FH109" s="22">
        <f t="shared" si="76"/>
        <v>1.6615082531095774E-12</v>
      </c>
      <c r="FI109" s="62">
        <f t="shared" si="77"/>
        <v>293.33333333333496</v>
      </c>
      <c r="FJ109" s="62">
        <f ca="1">AVERAGE(OFFSET($FI$3,0,0,'Données projet'!$E$16+1,1))-AVERAGE(OFFSET($H$3,0,0,'Données projet'!$E$16+1,1))</f>
        <v>263.30962868541337</v>
      </c>
      <c r="FK109" s="62">
        <f t="shared" si="102"/>
        <v>269.61868559913404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59.996864488021963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59.996864488021963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5.1069999999999967</v>
      </c>
      <c r="N110" s="14">
        <f>IF('Données projet'!$A$36&gt;35,N109+M110-V109,IF(A110&lt;'Données projet'!$A$36,$K$205^A110,IF(A110='Données projet'!$A$36,'Données projet'!$B$36,N109+M110-V109)))</f>
        <v>228.76900000000012</v>
      </c>
      <c r="O110" s="14">
        <f>N110*VLOOKUP('Données projet'!$B$9,Paramètres!$A$1:$I$89,3,0)*VLOOKUP('Données projet'!$B$9,Paramètres!$A$1:$I$89,5,0)</f>
        <v>136.80386200000007</v>
      </c>
      <c r="P110" s="14">
        <f t="shared" si="87"/>
        <v>35.563833947802273</v>
      </c>
      <c r="Q110" s="22">
        <f t="shared" si="107"/>
        <v>300.20707044242238</v>
      </c>
      <c r="R110" s="62">
        <f t="shared" si="55"/>
        <v>593.54040377575575</v>
      </c>
      <c r="S110" s="62">
        <f ca="1">AVERAGE(OFFSET($R$3,0,0,'Données projet'!$E$9+1,1))-AVERAGE(OFFSET($H$3,0,0,'Données projet'!$E$9+1,1))</f>
        <v>262.06511368698341</v>
      </c>
      <c r="T110" s="62">
        <f t="shared" si="88"/>
        <v>217.15709240080542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55.452426371841455</v>
      </c>
      <c r="AA110" s="23">
        <f>EXP(-LN(2)/25)*AA109+(1-EXP(-LN(2)/25))/(LN(2)/25)*Calculateur!V110*Calculateur!X110*VLOOKUP('Données projet'!$B$9,Paramètres!$A$1:$I$89,3,0)*0.475*44/12</f>
        <v>9.5730717000342551</v>
      </c>
      <c r="AB110" s="23">
        <f>EXP(-LN(2)/2)*AB109+(1-EXP(-LN(2)/2))/(LN(2)/2)*V110*Y110*VLOOKUP('Données projet'!$B$9,Paramètres!$A$1:$I$89,3,0)*0.475*44/12</f>
        <v>0.5078338733367902</v>
      </c>
      <c r="AC110" s="24">
        <f t="shared" si="57"/>
        <v>65.53333194521251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287.83167869616227</v>
      </c>
      <c r="AO110" s="62">
        <f t="shared" si="90"/>
        <v>233.84231920589906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139.98938781801792</v>
      </c>
      <c r="AV110" s="23">
        <f>EXP(-LN(2)/25)*AV109+(1-EXP(-LN(2)/25))/(LN(2)/25)*Calculateur!AQ110*Calculateur!AS110*VLOOKUP('Données projet'!$B$10,Paramètres!$A$1:$I$89,3,0)*0.475*44/12</f>
        <v>24.718124891174671</v>
      </c>
      <c r="AW110" s="23">
        <f>EXP(-LN(2)/2)*AW109+(1-EXP(-LN(2)/2))/(LN(2)/2)*AQ110*AT110*VLOOKUP('Données projet'!$B$10,Paramètres!$A$1:$I$89,3,0)*0.475*44/12</f>
        <v>1.3184514913614158</v>
      </c>
      <c r="AX110" s="23">
        <f t="shared" si="60"/>
        <v>166.02596420055403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-1.064108801074326E-13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262.36903350767881</v>
      </c>
      <c r="BJ110" s="62">
        <f t="shared" si="92"/>
        <v>331.21009482262417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67.747069912752636</v>
      </c>
      <c r="BQ110" s="23">
        <f>EXP(-LN(2)/25)*BQ109+(1-EXP(-LN(2)/25))/(LN(2)/25)*Calculateur!BL110*Calculateur!BN110*VLOOKUP('Données projet'!$B$11,Paramètres!$A$1:$I$89,3,0)*0.475*44/12</f>
        <v>10.938321705002911</v>
      </c>
      <c r="BR110" s="23">
        <f>EXP(-LN(2)/2)*BR109+(1-EXP(-LN(2)/2))/(LN(2)/2)*BL110*BO110*VLOOKUP('Données projet'!$B$11,Paramètres!$A$1:$I$89,3,0)*0.475*44/12</f>
        <v>1.6791488686068197E-6</v>
      </c>
      <c r="BS110" s="24">
        <f t="shared" si="63"/>
        <v>78.685393296904408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7.9349999999999969</v>
      </c>
      <c r="BY110" s="13">
        <f>IF('Données projet'!$A$114&gt;35,BY109+BX110-CG109,IF(A110&lt;'Données projet'!$A$114,$BV$205^A110,IF(A110='Données projet'!$A$114,'Données projet'!$B$114,BY109+BX110-CG109)))</f>
        <v>329.02500000000049</v>
      </c>
      <c r="BZ110" s="14">
        <f>BY110*VLOOKUP('Données projet'!$B$12,Paramètres!$A$1:$I$89,3,0)*VLOOKUP('Données projet'!$B$12,Paramètres!$A$1:$I$89,5,0)</f>
        <v>318.23298000000051</v>
      </c>
      <c r="CA110" s="14">
        <f t="shared" si="93"/>
        <v>74.985572385355411</v>
      </c>
      <c r="CB110" s="22">
        <f t="shared" si="64"/>
        <v>684.85564540449479</v>
      </c>
      <c r="CC110" s="62">
        <f t="shared" si="65"/>
        <v>978.18897873782817</v>
      </c>
      <c r="CD110" s="62">
        <f ca="1">AVERAGE(OFFSET($CC$3,0,0,'Données projet'!$E$12+1,1))-AVERAGE(OFFSET($H$3,0,0,'Données projet'!$E$12+1,1))</f>
        <v>618.83149423524605</v>
      </c>
      <c r="CE110" s="62">
        <f t="shared" si="94"/>
        <v>285.33582535802435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42.509121477705335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42.509121477705335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349.5718186624772</v>
      </c>
      <c r="CZ110" s="62">
        <f t="shared" si="96"/>
        <v>258.14152930815959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118.26185041565628</v>
      </c>
      <c r="DG110" s="23">
        <f>EXP(-LN(2)/25)*DG109+(1-EXP(-LN(2)/25))/(LN(2)/25)*Calculateur!DB110*Calculateur!DD110*VLOOKUP('Données projet'!$B$13,Paramètres!$A$1:$I$89,3,0)*0.475*44/12</f>
        <v>14.925081693734255</v>
      </c>
      <c r="DH110" s="23">
        <f>EXP(-LN(2)/2)*DH109+(1-EXP(-LN(2)/2))/(LN(2)/2)*DB110*DE110*VLOOKUP('Données projet'!$B$13,Paramètres!$A$1:$I$89,3,0)*0.475*44/12</f>
        <v>2.7466615031903185E-3</v>
      </c>
      <c r="DI110" s="24">
        <f t="shared" si="69"/>
        <v>133.18967877089372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8.5265128291212022E-14</v>
      </c>
      <c r="DP110" s="18">
        <f>DO110*VLOOKUP('Données projet'!$B$14,Paramètres!$A$1:$I$89,3,0)*VLOOKUP('Données projet'!$B$14,Paramètres!$A$1:$I$89,5,0)</f>
        <v>7.4487616075202836E-14</v>
      </c>
      <c r="DQ110" s="14">
        <f t="shared" si="97"/>
        <v>1.1580453144473142E-12</v>
      </c>
      <c r="DR110" s="22">
        <f t="shared" si="70"/>
        <v>2.1466615206600508E-12</v>
      </c>
      <c r="DS110" s="62">
        <f t="shared" si="71"/>
        <v>293.33333333333547</v>
      </c>
      <c r="DT110" s="62">
        <f ca="1">AVERAGE(OFFSET($DS$3,0,0,'Données projet'!$E$14+1,1))-AVERAGE(OFFSET($H$3,0,0,'Données projet'!$E$14+1,1))</f>
        <v>300.63505444445104</v>
      </c>
      <c r="DU110" s="62">
        <f t="shared" si="98"/>
        <v>266.32508105927997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83.519551490066092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83.519551490066092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353.37024194969638</v>
      </c>
      <c r="EP110" s="62">
        <f t="shared" si="100"/>
        <v>345.4750813433123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90.96003106412256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90.96003106412256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8.5265128291212022E-14</v>
      </c>
      <c r="FF110" s="18">
        <f>FE110*VLOOKUP('Données projet'!$B$16,Paramètres!$A$1:$I$89,3,0)*VLOOKUP('Données projet'!$B$16,Paramètres!$A$1:$I$89,5,0)</f>
        <v>5.5865712056402117E-14</v>
      </c>
      <c r="FG110" s="14">
        <f t="shared" si="101"/>
        <v>8.9811031843713517E-13</v>
      </c>
      <c r="FH110" s="22">
        <f t="shared" si="76"/>
        <v>1.6615082531095774E-12</v>
      </c>
      <c r="FI110" s="62">
        <f t="shared" si="77"/>
        <v>293.33333333333496</v>
      </c>
      <c r="FJ110" s="62">
        <f ca="1">AVERAGE(OFFSET($FI$3,0,0,'Données projet'!$E$16+1,1))-AVERAGE(OFFSET($H$3,0,0,'Données projet'!$E$16+1,1))</f>
        <v>263.30962868541337</v>
      </c>
      <c r="FK110" s="62">
        <f t="shared" si="102"/>
        <v>269.61868559913404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58.820362569885788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58.820362569885788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5.1069999999999967</v>
      </c>
      <c r="N111" s="14">
        <f>IF('Données projet'!$A$36&gt;35,N110+M111-V110,IF(A111&lt;'Données projet'!$A$36,$K$205^A111,IF(A111='Données projet'!$A$36,'Données projet'!$B$36,N110+M111-V110)))</f>
        <v>233.87600000000012</v>
      </c>
      <c r="O111" s="14">
        <f>N111*VLOOKUP('Données projet'!$B$9,Paramètres!$A$1:$I$89,3,0)*VLOOKUP('Données projet'!$B$9,Paramètres!$A$1:$I$89,5,0)</f>
        <v>139.85784800000008</v>
      </c>
      <c r="P111" s="14">
        <f t="shared" si="87"/>
        <v>36.26443854282666</v>
      </c>
      <c r="Q111" s="22">
        <f t="shared" si="107"/>
        <v>306.74631572875654</v>
      </c>
      <c r="R111" s="62">
        <f t="shared" si="55"/>
        <v>600.07964906208986</v>
      </c>
      <c r="S111" s="62">
        <f ca="1">AVERAGE(OFFSET($R$3,0,0,'Données projet'!$E$9+1,1))-AVERAGE(OFFSET($H$3,0,0,'Données projet'!$E$9+1,1))</f>
        <v>262.06511368698341</v>
      </c>
      <c r="T111" s="62">
        <f t="shared" si="88"/>
        <v>217.15709240080542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54.365038113330023</v>
      </c>
      <c r="AA111" s="23">
        <f>EXP(-LN(2)/25)*AA110+(1-EXP(-LN(2)/25))/(LN(2)/25)*Calculateur!V111*Calculateur!X111*VLOOKUP('Données projet'!$B$9,Paramètres!$A$1:$I$89,3,0)*0.475*44/12</f>
        <v>9.3112955509708577</v>
      </c>
      <c r="AB111" s="23">
        <f>EXP(-LN(2)/2)*AB110+(1-EXP(-LN(2)/2))/(LN(2)/2)*V111*Y111*VLOOKUP('Données projet'!$B$9,Paramètres!$A$1:$I$89,3,0)*0.475*44/12</f>
        <v>0.3590927755526746</v>
      </c>
      <c r="AC111" s="24">
        <f t="shared" si="57"/>
        <v>64.035426439853552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287.83167869616227</v>
      </c>
      <c r="AO111" s="62">
        <f t="shared" si="90"/>
        <v>233.84231920589906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137.24428130800209</v>
      </c>
      <c r="AV111" s="23">
        <f>EXP(-LN(2)/25)*AV110+(1-EXP(-LN(2)/25))/(LN(2)/25)*Calculateur!AQ111*Calculateur!AS111*VLOOKUP('Données projet'!$B$10,Paramètres!$A$1:$I$89,3,0)*0.475*44/12</f>
        <v>24.042206466155807</v>
      </c>
      <c r="AW111" s="23">
        <f>EXP(-LN(2)/2)*AW110+(1-EXP(-LN(2)/2))/(LN(2)/2)*AQ111*AT111*VLOOKUP('Données projet'!$B$10,Paramètres!$A$1:$I$89,3,0)*0.475*44/12</f>
        <v>0.93228599020717395</v>
      </c>
      <c r="AX111" s="23">
        <f t="shared" si="60"/>
        <v>162.21877376436507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-1.064108801074326E-13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262.36903350767881</v>
      </c>
      <c r="BJ111" s="62">
        <f t="shared" si="92"/>
        <v>331.21009482262417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66.418591193396026</v>
      </c>
      <c r="BQ111" s="23">
        <f>EXP(-LN(2)/25)*BQ110+(1-EXP(-LN(2)/25))/(LN(2)/25)*Calculateur!BL111*Calculateur!BN111*VLOOKUP('Données projet'!$B$11,Paramètres!$A$1:$I$89,3,0)*0.475*44/12</f>
        <v>10.639212722758268</v>
      </c>
      <c r="BR111" s="23">
        <f>EXP(-LN(2)/2)*BR110+(1-EXP(-LN(2)/2))/(LN(2)/2)*BL111*BO111*VLOOKUP('Données projet'!$B$11,Paramètres!$A$1:$I$89,3,0)*0.475*44/12</f>
        <v>1.1873375516136013E-6</v>
      </c>
      <c r="BS111" s="24">
        <f t="shared" si="63"/>
        <v>77.057805103491845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7.9349999999999969</v>
      </c>
      <c r="BY111" s="13">
        <f>IF('Données projet'!$A$114&gt;35,BY110+BX111-CG110,IF(A111&lt;'Données projet'!$A$114,$BV$205^A111,IF(A111='Données projet'!$A$114,'Données projet'!$B$114,BY110+BX111-CG110)))</f>
        <v>336.96000000000049</v>
      </c>
      <c r="BZ111" s="14">
        <f>BY111*VLOOKUP('Données projet'!$B$12,Paramètres!$A$1:$I$89,3,0)*VLOOKUP('Données projet'!$B$12,Paramètres!$A$1:$I$89,5,0)</f>
        <v>325.90771200000052</v>
      </c>
      <c r="CA111" s="14">
        <f t="shared" si="93"/>
        <v>76.581256274616251</v>
      </c>
      <c r="CB111" s="22">
        <f t="shared" si="64"/>
        <v>701.00161974495734</v>
      </c>
      <c r="CC111" s="62">
        <f t="shared" si="65"/>
        <v>994.33495307829071</v>
      </c>
      <c r="CD111" s="62">
        <f ca="1">AVERAGE(OFFSET($CC$3,0,0,'Données projet'!$E$12+1,1))-AVERAGE(OFFSET($H$3,0,0,'Données projet'!$E$12+1,1))</f>
        <v>618.83149423524605</v>
      </c>
      <c r="CE111" s="62">
        <f t="shared" si="94"/>
        <v>285.33582535802435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41.67554353353146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41.67554353353146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349.5718186624772</v>
      </c>
      <c r="CZ111" s="62">
        <f t="shared" si="96"/>
        <v>258.14152930815959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115.94280766161151</v>
      </c>
      <c r="DG111" s="23">
        <f>EXP(-LN(2)/25)*DG110+(1-EXP(-LN(2)/25))/(LN(2)/25)*Calculateur!DB111*Calculateur!DD111*VLOOKUP('Données projet'!$B$13,Paramètres!$A$1:$I$89,3,0)*0.475*44/12</f>
        <v>14.516954549943156</v>
      </c>
      <c r="DH111" s="23">
        <f>EXP(-LN(2)/2)*DH110+(1-EXP(-LN(2)/2))/(LN(2)/2)*DB111*DE111*VLOOKUP('Données projet'!$B$13,Paramètres!$A$1:$I$89,3,0)*0.475*44/12</f>
        <v>1.9421829745299103E-3</v>
      </c>
      <c r="DI111" s="24">
        <f t="shared" si="69"/>
        <v>130.46170439452919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8.5265128291212022E-14</v>
      </c>
      <c r="DP111" s="18">
        <f>DO111*VLOOKUP('Données projet'!$B$14,Paramètres!$A$1:$I$89,3,0)*VLOOKUP('Données projet'!$B$14,Paramètres!$A$1:$I$89,5,0)</f>
        <v>7.4487616075202836E-14</v>
      </c>
      <c r="DQ111" s="14">
        <f t="shared" si="97"/>
        <v>1.1580453144473142E-12</v>
      </c>
      <c r="DR111" s="22">
        <f t="shared" si="70"/>
        <v>2.1466615206600508E-12</v>
      </c>
      <c r="DS111" s="62">
        <f t="shared" si="71"/>
        <v>293.33333333333547</v>
      </c>
      <c r="DT111" s="62">
        <f ca="1">AVERAGE(OFFSET($DS$3,0,0,'Données projet'!$E$14+1,1))-AVERAGE(OFFSET($H$3,0,0,'Données projet'!$E$14+1,1))</f>
        <v>300.63505444445104</v>
      </c>
      <c r="DU111" s="62">
        <f t="shared" si="98"/>
        <v>266.32508105927997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81.881784027242205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81.881784027242205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353.37024194969638</v>
      </c>
      <c r="EP111" s="62">
        <f t="shared" si="100"/>
        <v>345.4750813433123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89.17636033509585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89.17636033509585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8.5265128291212022E-14</v>
      </c>
      <c r="FF111" s="18">
        <f>FE111*VLOOKUP('Données projet'!$B$16,Paramètres!$A$1:$I$89,3,0)*VLOOKUP('Données projet'!$B$16,Paramètres!$A$1:$I$89,5,0)</f>
        <v>5.5865712056402117E-14</v>
      </c>
      <c r="FG111" s="14">
        <f t="shared" si="101"/>
        <v>8.9811031843713517E-13</v>
      </c>
      <c r="FH111" s="22">
        <f t="shared" si="76"/>
        <v>1.6615082531095774E-12</v>
      </c>
      <c r="FI111" s="62">
        <f t="shared" si="77"/>
        <v>293.33333333333496</v>
      </c>
      <c r="FJ111" s="62">
        <f ca="1">AVERAGE(OFFSET($FI$3,0,0,'Données projet'!$E$16+1,1))-AVERAGE(OFFSET($H$3,0,0,'Données projet'!$E$16+1,1))</f>
        <v>263.30962868541337</v>
      </c>
      <c r="FK111" s="62">
        <f t="shared" si="102"/>
        <v>269.61868559913404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57.666931136768945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57.666931136768945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5.1069999999999967</v>
      </c>
      <c r="N112" s="14">
        <f>IF('Données projet'!$A$36&gt;35,N111+M112-V111,IF(A112&lt;'Données projet'!$A$36,$K$205^A112,IF(A112='Données projet'!$A$36,'Données projet'!$B$36,N111+M112-V111)))</f>
        <v>238.98300000000012</v>
      </c>
      <c r="O112" s="14">
        <f>N112*VLOOKUP('Données projet'!$B$9,Paramètres!$A$1:$I$89,3,0)*VLOOKUP('Données projet'!$B$9,Paramètres!$A$1:$I$89,5,0)</f>
        <v>142.91183400000008</v>
      </c>
      <c r="P112" s="14">
        <f t="shared" si="87"/>
        <v>36.963264486500442</v>
      </c>
      <c r="Q112" s="22">
        <f t="shared" si="107"/>
        <v>313.28246319732176</v>
      </c>
      <c r="R112" s="62">
        <f t="shared" si="55"/>
        <v>606.61579653065508</v>
      </c>
      <c r="S112" s="62">
        <f ca="1">AVERAGE(OFFSET($R$3,0,0,'Données projet'!$E$9+1,1))-AVERAGE(OFFSET($H$3,0,0,'Données projet'!$E$9+1,1))</f>
        <v>262.06511368698341</v>
      </c>
      <c r="T112" s="62">
        <f t="shared" si="88"/>
        <v>217.15709240080542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53.298972875326655</v>
      </c>
      <c r="AA112" s="23">
        <f>EXP(-LN(2)/25)*AA111+(1-EXP(-LN(2)/25))/(LN(2)/25)*Calculateur!V112*Calculateur!X112*VLOOKUP('Données projet'!$B$9,Paramètres!$A$1:$I$89,3,0)*0.475*44/12</f>
        <v>9.0566776844698076</v>
      </c>
      <c r="AB112" s="23">
        <f>EXP(-LN(2)/2)*AB111+(1-EXP(-LN(2)/2))/(LN(2)/2)*V112*Y112*VLOOKUP('Données projet'!$B$9,Paramètres!$A$1:$I$89,3,0)*0.475*44/12</f>
        <v>0.2539169366683951</v>
      </c>
      <c r="AC112" s="24">
        <f t="shared" si="57"/>
        <v>62.609567496464855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287.83167869616227</v>
      </c>
      <c r="AO112" s="62">
        <f t="shared" si="90"/>
        <v>233.84231920589906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134.55300466229801</v>
      </c>
      <c r="AV112" s="23">
        <f>EXP(-LN(2)/25)*AV111+(1-EXP(-LN(2)/25))/(LN(2)/25)*Calculateur!AQ112*Calculateur!AS112*VLOOKUP('Données projet'!$B$10,Paramètres!$A$1:$I$89,3,0)*0.475*44/12</f>
        <v>23.384771066014089</v>
      </c>
      <c r="AW112" s="23">
        <f>EXP(-LN(2)/2)*AW111+(1-EXP(-LN(2)/2))/(LN(2)/2)*AQ112*AT112*VLOOKUP('Données projet'!$B$10,Paramètres!$A$1:$I$89,3,0)*0.475*44/12</f>
        <v>0.65922574568070802</v>
      </c>
      <c r="AX112" s="23">
        <f t="shared" si="60"/>
        <v>158.5970014739928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-1.064108801074326E-13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262.36903350767881</v>
      </c>
      <c r="BJ112" s="62">
        <f t="shared" si="92"/>
        <v>331.21009482262417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65.116163131433993</v>
      </c>
      <c r="BQ112" s="23">
        <f>EXP(-LN(2)/25)*BQ111+(1-EXP(-LN(2)/25))/(LN(2)/25)*Calculateur!BL112*Calculateur!BN112*VLOOKUP('Données projet'!$B$11,Paramètres!$A$1:$I$89,3,0)*0.475*44/12</f>
        <v>10.348282891362562</v>
      </c>
      <c r="BR112" s="23">
        <f>EXP(-LN(2)/2)*BR111+(1-EXP(-LN(2)/2))/(LN(2)/2)*BL112*BO112*VLOOKUP('Données projet'!$B$11,Paramètres!$A$1:$I$89,3,0)*0.475*44/12</f>
        <v>8.3957443430340983E-7</v>
      </c>
      <c r="BS112" s="24">
        <f t="shared" si="63"/>
        <v>75.464446862370991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7.9349999999999969</v>
      </c>
      <c r="BY112" s="13">
        <f>IF('Données projet'!$A$114&gt;35,BY111+BX112-CG111,IF(A112&lt;'Données projet'!$A$114,$BV$205^A112,IF(A112='Données projet'!$A$114,'Données projet'!$B$114,BY111+BX112-CG111)))</f>
        <v>344.89500000000049</v>
      </c>
      <c r="BZ112" s="14">
        <f>BY112*VLOOKUP('Données projet'!$B$12,Paramètres!$A$1:$I$89,3,0)*VLOOKUP('Données projet'!$B$12,Paramètres!$A$1:$I$89,5,0)</f>
        <v>333.58244400000052</v>
      </c>
      <c r="CA112" s="14">
        <f t="shared" si="93"/>
        <v>78.172571830595942</v>
      </c>
      <c r="CB112" s="22">
        <f t="shared" si="64"/>
        <v>717.13998590495532</v>
      </c>
      <c r="CC112" s="62">
        <f t="shared" si="65"/>
        <v>1010.4733192382887</v>
      </c>
      <c r="CD112" s="62">
        <f ca="1">AVERAGE(OFFSET($CC$3,0,0,'Données projet'!$E$12+1,1))-AVERAGE(OFFSET($H$3,0,0,'Données projet'!$E$12+1,1))</f>
        <v>618.83149423524605</v>
      </c>
      <c r="CE112" s="62">
        <f t="shared" si="94"/>
        <v>285.33582535802435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40.858311544410491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40.858311544410491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349.5718186624772</v>
      </c>
      <c r="CZ112" s="62">
        <f t="shared" si="96"/>
        <v>258.14152930815959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113.66923992149715</v>
      </c>
      <c r="DG112" s="23">
        <f>EXP(-LN(2)/25)*DG111+(1-EXP(-LN(2)/25))/(LN(2)/25)*Calculateur!DB112*Calculateur!DD112*VLOOKUP('Données projet'!$B$13,Paramètres!$A$1:$I$89,3,0)*0.475*44/12</f>
        <v>14.119987664361499</v>
      </c>
      <c r="DH112" s="23">
        <f>EXP(-LN(2)/2)*DH111+(1-EXP(-LN(2)/2))/(LN(2)/2)*DB112*DE112*VLOOKUP('Données projet'!$B$13,Paramètres!$A$1:$I$89,3,0)*0.475*44/12</f>
        <v>1.3733307515951595E-3</v>
      </c>
      <c r="DI112" s="24">
        <f t="shared" si="69"/>
        <v>127.79060091661025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8.5265128291212022E-14</v>
      </c>
      <c r="DP112" s="18">
        <f>DO112*VLOOKUP('Données projet'!$B$14,Paramètres!$A$1:$I$89,3,0)*VLOOKUP('Données projet'!$B$14,Paramètres!$A$1:$I$89,5,0)</f>
        <v>7.4487616075202836E-14</v>
      </c>
      <c r="DQ112" s="14">
        <f t="shared" si="97"/>
        <v>1.1580453144473142E-12</v>
      </c>
      <c r="DR112" s="22">
        <f t="shared" si="70"/>
        <v>2.1466615206600508E-12</v>
      </c>
      <c r="DS112" s="62">
        <f t="shared" si="71"/>
        <v>293.33333333333547</v>
      </c>
      <c r="DT112" s="62">
        <f ca="1">AVERAGE(OFFSET($DS$3,0,0,'Données projet'!$E$14+1,1))-AVERAGE(OFFSET($H$3,0,0,'Données projet'!$E$14+1,1))</f>
        <v>300.63505444445104</v>
      </c>
      <c r="DU112" s="62">
        <f t="shared" si="98"/>
        <v>266.32508105927997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80.276132185424785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80.276132185424785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353.37024194969638</v>
      </c>
      <c r="EP112" s="62">
        <f t="shared" si="100"/>
        <v>345.4750813433123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87.427666301133641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87.427666301133641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8.5265128291212022E-14</v>
      </c>
      <c r="FF112" s="18">
        <f>FE112*VLOOKUP('Données projet'!$B$16,Paramètres!$A$1:$I$89,3,0)*VLOOKUP('Données projet'!$B$16,Paramètres!$A$1:$I$89,5,0)</f>
        <v>5.5865712056402117E-14</v>
      </c>
      <c r="FG112" s="14">
        <f t="shared" si="101"/>
        <v>8.9811031843713517E-13</v>
      </c>
      <c r="FH112" s="22">
        <f t="shared" si="76"/>
        <v>1.6615082531095774E-12</v>
      </c>
      <c r="FI112" s="62">
        <f t="shared" si="77"/>
        <v>293.33333333333496</v>
      </c>
      <c r="FJ112" s="62">
        <f ca="1">AVERAGE(OFFSET($FI$3,0,0,'Données projet'!$E$16+1,1))-AVERAGE(OFFSET($H$3,0,0,'Données projet'!$E$16+1,1))</f>
        <v>263.30962868541337</v>
      </c>
      <c r="FK112" s="62">
        <f t="shared" si="102"/>
        <v>269.61868559913404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56.536117790531819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56.536117790531819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244.09</v>
      </c>
      <c r="L113" s="13">
        <f>VLOOKUP(A113,'Données projet'!$A$35:$I$55,9,0)</f>
        <v>5.1069999999999967</v>
      </c>
      <c r="M113" s="13">
        <f t="array" ref="M113">INDEX(L:L,MIN(IF(ISNUMBER(L113:L309),ROW(L113:L309),"")))</f>
        <v>5.1069999999999967</v>
      </c>
      <c r="N113" s="14">
        <f>IF('Données projet'!$A$36&gt;35,N112+M113-V112,IF(A113&lt;'Données projet'!$A$36,$K$205^A113,IF(A113='Données projet'!$A$36,'Données projet'!$B$36,N112+M113-V112)))</f>
        <v>244.09000000000012</v>
      </c>
      <c r="O113" s="14">
        <f>N113*VLOOKUP('Données projet'!$B$9,Paramètres!$A$1:$I$89,3,0)*VLOOKUP('Données projet'!$B$9,Paramètres!$A$1:$I$89,5,0)</f>
        <v>145.96582000000009</v>
      </c>
      <c r="P113" s="14">
        <f t="shared" si="87"/>
        <v>37.660354166170684</v>
      </c>
      <c r="Q113" s="22">
        <f t="shared" si="107"/>
        <v>319.81558667274743</v>
      </c>
      <c r="R113" s="62">
        <f t="shared" si="55"/>
        <v>613.14892000608074</v>
      </c>
      <c r="S113" s="62">
        <f ca="1">AVERAGE(OFFSET($R$3,0,0,'Données projet'!$E$9+1,1))-AVERAGE(OFFSET($H$3,0,0,'Données projet'!$E$9+1,1))</f>
        <v>262.06511368698341</v>
      </c>
      <c r="T113" s="62">
        <f t="shared" si="88"/>
        <v>217.15709240080542</v>
      </c>
      <c r="U113" s="16">
        <f>IF(ISNA(VLOOKUP(A113,'Données projet'!$A$35:$I$55,3,0)),0,VLOOKUP(A113,'Données projet'!$A$35:$I$55,3,0))</f>
        <v>6</v>
      </c>
      <c r="V113" s="16">
        <f>IF(ISNA(VLOOKUP(A113,'Données projet'!$A$35:$I$55,4,0)),0,VLOOKUP(A113,'Données projet'!$A$35:$I$55,4,0))</f>
        <v>244.09</v>
      </c>
      <c r="W113" s="17">
        <f>IF(ISNA(VLOOKUP(A113,'Données projet'!$A$35:$I$55,5,0)),0%,VLOOKUP(A113,'Données projet'!$A$35:$I$55,5,0)*VLOOKUP('Données projet'!$B$9,Paramètres!$A$1:$I$89,7,0))</f>
        <v>0.36000000000000004</v>
      </c>
      <c r="X113" s="17">
        <f>IF(ISNA(VLOOKUP(A113,'Données projet'!$A$35:$I$55,6,0)),0%,VLOOKUP(A113,'Données projet'!$A$35:$I$55,6,0)*VLOOKUP('Données projet'!$B$9,Paramètres!$A$1:$I$89,7,0))</f>
        <v>4.9500000000000002E-2</v>
      </c>
      <c r="Y113" s="17">
        <f>IF(ISNA(VLOOKUP(A113,'Données projet'!$A$35:$I$55,7,0)),0%,VLOOKUP(A113,'Données projet'!$A$35:$I$55,7,0))</f>
        <v>0.09</v>
      </c>
      <c r="Z113" s="23">
        <f>EXP(-LN(2)/35)*Z112+(1-EXP(-LN(2)/35))/(LN(2)/35)*V113*W113*VLOOKUP('Données projet'!$B$9,Paramètres!$A$1:$I$89,3,0)*0.475*44/12</f>
        <v>121.96171719399591</v>
      </c>
      <c r="AA113" s="23">
        <f>EXP(-LN(2)/25)*AA112+(1-EXP(-LN(2)/25))/(LN(2)/25)*Calculateur!V113*Calculateur!X113*VLOOKUP('Données projet'!$B$9,Paramètres!$A$1:$I$89,3,0)*0.475*44/12</f>
        <v>18.356120093759586</v>
      </c>
      <c r="AB113" s="23">
        <f>EXP(-LN(2)/2)*AB112+(1-EXP(-LN(2)/2))/(LN(2)/2)*V113*Y113*VLOOKUP('Données projet'!$B$9,Paramètres!$A$1:$I$89,3,0)*0.475*44/12</f>
        <v>15.053595804280446</v>
      </c>
      <c r="AC113" s="24">
        <f t="shared" si="57"/>
        <v>155.37143309203591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287.83167869616227</v>
      </c>
      <c r="AO113" s="62">
        <f t="shared" si="90"/>
        <v>233.84231920589906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131.91450231009952</v>
      </c>
      <c r="AV113" s="23">
        <f>EXP(-LN(2)/25)*AV112+(1-EXP(-LN(2)/25))/(LN(2)/25)*Calculateur!AQ113*Calculateur!AS113*VLOOKUP('Données projet'!$B$10,Paramètres!$A$1:$I$89,3,0)*0.475*44/12</f>
        <v>22.745313271462269</v>
      </c>
      <c r="AW113" s="23">
        <f>EXP(-LN(2)/2)*AW112+(1-EXP(-LN(2)/2))/(LN(2)/2)*AQ113*AT113*VLOOKUP('Données projet'!$B$10,Paramètres!$A$1:$I$89,3,0)*0.475*44/12</f>
        <v>0.46614299510358709</v>
      </c>
      <c r="AX113" s="23">
        <f t="shared" si="60"/>
        <v>155.12595857666537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-1.064108801074326E-13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262.36903350767881</v>
      </c>
      <c r="BJ113" s="62">
        <f t="shared" si="92"/>
        <v>331.21009482262417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63.839274889364361</v>
      </c>
      <c r="BQ113" s="23">
        <f>EXP(-LN(2)/25)*BQ112+(1-EXP(-LN(2)/25))/(LN(2)/25)*Calculateur!BL113*Calculateur!BN113*VLOOKUP('Données projet'!$B$11,Paramètres!$A$1:$I$89,3,0)*0.475*44/12</f>
        <v>10.065308551505707</v>
      </c>
      <c r="BR113" s="23">
        <f>EXP(-LN(2)/2)*BR112+(1-EXP(-LN(2)/2))/(LN(2)/2)*BL113*BO113*VLOOKUP('Données projet'!$B$11,Paramètres!$A$1:$I$89,3,0)*0.475*44/12</f>
        <v>5.9366877580680063E-7</v>
      </c>
      <c r="BS113" s="24">
        <f t="shared" si="63"/>
        <v>73.904584034538843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7.9349999999999969</v>
      </c>
      <c r="BY113" s="13">
        <f>IF('Données projet'!$A$114&gt;35,BY112+BX113-CG112,IF(A113&lt;'Données projet'!$A$114,$BV$205^A113,IF(A113='Données projet'!$A$114,'Données projet'!$B$114,BY112+BX113-CG112)))</f>
        <v>352.8300000000005</v>
      </c>
      <c r="BZ113" s="14">
        <f>BY113*VLOOKUP('Données projet'!$B$12,Paramètres!$A$1:$I$89,3,0)*VLOOKUP('Données projet'!$B$12,Paramètres!$A$1:$I$89,5,0)</f>
        <v>341.25717600000047</v>
      </c>
      <c r="CA113" s="14">
        <f t="shared" si="93"/>
        <v>79.759631123888809</v>
      </c>
      <c r="CB113" s="22">
        <f t="shared" si="64"/>
        <v>733.2709390741071</v>
      </c>
      <c r="CC113" s="62">
        <f t="shared" si="65"/>
        <v>1026.6042724074405</v>
      </c>
      <c r="CD113" s="62">
        <f ca="1">AVERAGE(OFFSET($CC$3,0,0,'Données projet'!$E$12+1,1))-AVERAGE(OFFSET($H$3,0,0,'Données projet'!$E$12+1,1))</f>
        <v>618.83149423524605</v>
      </c>
      <c r="CE113" s="62">
        <f t="shared" si="94"/>
        <v>285.33582535802435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40.057104976133886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40.057104976133886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349.5718186624772</v>
      </c>
      <c r="CZ113" s="62">
        <f t="shared" si="96"/>
        <v>258.14152930815959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111.44025545802704</v>
      </c>
      <c r="DG113" s="23">
        <f>EXP(-LN(2)/25)*DG112+(1-EXP(-LN(2)/25))/(LN(2)/25)*Calculateur!DB113*Calculateur!DD113*VLOOKUP('Données projet'!$B$13,Paramètres!$A$1:$I$89,3,0)*0.475*44/12</f>
        <v>13.733875859141655</v>
      </c>
      <c r="DH113" s="23">
        <f>EXP(-LN(2)/2)*DH112+(1-EXP(-LN(2)/2))/(LN(2)/2)*DB113*DE113*VLOOKUP('Données projet'!$B$13,Paramètres!$A$1:$I$89,3,0)*0.475*44/12</f>
        <v>9.7109148726495537E-4</v>
      </c>
      <c r="DI113" s="24">
        <f t="shared" si="69"/>
        <v>125.17510240865596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8.5265128291212022E-14</v>
      </c>
      <c r="DP113" s="18">
        <f>DO113*VLOOKUP('Données projet'!$B$14,Paramètres!$A$1:$I$89,3,0)*VLOOKUP('Données projet'!$B$14,Paramètres!$A$1:$I$89,5,0)</f>
        <v>7.4487616075202836E-14</v>
      </c>
      <c r="DQ113" s="14">
        <f t="shared" si="97"/>
        <v>1.1580453144473142E-12</v>
      </c>
      <c r="DR113" s="22">
        <f t="shared" si="70"/>
        <v>2.1466615206600508E-12</v>
      </c>
      <c r="DS113" s="62">
        <f t="shared" si="71"/>
        <v>293.33333333333547</v>
      </c>
      <c r="DT113" s="62">
        <f ca="1">AVERAGE(OFFSET($DS$3,0,0,'Données projet'!$E$14+1,1))-AVERAGE(OFFSET($H$3,0,0,'Données projet'!$E$14+1,1))</f>
        <v>300.63505444445104</v>
      </c>
      <c r="DU113" s="62">
        <f t="shared" si="98"/>
        <v>266.32508105927997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78.70196619687448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78.70196619687448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353.37024194969638</v>
      </c>
      <c r="EP113" s="62">
        <f t="shared" si="100"/>
        <v>345.4750813433123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85.713263090579389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85.713263090579389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8.5265128291212022E-14</v>
      </c>
      <c r="FF113" s="18">
        <f>FE113*VLOOKUP('Données projet'!$B$16,Paramètres!$A$1:$I$89,3,0)*VLOOKUP('Données projet'!$B$16,Paramètres!$A$1:$I$89,5,0)</f>
        <v>5.5865712056402117E-14</v>
      </c>
      <c r="FG113" s="14">
        <f t="shared" si="101"/>
        <v>8.9811031843713517E-13</v>
      </c>
      <c r="FH113" s="22">
        <f t="shared" si="76"/>
        <v>1.6615082531095774E-12</v>
      </c>
      <c r="FI113" s="62">
        <f t="shared" si="77"/>
        <v>293.33333333333496</v>
      </c>
      <c r="FJ113" s="62">
        <f ca="1">AVERAGE(OFFSET($FI$3,0,0,'Données projet'!$E$16+1,1))-AVERAGE(OFFSET($H$3,0,0,'Données projet'!$E$16+1,1))</f>
        <v>263.30962868541337</v>
      </c>
      <c r="FK113" s="62">
        <f t="shared" si="102"/>
        <v>269.61868559913404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55.427479004286369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55.427479004286369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262.06511368698341</v>
      </c>
      <c r="T114" s="62">
        <f t="shared" si="88"/>
        <v>217.15709240080542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119.5701223091238</v>
      </c>
      <c r="AA114" s="23">
        <f>EXP(-LN(2)/25)*AA113+(1-EXP(-LN(2)/25))/(LN(2)/25)*Calculateur!V114*Calculateur!X114*VLOOKUP('Données projet'!$B$9,Paramètres!$A$1:$I$89,3,0)*0.475*44/12</f>
        <v>17.854171024489329</v>
      </c>
      <c r="AB114" s="23">
        <f>EXP(-LN(2)/2)*AB113+(1-EXP(-LN(2)/2))/(LN(2)/2)*V114*Y114*VLOOKUP('Données projet'!$B$9,Paramètres!$A$1:$I$89,3,0)*0.475*44/12</f>
        <v>10.644499674448063</v>
      </c>
      <c r="AC114" s="24">
        <f t="shared" si="57"/>
        <v>148.06879300806119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287.83167869616227</v>
      </c>
      <c r="AO114" s="62">
        <f t="shared" si="90"/>
        <v>233.84231920589906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129.32773937970012</v>
      </c>
      <c r="AV114" s="23">
        <f>EXP(-LN(2)/25)*AV113+(1-EXP(-LN(2)/25))/(LN(2)/25)*Calculateur!AQ114*Calculateur!AS114*VLOOKUP('Données projet'!$B$10,Paramètres!$A$1:$I$89,3,0)*0.475*44/12</f>
        <v>22.123341483930094</v>
      </c>
      <c r="AW114" s="23">
        <f>EXP(-LN(2)/2)*AW113+(1-EXP(-LN(2)/2))/(LN(2)/2)*AQ114*AT114*VLOOKUP('Données projet'!$B$10,Paramètres!$A$1:$I$89,3,0)*0.475*44/12</f>
        <v>0.32961287284035407</v>
      </c>
      <c r="AX114" s="23">
        <f t="shared" si="60"/>
        <v>151.78069373647057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-1.064108801074326E-13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262.36903350767881</v>
      </c>
      <c r="BJ114" s="62">
        <f t="shared" si="92"/>
        <v>331.21009482262417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62.58742564689679</v>
      </c>
      <c r="BQ114" s="23">
        <f>EXP(-LN(2)/25)*BQ113+(1-EXP(-LN(2)/25))/(LN(2)/25)*Calculateur!BL114*Calculateur!BN114*VLOOKUP('Données projet'!$B$11,Paramètres!$A$1:$I$89,3,0)*0.475*44/12</f>
        <v>9.7900721598532119</v>
      </c>
      <c r="BR114" s="23">
        <f>EXP(-LN(2)/2)*BR113+(1-EXP(-LN(2)/2))/(LN(2)/2)*BL114*BO114*VLOOKUP('Données projet'!$B$11,Paramètres!$A$1:$I$89,3,0)*0.475*44/12</f>
        <v>4.1978721715170492E-7</v>
      </c>
      <c r="BS114" s="24">
        <f t="shared" si="63"/>
        <v>72.377498226537213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7.9349999999999969</v>
      </c>
      <c r="BY114" s="13">
        <f>IF('Données projet'!$A$114&gt;35,BY113+BX114-CG113,IF(A114&lt;'Données projet'!$A$114,$BV$205^A114,IF(A114='Données projet'!$A$114,'Données projet'!$B$114,BY113+BX114-CG113)))</f>
        <v>360.7650000000005</v>
      </c>
      <c r="BZ114" s="14">
        <f>BY114*VLOOKUP('Données projet'!$B$12,Paramètres!$A$1:$I$89,3,0)*VLOOKUP('Données projet'!$B$12,Paramètres!$A$1:$I$89,5,0)</f>
        <v>348.93190800000048</v>
      </c>
      <c r="CA114" s="14">
        <f t="shared" si="93"/>
        <v>81.342540896495009</v>
      </c>
      <c r="CB114" s="22">
        <f t="shared" si="64"/>
        <v>749.39466516139635</v>
      </c>
      <c r="CC114" s="62">
        <f t="shared" si="65"/>
        <v>1042.7279984947297</v>
      </c>
      <c r="CD114" s="62">
        <f ca="1">AVERAGE(OFFSET($CC$3,0,0,'Données projet'!$E$12+1,1))-AVERAGE(OFFSET($H$3,0,0,'Données projet'!$E$12+1,1))</f>
        <v>618.83149423524605</v>
      </c>
      <c r="CE114" s="62">
        <f t="shared" si="94"/>
        <v>285.33582535802435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39.271609579973436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39.271609579973436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349.5718186624772</v>
      </c>
      <c r="CZ114" s="62">
        <f t="shared" si="96"/>
        <v>258.14152930815959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109.25498002033929</v>
      </c>
      <c r="DG114" s="23">
        <f>EXP(-LN(2)/25)*DG113+(1-EXP(-LN(2)/25))/(LN(2)/25)*Calculateur!DB114*Calculateur!DD114*VLOOKUP('Données projet'!$B$13,Paramètres!$A$1:$I$89,3,0)*0.475*44/12</f>
        <v>13.358322301540284</v>
      </c>
      <c r="DH114" s="23">
        <f>EXP(-LN(2)/2)*DH113+(1-EXP(-LN(2)/2))/(LN(2)/2)*DB114*DE114*VLOOKUP('Données projet'!$B$13,Paramètres!$A$1:$I$89,3,0)*0.475*44/12</f>
        <v>6.8666537579757984E-4</v>
      </c>
      <c r="DI114" s="24">
        <f t="shared" si="69"/>
        <v>122.61398898725537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8.5265128291212022E-14</v>
      </c>
      <c r="DP114" s="18">
        <f>DO114*VLOOKUP('Données projet'!$B$14,Paramètres!$A$1:$I$89,3,0)*VLOOKUP('Données projet'!$B$14,Paramètres!$A$1:$I$89,5,0)</f>
        <v>7.4487616075202836E-14</v>
      </c>
      <c r="DQ114" s="14">
        <f t="shared" si="97"/>
        <v>1.1580453144473142E-12</v>
      </c>
      <c r="DR114" s="22">
        <f t="shared" si="70"/>
        <v>2.1466615206600508E-12</v>
      </c>
      <c r="DS114" s="62">
        <f t="shared" si="71"/>
        <v>293.33333333333547</v>
      </c>
      <c r="DT114" s="62">
        <f ca="1">AVERAGE(OFFSET($DS$3,0,0,'Données projet'!$E$14+1,1))-AVERAGE(OFFSET($H$3,0,0,'Données projet'!$E$14+1,1))</f>
        <v>300.63505444445104</v>
      </c>
      <c r="DU114" s="62">
        <f t="shared" si="98"/>
        <v>266.32508105927997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77.158668643213204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77.158668643213204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353.37024194969638</v>
      </c>
      <c r="EP114" s="62">
        <f t="shared" si="100"/>
        <v>345.4750813433123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84.032478281301394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84.032478281301394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8.5265128291212022E-14</v>
      </c>
      <c r="FF114" s="18">
        <f>FE114*VLOOKUP('Données projet'!$B$16,Paramètres!$A$1:$I$89,3,0)*VLOOKUP('Données projet'!$B$16,Paramètres!$A$1:$I$89,5,0)</f>
        <v>5.5865712056402117E-14</v>
      </c>
      <c r="FG114" s="14">
        <f t="shared" si="101"/>
        <v>8.9811031843713517E-13</v>
      </c>
      <c r="FH114" s="22">
        <f t="shared" si="76"/>
        <v>1.6615082531095774E-12</v>
      </c>
      <c r="FI114" s="62">
        <f t="shared" si="77"/>
        <v>293.33333333333496</v>
      </c>
      <c r="FJ114" s="62">
        <f ca="1">AVERAGE(OFFSET($FI$3,0,0,'Données projet'!$E$16+1,1))-AVERAGE(OFFSET($H$3,0,0,'Données projet'!$E$16+1,1))</f>
        <v>263.30962868541337</v>
      </c>
      <c r="FK114" s="62">
        <f t="shared" si="102"/>
        <v>269.61868559913404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54.3405799484363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54.3405799484363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262.06511368698341</v>
      </c>
      <c r="T115" s="62">
        <f t="shared" si="88"/>
        <v>217.15709240080542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117.2254251412152</v>
      </c>
      <c r="AA115" s="23">
        <f>EXP(-LN(2)/25)*AA114+(1-EXP(-LN(2)/25))/(LN(2)/25)*Calculateur!V115*Calculateur!X115*VLOOKUP('Données projet'!$B$9,Paramètres!$A$1:$I$89,3,0)*0.475*44/12</f>
        <v>17.36594777891462</v>
      </c>
      <c r="AB115" s="23">
        <f>EXP(-LN(2)/2)*AB114+(1-EXP(-LN(2)/2))/(LN(2)/2)*V115*Y115*VLOOKUP('Données projet'!$B$9,Paramètres!$A$1:$I$89,3,0)*0.475*44/12</f>
        <v>7.5267979021402232</v>
      </c>
      <c r="AC115" s="24">
        <f t="shared" si="57"/>
        <v>142.11817082227006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287.83167869616227</v>
      </c>
      <c r="AO115" s="62">
        <f t="shared" si="90"/>
        <v>233.84231920589906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126.79170129259626</v>
      </c>
      <c r="AV115" s="23">
        <f>EXP(-LN(2)/25)*AV114+(1-EXP(-LN(2)/25))/(LN(2)/25)*Calculateur!AQ115*Calculateur!AS115*VLOOKUP('Données projet'!$B$10,Paramètres!$A$1:$I$89,3,0)*0.475*44/12</f>
        <v>21.51837754763606</v>
      </c>
      <c r="AW115" s="23">
        <f>EXP(-LN(2)/2)*AW114+(1-EXP(-LN(2)/2))/(LN(2)/2)*AQ115*AT115*VLOOKUP('Données projet'!$B$10,Paramètres!$A$1:$I$89,3,0)*0.475*44/12</f>
        <v>0.23307149755179357</v>
      </c>
      <c r="AX115" s="23">
        <f t="shared" si="60"/>
        <v>148.54315033778411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-1.064108801074326E-13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262.36903350767881</v>
      </c>
      <c r="BJ115" s="62">
        <f t="shared" si="92"/>
        <v>331.21009482262417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61.360124404521365</v>
      </c>
      <c r="BQ115" s="23">
        <f>EXP(-LN(2)/25)*BQ114+(1-EXP(-LN(2)/25))/(LN(2)/25)*Calculateur!BL115*Calculateur!BN115*VLOOKUP('Données projet'!$B$11,Paramètres!$A$1:$I$89,3,0)*0.475*44/12</f>
        <v>9.5223621218045071</v>
      </c>
      <c r="BR115" s="23">
        <f>EXP(-LN(2)/2)*BR114+(1-EXP(-LN(2)/2))/(LN(2)/2)*BL115*BO115*VLOOKUP('Données projet'!$B$11,Paramètres!$A$1:$I$89,3,0)*0.475*44/12</f>
        <v>2.9683438790340031E-7</v>
      </c>
      <c r="BS115" s="24">
        <f t="shared" si="63"/>
        <v>70.882486823160264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7.9349999999999969</v>
      </c>
      <c r="BY115" s="13">
        <f>IF('Données projet'!$A$114&gt;35,BY114+BX115-CG114,IF(A115&lt;'Données projet'!$A$114,$BV$205^A115,IF(A115='Données projet'!$A$114,'Données projet'!$B$114,BY114+BX115-CG114)))</f>
        <v>368.7000000000005</v>
      </c>
      <c r="BZ115" s="14">
        <f>BY115*VLOOKUP('Données projet'!$B$12,Paramètres!$A$1:$I$89,3,0)*VLOOKUP('Données projet'!$B$12,Paramètres!$A$1:$I$89,5,0)</f>
        <v>356.60664000000048</v>
      </c>
      <c r="CA115" s="14">
        <f t="shared" si="93"/>
        <v>82.921402926720376</v>
      </c>
      <c r="CB115" s="22">
        <f t="shared" si="64"/>
        <v>765.51134143070556</v>
      </c>
      <c r="CC115" s="62">
        <f t="shared" si="65"/>
        <v>1058.8446747640389</v>
      </c>
      <c r="CD115" s="62">
        <f ca="1">AVERAGE(OFFSET($CC$3,0,0,'Données projet'!$E$12+1,1))-AVERAGE(OFFSET($H$3,0,0,'Données projet'!$E$12+1,1))</f>
        <v>618.83149423524605</v>
      </c>
      <c r="CE115" s="62">
        <f t="shared" si="94"/>
        <v>285.33582535802435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38.501517269426806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38.501517269426806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349.5718186624772</v>
      </c>
      <c r="CZ115" s="62">
        <f t="shared" si="96"/>
        <v>258.14152930815959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107.1125565010982</v>
      </c>
      <c r="DG115" s="23">
        <f>EXP(-LN(2)/25)*DG114+(1-EXP(-LN(2)/25))/(LN(2)/25)*Calculateur!DB115*Calculateur!DD115*VLOOKUP('Données projet'!$B$13,Paramètres!$A$1:$I$89,3,0)*0.475*44/12</f>
        <v>12.993038275721025</v>
      </c>
      <c r="DH115" s="23">
        <f>EXP(-LN(2)/2)*DH114+(1-EXP(-LN(2)/2))/(LN(2)/2)*DB115*DE115*VLOOKUP('Données projet'!$B$13,Paramètres!$A$1:$I$89,3,0)*0.475*44/12</f>
        <v>4.8554574363247774E-4</v>
      </c>
      <c r="DI115" s="24">
        <f t="shared" si="69"/>
        <v>120.10608032256285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8.5265128291212022E-14</v>
      </c>
      <c r="DP115" s="18">
        <f>DO115*VLOOKUP('Données projet'!$B$14,Paramètres!$A$1:$I$89,3,0)*VLOOKUP('Données projet'!$B$14,Paramètres!$A$1:$I$89,5,0)</f>
        <v>7.4487616075202836E-14</v>
      </c>
      <c r="DQ115" s="14">
        <f t="shared" si="97"/>
        <v>1.1580453144473142E-12</v>
      </c>
      <c r="DR115" s="22">
        <f t="shared" si="70"/>
        <v>2.1466615206600508E-12</v>
      </c>
      <c r="DS115" s="62">
        <f t="shared" si="71"/>
        <v>293.33333333333547</v>
      </c>
      <c r="DT115" s="62">
        <f ca="1">AVERAGE(OFFSET($DS$3,0,0,'Données projet'!$E$14+1,1))-AVERAGE(OFFSET($H$3,0,0,'Données projet'!$E$14+1,1))</f>
        <v>300.63505444445104</v>
      </c>
      <c r="DU115" s="62">
        <f t="shared" si="98"/>
        <v>266.32508105927997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75.645634213260664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75.645634213260664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353.37024194969638</v>
      </c>
      <c r="EP115" s="62">
        <f t="shared" si="100"/>
        <v>345.4750813433123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82.384652636955835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82.384652636955835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8.5265128291212022E-14</v>
      </c>
      <c r="FF115" s="18">
        <f>FE115*VLOOKUP('Données projet'!$B$16,Paramètres!$A$1:$I$89,3,0)*VLOOKUP('Données projet'!$B$16,Paramètres!$A$1:$I$89,5,0)</f>
        <v>5.5865712056402117E-14</v>
      </c>
      <c r="FG115" s="14">
        <f t="shared" si="101"/>
        <v>8.9811031843713517E-13</v>
      </c>
      <c r="FH115" s="22">
        <f t="shared" si="76"/>
        <v>1.6615082531095774E-12</v>
      </c>
      <c r="FI115" s="62">
        <f t="shared" si="77"/>
        <v>293.33333333333496</v>
      </c>
      <c r="FJ115" s="62">
        <f ca="1">AVERAGE(OFFSET($FI$3,0,0,'Données projet'!$E$16+1,1))-AVERAGE(OFFSET($H$3,0,0,'Données projet'!$E$16+1,1))</f>
        <v>263.30962868541337</v>
      </c>
      <c r="FK115" s="62">
        <f t="shared" si="102"/>
        <v>269.61868559913404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53.274994320128485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53.274994320128485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262.06511368698341</v>
      </c>
      <c r="T116" s="62">
        <f t="shared" si="88"/>
        <v>217.15709240080542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114.92670605464522</v>
      </c>
      <c r="AA116" s="23">
        <f>EXP(-LN(2)/25)*AA115+(1-EXP(-LN(2)/25))/(LN(2)/25)*Calculateur!V116*Calculateur!X116*VLOOKUP('Données projet'!$B$9,Paramètres!$A$1:$I$89,3,0)*0.475*44/12</f>
        <v>16.891075023664698</v>
      </c>
      <c r="AB116" s="23">
        <f>EXP(-LN(2)/2)*AB115+(1-EXP(-LN(2)/2))/(LN(2)/2)*V116*Y116*VLOOKUP('Données projet'!$B$9,Paramètres!$A$1:$I$89,3,0)*0.475*44/12</f>
        <v>5.3222498372240317</v>
      </c>
      <c r="AC116" s="24">
        <f t="shared" si="57"/>
        <v>137.14003091553394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287.83167869616227</v>
      </c>
      <c r="AO116" s="62">
        <f t="shared" si="90"/>
        <v>233.84231920589906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124.30539336555</v>
      </c>
      <c r="AV116" s="23">
        <f>EXP(-LN(2)/25)*AV115+(1-EXP(-LN(2)/25))/(LN(2)/25)*Calculateur!AQ116*Calculateur!AS116*VLOOKUP('Données projet'!$B$10,Paramètres!$A$1:$I$89,3,0)*0.475*44/12</f>
        <v>20.929956381993659</v>
      </c>
      <c r="AW116" s="23">
        <f>EXP(-LN(2)/2)*AW115+(1-EXP(-LN(2)/2))/(LN(2)/2)*AQ116*AT116*VLOOKUP('Données projet'!$B$10,Paramètres!$A$1:$I$89,3,0)*0.475*44/12</f>
        <v>0.16480643642017706</v>
      </c>
      <c r="AX116" s="23">
        <f t="shared" si="60"/>
        <v>145.40015618396384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-1.064108801074326E-13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262.36903350767881</v>
      </c>
      <c r="BJ116" s="62">
        <f t="shared" si="92"/>
        <v>331.21009482262417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60.156889790929078</v>
      </c>
      <c r="BQ116" s="23">
        <f>EXP(-LN(2)/25)*BQ115+(1-EXP(-LN(2)/25))/(LN(2)/25)*Calculateur!BL116*Calculateur!BN116*VLOOKUP('Données projet'!$B$11,Paramètres!$A$1:$I$89,3,0)*0.475*44/12</f>
        <v>9.2619726288245019</v>
      </c>
      <c r="BR116" s="23">
        <f>EXP(-LN(2)/2)*BR115+(1-EXP(-LN(2)/2))/(LN(2)/2)*BL116*BO116*VLOOKUP('Données projet'!$B$11,Paramètres!$A$1:$I$89,3,0)*0.475*44/12</f>
        <v>2.0989360857585246E-7</v>
      </c>
      <c r="BS116" s="24">
        <f t="shared" si="63"/>
        <v>69.418862629647194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7.9349999999999969</v>
      </c>
      <c r="BY116" s="13">
        <f>IF('Données projet'!$A$114&gt;35,BY115+BX116-CG115,IF(A116&lt;'Données projet'!$A$114,$BV$205^A116,IF(A116='Données projet'!$A$114,'Données projet'!$B$114,BY115+BX116-CG115)))</f>
        <v>376.6350000000005</v>
      </c>
      <c r="BZ116" s="14">
        <f>BY116*VLOOKUP('Données projet'!$B$12,Paramètres!$A$1:$I$89,3,0)*VLOOKUP('Données projet'!$B$12,Paramètres!$A$1:$I$89,5,0)</f>
        <v>364.28137200000049</v>
      </c>
      <c r="CA116" s="14">
        <f t="shared" si="93"/>
        <v>84.496314361776058</v>
      </c>
      <c r="CB116" s="22">
        <f t="shared" si="64"/>
        <v>781.62113708009417</v>
      </c>
      <c r="CC116" s="62">
        <f t="shared" si="65"/>
        <v>1074.9544704134275</v>
      </c>
      <c r="CD116" s="62">
        <f ca="1">AVERAGE(OFFSET($CC$3,0,0,'Données projet'!$E$12+1,1))-AVERAGE(OFFSET($H$3,0,0,'Données projet'!$E$12+1,1))</f>
        <v>618.83149423524605</v>
      </c>
      <c r="CE116" s="62">
        <f t="shared" si="94"/>
        <v>285.33582535802435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37.746525999380069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37.746525999380069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349.5718186624772</v>
      </c>
      <c r="CZ116" s="62">
        <f t="shared" si="96"/>
        <v>258.14152930815959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105.01214460032011</v>
      </c>
      <c r="DG116" s="23">
        <f>EXP(-LN(2)/25)*DG115+(1-EXP(-LN(2)/25))/(LN(2)/25)*Calculateur!DB116*Calculateur!DD116*VLOOKUP('Données projet'!$B$13,Paramètres!$A$1:$I$89,3,0)*0.475*44/12</f>
        <v>12.637742960797247</v>
      </c>
      <c r="DH116" s="23">
        <f>EXP(-LN(2)/2)*DH115+(1-EXP(-LN(2)/2))/(LN(2)/2)*DB116*DE116*VLOOKUP('Données projet'!$B$13,Paramètres!$A$1:$I$89,3,0)*0.475*44/12</f>
        <v>3.4333268789878997E-4</v>
      </c>
      <c r="DI116" s="24">
        <f t="shared" si="69"/>
        <v>117.65023089380527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8.5265128291212022E-14</v>
      </c>
      <c r="DP116" s="18">
        <f>DO116*VLOOKUP('Données projet'!$B$14,Paramètres!$A$1:$I$89,3,0)*VLOOKUP('Données projet'!$B$14,Paramètres!$A$1:$I$89,5,0)</f>
        <v>7.4487616075202836E-14</v>
      </c>
      <c r="DQ116" s="14">
        <f t="shared" si="97"/>
        <v>1.1580453144473142E-12</v>
      </c>
      <c r="DR116" s="22">
        <f t="shared" si="70"/>
        <v>2.1466615206600508E-12</v>
      </c>
      <c r="DS116" s="62">
        <f t="shared" si="71"/>
        <v>293.33333333333547</v>
      </c>
      <c r="DT116" s="62">
        <f ca="1">AVERAGE(OFFSET($DS$3,0,0,'Données projet'!$E$14+1,1))-AVERAGE(OFFSET($H$3,0,0,'Données projet'!$E$14+1,1))</f>
        <v>300.63505444445104</v>
      </c>
      <c r="DU116" s="62">
        <f t="shared" si="98"/>
        <v>266.32508105927997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74.162269465619616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74.162269465619616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353.37024194969638</v>
      </c>
      <c r="EP116" s="62">
        <f t="shared" si="100"/>
        <v>345.4750813433123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80.769139848421503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80.769139848421503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8.5265128291212022E-14</v>
      </c>
      <c r="FF116" s="18">
        <f>FE116*VLOOKUP('Données projet'!$B$16,Paramètres!$A$1:$I$89,3,0)*VLOOKUP('Données projet'!$B$16,Paramètres!$A$1:$I$89,5,0)</f>
        <v>5.5865712056402117E-14</v>
      </c>
      <c r="FG116" s="14">
        <f t="shared" si="101"/>
        <v>8.9811031843713517E-13</v>
      </c>
      <c r="FH116" s="22">
        <f t="shared" si="76"/>
        <v>1.6615082531095774E-12</v>
      </c>
      <c r="FI116" s="62">
        <f t="shared" si="77"/>
        <v>293.33333333333496</v>
      </c>
      <c r="FJ116" s="62">
        <f ca="1">AVERAGE(OFFSET($FI$3,0,0,'Données projet'!$E$16+1,1))-AVERAGE(OFFSET($H$3,0,0,'Données projet'!$E$16+1,1))</f>
        <v>263.30962868541337</v>
      </c>
      <c r="FK116" s="62">
        <f t="shared" si="102"/>
        <v>269.61868559913404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52.230304176048733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52.230304176048733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262.06511368698341</v>
      </c>
      <c r="T117" s="62">
        <f t="shared" si="88"/>
        <v>217.15709240080542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112.67306344728269</v>
      </c>
      <c r="AA117" s="23">
        <f>EXP(-LN(2)/25)*AA116+(1-EXP(-LN(2)/25))/(LN(2)/25)*Calculateur!V117*Calculateur!X117*VLOOKUP('Données projet'!$B$9,Paramètres!$A$1:$I$89,3,0)*0.475*44/12</f>
        <v>16.429187688879555</v>
      </c>
      <c r="AB117" s="23">
        <f>EXP(-LN(2)/2)*AB116+(1-EXP(-LN(2)/2))/(LN(2)/2)*V117*Y117*VLOOKUP('Données projet'!$B$9,Paramètres!$A$1:$I$89,3,0)*0.475*44/12</f>
        <v>3.7633989510701116</v>
      </c>
      <c r="AC117" s="24">
        <f t="shared" si="57"/>
        <v>132.86565008723235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287.83167869616227</v>
      </c>
      <c r="AO117" s="62">
        <f t="shared" si="90"/>
        <v>233.84231920589906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121.86784042045504</v>
      </c>
      <c r="AV117" s="23">
        <f>EXP(-LN(2)/25)*AV116+(1-EXP(-LN(2)/25))/(LN(2)/25)*Calculateur!AQ117*Calculateur!AS117*VLOOKUP('Données projet'!$B$10,Paramètres!$A$1:$I$89,3,0)*0.475*44/12</f>
        <v>20.35762562406947</v>
      </c>
      <c r="AW117" s="23">
        <f>EXP(-LN(2)/2)*AW116+(1-EXP(-LN(2)/2))/(LN(2)/2)*AQ117*AT117*VLOOKUP('Données projet'!$B$10,Paramètres!$A$1:$I$89,3,0)*0.475*44/12</f>
        <v>0.1165357487758968</v>
      </c>
      <c r="AX117" s="23">
        <f t="shared" si="60"/>
        <v>142.34200179330043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-1.064108801074326E-13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262.36903350767881</v>
      </c>
      <c r="BJ117" s="62">
        <f t="shared" si="92"/>
        <v>331.21009482262417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58.977249874208688</v>
      </c>
      <c r="BQ117" s="23">
        <f>EXP(-LN(2)/25)*BQ116+(1-EXP(-LN(2)/25))/(LN(2)/25)*Calculateur!BL117*Calculateur!BN117*VLOOKUP('Données projet'!$B$11,Paramètres!$A$1:$I$89,3,0)*0.475*44/12</f>
        <v>9.0087035002233247</v>
      </c>
      <c r="BR117" s="23">
        <f>EXP(-LN(2)/2)*BR116+(1-EXP(-LN(2)/2))/(LN(2)/2)*BL117*BO117*VLOOKUP('Données projet'!$B$11,Paramètres!$A$1:$I$89,3,0)*0.475*44/12</f>
        <v>1.4841719395170016E-7</v>
      </c>
      <c r="BS117" s="24">
        <f t="shared" si="63"/>
        <v>67.985953522849215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384.57</v>
      </c>
      <c r="BW117" s="13">
        <f>VLOOKUP(A117,'Données projet'!$A$113:$I$133,9,0)</f>
        <v>7.9349999999999969</v>
      </c>
      <c r="BX117" s="13">
        <f t="array" ref="BX117">INDEX(BW:BW,MIN(IF(ISNUMBER(BW117:BW313),ROW(BW117:BW313),"")))</f>
        <v>7.9349999999999969</v>
      </c>
      <c r="BY117" s="13">
        <f>IF('Données projet'!$A$114&gt;35,BY116+BX117-CG116,IF(A117&lt;'Données projet'!$A$114,$BV$205^A117,IF(A117='Données projet'!$A$114,'Données projet'!$B$114,BY116+BX117-CG116)))</f>
        <v>384.5700000000005</v>
      </c>
      <c r="BZ117" s="14">
        <f>BY117*VLOOKUP('Données projet'!$B$12,Paramètres!$A$1:$I$89,3,0)*VLOOKUP('Données projet'!$B$12,Paramètres!$A$1:$I$89,5,0)</f>
        <v>371.95610400000049</v>
      </c>
      <c r="CA117" s="14">
        <f t="shared" si="93"/>
        <v>86.067368021559375</v>
      </c>
      <c r="CB117" s="22">
        <f t="shared" si="64"/>
        <v>797.72421377088347</v>
      </c>
      <c r="CC117" s="62">
        <f t="shared" si="65"/>
        <v>1091.0575471042168</v>
      </c>
      <c r="CD117" s="62">
        <f ca="1">AVERAGE(OFFSET($CC$3,0,0,'Données projet'!$E$12+1,1))-AVERAGE(OFFSET($H$3,0,0,'Données projet'!$E$12+1,1))</f>
        <v>618.83149423524605</v>
      </c>
      <c r="CE117" s="62">
        <f t="shared" si="94"/>
        <v>285.33582535802435</v>
      </c>
      <c r="CF117" s="16">
        <f>IF(ISNA(VLOOKUP(A117,'Données projet'!$A$113:$I$133,3,0)),0,VLOOKUP(A117,'Données projet'!$A$113:$I$133,3,0))</f>
        <v>9</v>
      </c>
      <c r="CG117" s="16">
        <f>IF(ISNA(VLOOKUP(A117,'Données projet'!$A$113:$I$133,4,0)),0,VLOOKUP(A117,'Données projet'!$A$113:$I$133,4,0))</f>
        <v>56.07</v>
      </c>
      <c r="CH117" s="17">
        <f>IF(ISNA(VLOOKUP(A117,'Données projet'!$A$113:$I$133,5,0)),0%,VLOOKUP(A117,'Données projet'!$A$113:$I$133,5,0)*VLOOKUP('Données projet'!$B$12,Paramètres!$A$1:$I$89,7,0))</f>
        <v>0.25800000000000001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52.473609418681846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52.473609418681846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349.5718186624772</v>
      </c>
      <c r="CZ117" s="62">
        <f t="shared" si="96"/>
        <v>258.14152930815959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102.95292049579152</v>
      </c>
      <c r="DG117" s="23">
        <f>EXP(-LN(2)/25)*DG116+(1-EXP(-LN(2)/25))/(LN(2)/25)*Calculateur!DB117*Calculateur!DD117*VLOOKUP('Données projet'!$B$13,Paramètres!$A$1:$I$89,3,0)*0.475*44/12</f>
        <v>12.292163214944228</v>
      </c>
      <c r="DH117" s="23">
        <f>EXP(-LN(2)/2)*DH116+(1-EXP(-LN(2)/2))/(LN(2)/2)*DB117*DE117*VLOOKUP('Données projet'!$B$13,Paramètres!$A$1:$I$89,3,0)*0.475*44/12</f>
        <v>2.427728718162389E-4</v>
      </c>
      <c r="DI117" s="24">
        <f t="shared" si="69"/>
        <v>115.24532648360756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8.5265128291212022E-14</v>
      </c>
      <c r="DP117" s="18">
        <f>DO117*VLOOKUP('Données projet'!$B$14,Paramètres!$A$1:$I$89,3,0)*VLOOKUP('Données projet'!$B$14,Paramètres!$A$1:$I$89,5,0)</f>
        <v>7.4487616075202836E-14</v>
      </c>
      <c r="DQ117" s="14">
        <f t="shared" si="97"/>
        <v>1.1580453144473142E-12</v>
      </c>
      <c r="DR117" s="22">
        <f t="shared" si="70"/>
        <v>2.1466615206600508E-12</v>
      </c>
      <c r="DS117" s="62">
        <f t="shared" si="71"/>
        <v>293.33333333333547</v>
      </c>
      <c r="DT117" s="62">
        <f ca="1">AVERAGE(OFFSET($DS$3,0,0,'Données projet'!$E$14+1,1))-AVERAGE(OFFSET($H$3,0,0,'Données projet'!$E$14+1,1))</f>
        <v>300.63505444445104</v>
      </c>
      <c r="DU117" s="62">
        <f t="shared" si="98"/>
        <v>266.32508105927997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72.70799259591665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72.70799259591665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353.37024194969638</v>
      </c>
      <c r="EP117" s="62">
        <f t="shared" si="100"/>
        <v>345.4750813433123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79.185306280304815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79.185306280304815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8.5265128291212022E-14</v>
      </c>
      <c r="FF117" s="18">
        <f>FE117*VLOOKUP('Données projet'!$B$16,Paramètres!$A$1:$I$89,3,0)*VLOOKUP('Données projet'!$B$16,Paramètres!$A$1:$I$89,5,0)</f>
        <v>5.5865712056402117E-14</v>
      </c>
      <c r="FG117" s="14">
        <f t="shared" si="101"/>
        <v>8.9811031843713517E-13</v>
      </c>
      <c r="FH117" s="22">
        <f t="shared" si="76"/>
        <v>1.6615082531095774E-12</v>
      </c>
      <c r="FI117" s="62">
        <f t="shared" si="77"/>
        <v>293.33333333333496</v>
      </c>
      <c r="FJ117" s="62">
        <f ca="1">AVERAGE(OFFSET($FI$3,0,0,'Données projet'!$E$16+1,1))-AVERAGE(OFFSET($H$3,0,0,'Données projet'!$E$16+1,1))</f>
        <v>263.30962868541337</v>
      </c>
      <c r="FK117" s="62">
        <f t="shared" si="102"/>
        <v>269.61868559913404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51.206099768496316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51.206099768496316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262.06511368698341</v>
      </c>
      <c r="T118" s="62">
        <f t="shared" si="88"/>
        <v>217.15709240080542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110.46361339686426</v>
      </c>
      <c r="AA118" s="23">
        <f>EXP(-LN(2)/25)*AA117+(1-EXP(-LN(2)/25))/(LN(2)/25)*Calculateur!V118*Calculateur!X118*VLOOKUP('Données projet'!$B$9,Paramètres!$A$1:$I$89,3,0)*0.475*44/12</f>
        <v>15.979930687553713</v>
      </c>
      <c r="AB118" s="23">
        <f>EXP(-LN(2)/2)*AB117+(1-EXP(-LN(2)/2))/(LN(2)/2)*V118*Y118*VLOOKUP('Données projet'!$B$9,Paramètres!$A$1:$I$89,3,0)*0.475*44/12</f>
        <v>2.6611249186120158</v>
      </c>
      <c r="AC118" s="24">
        <f t="shared" si="57"/>
        <v>129.10466900302998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287.83167869616227</v>
      </c>
      <c r="AO118" s="62">
        <f t="shared" si="90"/>
        <v>233.84231920589906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119.47808640185289</v>
      </c>
      <c r="AV118" s="23">
        <f>EXP(-LN(2)/25)*AV117+(1-EXP(-LN(2)/25))/(LN(2)/25)*Calculateur!AQ118*Calculateur!AS118*VLOOKUP('Données projet'!$B$10,Paramètres!$A$1:$I$89,3,0)*0.475*44/12</f>
        <v>19.800945280818286</v>
      </c>
      <c r="AW118" s="23">
        <f>EXP(-LN(2)/2)*AW117+(1-EXP(-LN(2)/2))/(LN(2)/2)*AQ118*AT118*VLOOKUP('Données projet'!$B$10,Paramètres!$A$1:$I$89,3,0)*0.475*44/12</f>
        <v>8.2403218210088544E-2</v>
      </c>
      <c r="AX118" s="23">
        <f t="shared" si="60"/>
        <v>139.36143490088128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-1.064108801074326E-13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262.36903350767881</v>
      </c>
      <c r="BJ118" s="62">
        <f t="shared" si="92"/>
        <v>331.21009482262417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57.820741976745886</v>
      </c>
      <c r="BQ118" s="23">
        <f>EXP(-LN(2)/25)*BQ117+(1-EXP(-LN(2)/25))/(LN(2)/25)*Calculateur!BL118*Calculateur!BN118*VLOOKUP('Données projet'!$B$11,Paramètres!$A$1:$I$89,3,0)*0.475*44/12</f>
        <v>8.7623600292625898</v>
      </c>
      <c r="BR118" s="23">
        <f>EXP(-LN(2)/2)*BR117+(1-EXP(-LN(2)/2))/(LN(2)/2)*BL118*BO118*VLOOKUP('Données projet'!$B$11,Paramètres!$A$1:$I$89,3,0)*0.475*44/12</f>
        <v>1.0494680428792623E-7</v>
      </c>
      <c r="BS118" s="24">
        <f t="shared" si="63"/>
        <v>66.583102110955281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7.9920000000000018</v>
      </c>
      <c r="BY118" s="13">
        <f>IF('Données projet'!$A$114&gt;35,BY117+BX118-CG117,IF(A118&lt;'Données projet'!$A$114,$BV$205^A118,IF(A118='Données projet'!$A$114,'Données projet'!$B$114,BY117+BX118-CG117)))</f>
        <v>336.49200000000053</v>
      </c>
      <c r="BZ118" s="14">
        <f>BY118*VLOOKUP('Données projet'!$B$12,Paramètres!$A$1:$I$89,3,0)*VLOOKUP('Données projet'!$B$12,Paramètres!$A$1:$I$89,5,0)</f>
        <v>325.45506240000054</v>
      </c>
      <c r="CA118" s="14">
        <f t="shared" si="93"/>
        <v>76.487266454284907</v>
      </c>
      <c r="CB118" s="22">
        <f t="shared" si="64"/>
        <v>700.04955608788043</v>
      </c>
      <c r="CC118" s="62">
        <f t="shared" si="65"/>
        <v>993.3828894212138</v>
      </c>
      <c r="CD118" s="62">
        <f ca="1">AVERAGE(OFFSET($CC$3,0,0,'Données projet'!$E$12+1,1))-AVERAGE(OFFSET($H$3,0,0,'Données projet'!$E$12+1,1))</f>
        <v>618.83149423524605</v>
      </c>
      <c r="CE118" s="62">
        <f t="shared" si="94"/>
        <v>285.33582535802435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51.444633943722934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51.444633943722934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349.5718186624772</v>
      </c>
      <c r="CZ118" s="62">
        <f t="shared" si="96"/>
        <v>258.14152930815959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100.93407651995005</v>
      </c>
      <c r="DG118" s="23">
        <f>EXP(-LN(2)/25)*DG117+(1-EXP(-LN(2)/25))/(LN(2)/25)*Calculateur!DB118*Calculateur!DD118*VLOOKUP('Données projet'!$B$13,Paramètres!$A$1:$I$89,3,0)*0.475*44/12</f>
        <v>11.956033365414809</v>
      </c>
      <c r="DH118" s="23">
        <f>EXP(-LN(2)/2)*DH117+(1-EXP(-LN(2)/2))/(LN(2)/2)*DB118*DE118*VLOOKUP('Données projet'!$B$13,Paramètres!$A$1:$I$89,3,0)*0.475*44/12</f>
        <v>1.7166634394939501E-4</v>
      </c>
      <c r="DI118" s="24">
        <f t="shared" si="69"/>
        <v>112.89028155170881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8.5265128291212022E-14</v>
      </c>
      <c r="DP118" s="18">
        <f>DO118*VLOOKUP('Données projet'!$B$14,Paramètres!$A$1:$I$89,3,0)*VLOOKUP('Données projet'!$B$14,Paramètres!$A$1:$I$89,5,0)</f>
        <v>7.4487616075202836E-14</v>
      </c>
      <c r="DQ118" s="14">
        <f t="shared" si="97"/>
        <v>1.1580453144473142E-12</v>
      </c>
      <c r="DR118" s="22">
        <f t="shared" si="70"/>
        <v>2.1466615206600508E-12</v>
      </c>
      <c r="DS118" s="62">
        <f t="shared" si="71"/>
        <v>293.33333333333547</v>
      </c>
      <c r="DT118" s="62">
        <f ca="1">AVERAGE(OFFSET($DS$3,0,0,'Données projet'!$E$14+1,1))-AVERAGE(OFFSET($H$3,0,0,'Données projet'!$E$14+1,1))</f>
        <v>300.63505444445104</v>
      </c>
      <c r="DU118" s="62">
        <f t="shared" si="98"/>
        <v>266.32508105927997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71.282233208607252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71.282233208607252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353.37024194969638</v>
      </c>
      <c r="EP118" s="62">
        <f t="shared" si="100"/>
        <v>345.4750813433123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77.632530722415808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77.632530722415808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8.5265128291212022E-14</v>
      </c>
      <c r="FF118" s="18">
        <f>FE118*VLOOKUP('Données projet'!$B$16,Paramètres!$A$1:$I$89,3,0)*VLOOKUP('Données projet'!$B$16,Paramètres!$A$1:$I$89,5,0)</f>
        <v>5.5865712056402117E-14</v>
      </c>
      <c r="FG118" s="14">
        <f t="shared" si="101"/>
        <v>8.9811031843713517E-13</v>
      </c>
      <c r="FH118" s="22">
        <f t="shared" si="76"/>
        <v>1.6615082531095774E-12</v>
      </c>
      <c r="FI118" s="62">
        <f t="shared" si="77"/>
        <v>293.33333333333496</v>
      </c>
      <c r="FJ118" s="62">
        <f ca="1">AVERAGE(OFFSET($FI$3,0,0,'Données projet'!$E$16+1,1))-AVERAGE(OFFSET($H$3,0,0,'Données projet'!$E$16+1,1))</f>
        <v>263.30962868541337</v>
      </c>
      <c r="FK118" s="62">
        <f t="shared" si="102"/>
        <v>269.61868559913404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50.201979384672995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50.201979384672995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262.06511368698341</v>
      </c>
      <c r="T119" s="62">
        <f t="shared" si="88"/>
        <v>217.15709240080542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108.29748931430308</v>
      </c>
      <c r="AA119" s="23">
        <f>EXP(-LN(2)/25)*AA118+(1-EXP(-LN(2)/25))/(LN(2)/25)*Calculateur!V119*Calculateur!X119*VLOOKUP('Données projet'!$B$9,Paramètres!$A$1:$I$89,3,0)*0.475*44/12</f>
        <v>15.542958642554524</v>
      </c>
      <c r="AB119" s="23">
        <f>EXP(-LN(2)/2)*AB118+(1-EXP(-LN(2)/2))/(LN(2)/2)*V119*Y119*VLOOKUP('Données projet'!$B$9,Paramètres!$A$1:$I$89,3,0)*0.475*44/12</f>
        <v>1.8816994755350558</v>
      </c>
      <c r="AC119" s="24">
        <f t="shared" si="57"/>
        <v>125.72214743239266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287.83167869616227</v>
      </c>
      <c r="AO119" s="62">
        <f t="shared" si="90"/>
        <v>233.84231920589906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117.13519400194951</v>
      </c>
      <c r="AV119" s="23">
        <f>EXP(-LN(2)/25)*AV118+(1-EXP(-LN(2)/25))/(LN(2)/25)*Calculateur!AQ119*Calculateur!AS119*VLOOKUP('Données projet'!$B$10,Paramètres!$A$1:$I$89,3,0)*0.475*44/12</f>
        <v>19.259487390827854</v>
      </c>
      <c r="AW119" s="23">
        <f>EXP(-LN(2)/2)*AW118+(1-EXP(-LN(2)/2))/(LN(2)/2)*AQ119*AT119*VLOOKUP('Données projet'!$B$10,Paramètres!$A$1:$I$89,3,0)*0.475*44/12</f>
        <v>5.8267874387948414E-2</v>
      </c>
      <c r="AX119" s="23">
        <f t="shared" si="60"/>
        <v>136.45294926716531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-1.064108801074326E-13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262.36903350767881</v>
      </c>
      <c r="BJ119" s="62">
        <f t="shared" si="92"/>
        <v>331.21009482262417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56.68691249375216</v>
      </c>
      <c r="BQ119" s="23">
        <f>EXP(-LN(2)/25)*BQ118+(1-EXP(-LN(2)/25))/(LN(2)/25)*Calculateur!BL119*Calculateur!BN119*VLOOKUP('Données projet'!$B$11,Paramètres!$A$1:$I$89,3,0)*0.475*44/12</f>
        <v>8.5227528334699176</v>
      </c>
      <c r="BR119" s="23">
        <f>EXP(-LN(2)/2)*BR118+(1-EXP(-LN(2)/2))/(LN(2)/2)*BL119*BO119*VLOOKUP('Données projet'!$B$11,Paramètres!$A$1:$I$89,3,0)*0.475*44/12</f>
        <v>7.4208596975850078E-8</v>
      </c>
      <c r="BS119" s="24">
        <f t="shared" si="63"/>
        <v>65.209665401430684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7.9920000000000018</v>
      </c>
      <c r="BY119" s="13">
        <f>IF('Données projet'!$A$114&gt;35,BY118+BX119-CG118,IF(A119&lt;'Données projet'!$A$114,$BV$205^A119,IF(A119='Données projet'!$A$114,'Données projet'!$B$114,BY118+BX119-CG118)))</f>
        <v>344.48400000000055</v>
      </c>
      <c r="BZ119" s="14">
        <f>BY119*VLOOKUP('Données projet'!$B$12,Paramètres!$A$1:$I$89,3,0)*VLOOKUP('Données projet'!$B$12,Paramètres!$A$1:$I$89,5,0)</f>
        <v>333.18492480000054</v>
      </c>
      <c r="CA119" s="14">
        <f t="shared" si="93"/>
        <v>78.090253763593893</v>
      </c>
      <c r="CB119" s="22">
        <f t="shared" si="64"/>
        <v>716.30426933159345</v>
      </c>
      <c r="CC119" s="62">
        <f t="shared" si="65"/>
        <v>1009.6376026649268</v>
      </c>
      <c r="CD119" s="62">
        <f ca="1">AVERAGE(OFFSET($CC$3,0,0,'Données projet'!$E$12+1,1))-AVERAGE(OFFSET($H$3,0,0,'Données projet'!$E$12+1,1))</f>
        <v>618.83149423524605</v>
      </c>
      <c r="CE119" s="62">
        <f t="shared" si="94"/>
        <v>285.33582535802435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50.435836050214903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50.435836050214903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349.5718186624772</v>
      </c>
      <c r="CZ119" s="62">
        <f t="shared" si="96"/>
        <v>258.14152930815959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98.954820843101601</v>
      </c>
      <c r="DG119" s="23">
        <f>EXP(-LN(2)/25)*DG118+(1-EXP(-LN(2)/25))/(LN(2)/25)*Calculateur!DB119*Calculateur!DD119*VLOOKUP('Données projet'!$B$13,Paramètres!$A$1:$I$89,3,0)*0.475*44/12</f>
        <v>11.629095004297072</v>
      </c>
      <c r="DH119" s="23">
        <f>EXP(-LN(2)/2)*DH118+(1-EXP(-LN(2)/2))/(LN(2)/2)*DB119*DE119*VLOOKUP('Données projet'!$B$13,Paramètres!$A$1:$I$89,3,0)*0.475*44/12</f>
        <v>1.2138643590811948E-4</v>
      </c>
      <c r="DI119" s="24">
        <f t="shared" si="69"/>
        <v>110.58403723383458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8.5265128291212022E-14</v>
      </c>
      <c r="DP119" s="18">
        <f>DO119*VLOOKUP('Données projet'!$B$14,Paramètres!$A$1:$I$89,3,0)*VLOOKUP('Données projet'!$B$14,Paramètres!$A$1:$I$89,5,0)</f>
        <v>7.4487616075202836E-14</v>
      </c>
      <c r="DQ119" s="14">
        <f t="shared" si="97"/>
        <v>1.1580453144473142E-12</v>
      </c>
      <c r="DR119" s="22">
        <f t="shared" si="70"/>
        <v>2.1466615206600508E-12</v>
      </c>
      <c r="DS119" s="62">
        <f t="shared" si="71"/>
        <v>293.33333333333547</v>
      </c>
      <c r="DT119" s="62">
        <f ca="1">AVERAGE(OFFSET($DS$3,0,0,'Données projet'!$E$14+1,1))-AVERAGE(OFFSET($H$3,0,0,'Données projet'!$E$14+1,1))</f>
        <v>300.63505444445104</v>
      </c>
      <c r="DU119" s="62">
        <f t="shared" si="98"/>
        <v>266.32508105927997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69.88443209325564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69.88443209325564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353.37024194969638</v>
      </c>
      <c r="EP119" s="62">
        <f t="shared" si="100"/>
        <v>345.4750813433123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76.110204146117439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76.110204146117439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8.5265128291212022E-14</v>
      </c>
      <c r="FF119" s="18">
        <f>FE119*VLOOKUP('Données projet'!$B$16,Paramètres!$A$1:$I$89,3,0)*VLOOKUP('Données projet'!$B$16,Paramètres!$A$1:$I$89,5,0)</f>
        <v>5.5865712056402117E-14</v>
      </c>
      <c r="FG119" s="14">
        <f t="shared" si="101"/>
        <v>8.9811031843713517E-13</v>
      </c>
      <c r="FH119" s="22">
        <f t="shared" si="76"/>
        <v>1.6615082531095774E-12</v>
      </c>
      <c r="FI119" s="62">
        <f t="shared" si="77"/>
        <v>293.33333333333496</v>
      </c>
      <c r="FJ119" s="62">
        <f ca="1">AVERAGE(OFFSET($FI$3,0,0,'Données projet'!$E$16+1,1))-AVERAGE(OFFSET($H$3,0,0,'Données projet'!$E$16+1,1))</f>
        <v>263.30962868541337</v>
      </c>
      <c r="FK119" s="62">
        <f t="shared" si="102"/>
        <v>269.61868559913404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49.217549189123488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49.217549189123488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262.06511368698341</v>
      </c>
      <c r="T120" s="62">
        <f t="shared" si="88"/>
        <v>217.15709240080542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106.17384160379569</v>
      </c>
      <c r="AA120" s="23">
        <f>EXP(-LN(2)/25)*AA119+(1-EXP(-LN(2)/25))/(LN(2)/25)*Calculateur!V120*Calculateur!X120*VLOOKUP('Données projet'!$B$9,Paramètres!$A$1:$I$89,3,0)*0.475*44/12</f>
        <v>15.117935621105199</v>
      </c>
      <c r="AB120" s="23">
        <f>EXP(-LN(2)/2)*AB119+(1-EXP(-LN(2)/2))/(LN(2)/2)*V120*Y120*VLOOKUP('Données projet'!$B$9,Paramètres!$A$1:$I$89,3,0)*0.475*44/12</f>
        <v>1.3305624593060079</v>
      </c>
      <c r="AC120" s="24">
        <f t="shared" si="57"/>
        <v>122.62233968420691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287.83167869616227</v>
      </c>
      <c r="AO120" s="62">
        <f t="shared" si="90"/>
        <v>233.84231920589906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114.83824429298498</v>
      </c>
      <c r="AV120" s="23">
        <f>EXP(-LN(2)/25)*AV119+(1-EXP(-LN(2)/25))/(LN(2)/25)*Calculateur!AQ120*Calculateur!AS120*VLOOKUP('Données projet'!$B$10,Paramètres!$A$1:$I$89,3,0)*0.475*44/12</f>
        <v>18.732835695313241</v>
      </c>
      <c r="AW120" s="23">
        <f>EXP(-LN(2)/2)*AW119+(1-EXP(-LN(2)/2))/(LN(2)/2)*AQ120*AT120*VLOOKUP('Données projet'!$B$10,Paramètres!$A$1:$I$89,3,0)*0.475*44/12</f>
        <v>4.1201609105044279E-2</v>
      </c>
      <c r="AX120" s="23">
        <f t="shared" si="60"/>
        <v>133.61228159740324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-1.064108801074326E-13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262.36903350767881</v>
      </c>
      <c r="BJ120" s="62">
        <f t="shared" si="92"/>
        <v>331.21009482262417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55.575316715352244</v>
      </c>
      <c r="BQ120" s="23">
        <f>EXP(-LN(2)/25)*BQ119+(1-EXP(-LN(2)/25))/(LN(2)/25)*Calculateur!BL120*Calculateur!BN120*VLOOKUP('Données projet'!$B$11,Paramètres!$A$1:$I$89,3,0)*0.475*44/12</f>
        <v>8.2896977090465906</v>
      </c>
      <c r="BR120" s="23">
        <f>EXP(-LN(2)/2)*BR119+(1-EXP(-LN(2)/2))/(LN(2)/2)*BL120*BO120*VLOOKUP('Données projet'!$B$11,Paramètres!$A$1:$I$89,3,0)*0.475*44/12</f>
        <v>5.2473402143963115E-8</v>
      </c>
      <c r="BS120" s="24">
        <f t="shared" si="63"/>
        <v>63.86501447687224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7.9920000000000018</v>
      </c>
      <c r="BY120" s="13">
        <f>IF('Données projet'!$A$114&gt;35,BY119+BX120-CG119,IF(A120&lt;'Données projet'!$A$114,$BV$205^A120,IF(A120='Données projet'!$A$114,'Données projet'!$B$114,BY119+BX120-CG119)))</f>
        <v>352.47600000000057</v>
      </c>
      <c r="BZ120" s="14">
        <f>BY120*VLOOKUP('Données projet'!$B$12,Paramètres!$A$1:$I$89,3,0)*VLOOKUP('Données projet'!$B$12,Paramètres!$A$1:$I$89,5,0)</f>
        <v>340.91478720000055</v>
      </c>
      <c r="CA120" s="14">
        <f t="shared" si="93"/>
        <v>79.68891768309399</v>
      </c>
      <c r="CB120" s="22">
        <f t="shared" si="64"/>
        <v>732.55145267138971</v>
      </c>
      <c r="CC120" s="62">
        <f t="shared" si="65"/>
        <v>1025.8847860047231</v>
      </c>
      <c r="CD120" s="62">
        <f ca="1">AVERAGE(OFFSET($CC$3,0,0,'Données projet'!$E$12+1,1))-AVERAGE(OFFSET($H$3,0,0,'Données projet'!$E$12+1,1))</f>
        <v>618.83149423524605</v>
      </c>
      <c r="CE120" s="62">
        <f t="shared" si="94"/>
        <v>285.33582535802435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49.446820068092606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49.446820068092606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349.5718186624772</v>
      </c>
      <c r="CZ120" s="62">
        <f t="shared" si="96"/>
        <v>258.14152930815959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97.014377162849385</v>
      </c>
      <c r="DG120" s="23">
        <f>EXP(-LN(2)/25)*DG119+(1-EXP(-LN(2)/25))/(LN(2)/25)*Calculateur!DB120*Calculateur!DD120*VLOOKUP('Données projet'!$B$13,Paramètres!$A$1:$I$89,3,0)*0.475*44/12</f>
        <v>11.311096789857041</v>
      </c>
      <c r="DH120" s="23">
        <f>EXP(-LN(2)/2)*DH119+(1-EXP(-LN(2)/2))/(LN(2)/2)*DB120*DE120*VLOOKUP('Données projet'!$B$13,Paramètres!$A$1:$I$89,3,0)*0.475*44/12</f>
        <v>8.583317197469752E-5</v>
      </c>
      <c r="DI120" s="24">
        <f t="shared" si="69"/>
        <v>108.32555978587841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8.5265128291212022E-14</v>
      </c>
      <c r="DP120" s="18">
        <f>DO120*VLOOKUP('Données projet'!$B$14,Paramètres!$A$1:$I$89,3,0)*VLOOKUP('Données projet'!$B$14,Paramètres!$A$1:$I$89,5,0)</f>
        <v>7.4487616075202836E-14</v>
      </c>
      <c r="DQ120" s="14">
        <f t="shared" si="97"/>
        <v>1.1580453144473142E-12</v>
      </c>
      <c r="DR120" s="22">
        <f t="shared" si="70"/>
        <v>2.1466615206600508E-12</v>
      </c>
      <c r="DS120" s="62">
        <f t="shared" si="71"/>
        <v>293.33333333333547</v>
      </c>
      <c r="DT120" s="62">
        <f ca="1">AVERAGE(OFFSET($DS$3,0,0,'Données projet'!$E$14+1,1))-AVERAGE(OFFSET($H$3,0,0,'Données projet'!$E$14+1,1))</f>
        <v>300.63505444445104</v>
      </c>
      <c r="DU120" s="62">
        <f t="shared" si="98"/>
        <v>266.32508105927997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68.514041005201577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68.514041005201577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353.37024194969638</v>
      </c>
      <c r="EP120" s="62">
        <f t="shared" si="100"/>
        <v>345.4750813433123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74.617729465452754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74.617729465452754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8.5265128291212022E-14</v>
      </c>
      <c r="FF120" s="18">
        <f>FE120*VLOOKUP('Données projet'!$B$16,Paramètres!$A$1:$I$89,3,0)*VLOOKUP('Données projet'!$B$16,Paramètres!$A$1:$I$89,5,0)</f>
        <v>5.5865712056402117E-14</v>
      </c>
      <c r="FG120" s="14">
        <f t="shared" si="101"/>
        <v>8.9811031843713517E-13</v>
      </c>
      <c r="FH120" s="22">
        <f t="shared" si="76"/>
        <v>1.6615082531095774E-12</v>
      </c>
      <c r="FI120" s="62">
        <f t="shared" si="77"/>
        <v>293.33333333333496</v>
      </c>
      <c r="FJ120" s="62">
        <f ca="1">AVERAGE(OFFSET($FI$3,0,0,'Données projet'!$E$16+1,1))-AVERAGE(OFFSET($H$3,0,0,'Données projet'!$E$16+1,1))</f>
        <v>263.30962868541337</v>
      </c>
      <c r="FK120" s="62">
        <f t="shared" si="102"/>
        <v>269.61868559913404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48.252423069265582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48.252423069265582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262.06511368698341</v>
      </c>
      <c r="T121" s="62">
        <f t="shared" si="88"/>
        <v>217.15709240080542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104.09183732959416</v>
      </c>
      <c r="AA121" s="23">
        <f>EXP(-LN(2)/25)*AA120+(1-EXP(-LN(2)/25))/(LN(2)/25)*Calculateur!V121*Calculateur!X121*VLOOKUP('Données projet'!$B$9,Paramètres!$A$1:$I$89,3,0)*0.475*44/12</f>
        <v>14.704534876528395</v>
      </c>
      <c r="AB121" s="23">
        <f>EXP(-LN(2)/2)*AB120+(1-EXP(-LN(2)/2))/(LN(2)/2)*V121*Y121*VLOOKUP('Données projet'!$B$9,Paramètres!$A$1:$I$89,3,0)*0.475*44/12</f>
        <v>0.94084973776752789</v>
      </c>
      <c r="AC121" s="24">
        <f t="shared" si="57"/>
        <v>119.73722194389008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287.83167869616227</v>
      </c>
      <c r="AO121" s="62">
        <f t="shared" si="90"/>
        <v>233.84231920589906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112.58633636681225</v>
      </c>
      <c r="AV121" s="23">
        <f>EXP(-LN(2)/25)*AV120+(1-EXP(-LN(2)/25))/(LN(2)/25)*Calculateur!AQ121*Calculateur!AS121*VLOOKUP('Données projet'!$B$10,Paramètres!$A$1:$I$89,3,0)*0.475*44/12</f>
        <v>18.220585318107887</v>
      </c>
      <c r="AW121" s="23">
        <f>EXP(-LN(2)/2)*AW120+(1-EXP(-LN(2)/2))/(LN(2)/2)*AQ121*AT121*VLOOKUP('Données projet'!$B$10,Paramètres!$A$1:$I$89,3,0)*0.475*44/12</f>
        <v>2.913393719397421E-2</v>
      </c>
      <c r="AX121" s="23">
        <f t="shared" si="60"/>
        <v>130.83605562211409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-1.064108801074326E-13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262.36903350767881</v>
      </c>
      <c r="BJ121" s="62">
        <f t="shared" si="92"/>
        <v>331.21009482262417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54.485518652160273</v>
      </c>
      <c r="BQ121" s="23">
        <f>EXP(-LN(2)/25)*BQ120+(1-EXP(-LN(2)/25))/(LN(2)/25)*Calculateur!BL121*Calculateur!BN121*VLOOKUP('Données projet'!$B$11,Paramètres!$A$1:$I$89,3,0)*0.475*44/12</f>
        <v>8.0630154892564558</v>
      </c>
      <c r="BR121" s="23">
        <f>EXP(-LN(2)/2)*BR120+(1-EXP(-LN(2)/2))/(LN(2)/2)*BL121*BO121*VLOOKUP('Données projet'!$B$11,Paramètres!$A$1:$I$89,3,0)*0.475*44/12</f>
        <v>3.7104298487925039E-8</v>
      </c>
      <c r="BS121" s="24">
        <f t="shared" si="63"/>
        <v>62.548534178521031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7.9920000000000018</v>
      </c>
      <c r="BY121" s="13">
        <f>IF('Données projet'!$A$114&gt;35,BY120+BX121-CG120,IF(A121&lt;'Données projet'!$A$114,$BV$205^A121,IF(A121='Données projet'!$A$114,'Données projet'!$B$114,BY120+BX121-CG120)))</f>
        <v>360.46800000000059</v>
      </c>
      <c r="BZ121" s="14">
        <f>BY121*VLOOKUP('Données projet'!$B$12,Paramètres!$A$1:$I$89,3,0)*VLOOKUP('Données projet'!$B$12,Paramètres!$A$1:$I$89,5,0)</f>
        <v>348.64464960000061</v>
      </c>
      <c r="CA121" s="14">
        <f t="shared" si="93"/>
        <v>81.283367525926224</v>
      </c>
      <c r="CB121" s="22">
        <f t="shared" si="64"/>
        <v>748.79129649432252</v>
      </c>
      <c r="CC121" s="62">
        <f t="shared" si="65"/>
        <v>1042.1246298276558</v>
      </c>
      <c r="CD121" s="62">
        <f ca="1">AVERAGE(OFFSET($CC$3,0,0,'Données projet'!$E$12+1,1))-AVERAGE(OFFSET($H$3,0,0,'Données projet'!$E$12+1,1))</f>
        <v>618.83149423524605</v>
      </c>
      <c r="CE121" s="62">
        <f t="shared" si="94"/>
        <v>285.33582535802435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48.477198086139538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48.477198086139538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349.5718186624772</v>
      </c>
      <c r="CZ121" s="62">
        <f t="shared" si="96"/>
        <v>258.14152930815959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95.111984399613135</v>
      </c>
      <c r="DG121" s="23">
        <f>EXP(-LN(2)/25)*DG120+(1-EXP(-LN(2)/25))/(LN(2)/25)*Calculateur!DB121*Calculateur!DD121*VLOOKUP('Données projet'!$B$13,Paramètres!$A$1:$I$89,3,0)*0.475*44/12</f>
        <v>11.001794253313673</v>
      </c>
      <c r="DH121" s="23">
        <f>EXP(-LN(2)/2)*DH120+(1-EXP(-LN(2)/2))/(LN(2)/2)*DB121*DE121*VLOOKUP('Données projet'!$B$13,Paramètres!$A$1:$I$89,3,0)*0.475*44/12</f>
        <v>6.0693217954059745E-5</v>
      </c>
      <c r="DI121" s="24">
        <f t="shared" si="69"/>
        <v>106.11383934614477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8.5265128291212022E-14</v>
      </c>
      <c r="DP121" s="18">
        <f>DO121*VLOOKUP('Données projet'!$B$14,Paramètres!$A$1:$I$89,3,0)*VLOOKUP('Données projet'!$B$14,Paramètres!$A$1:$I$89,5,0)</f>
        <v>7.4487616075202836E-14</v>
      </c>
      <c r="DQ121" s="14">
        <f t="shared" si="97"/>
        <v>1.1580453144473142E-12</v>
      </c>
      <c r="DR121" s="22">
        <f t="shared" si="70"/>
        <v>2.1466615206600508E-12</v>
      </c>
      <c r="DS121" s="62">
        <f t="shared" si="71"/>
        <v>293.33333333333547</v>
      </c>
      <c r="DT121" s="62">
        <f ca="1">AVERAGE(OFFSET($DS$3,0,0,'Données projet'!$E$14+1,1))-AVERAGE(OFFSET($H$3,0,0,'Données projet'!$E$14+1,1))</f>
        <v>300.63505444445104</v>
      </c>
      <c r="DU121" s="62">
        <f t="shared" si="98"/>
        <v>266.32508105927997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67.170522450528225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67.170522450528225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353.37024194969638</v>
      </c>
      <c r="EP121" s="62">
        <f t="shared" si="100"/>
        <v>345.4750813433123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73.154521302956226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73.154521302956226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8.5265128291212022E-14</v>
      </c>
      <c r="FF121" s="18">
        <f>FE121*VLOOKUP('Données projet'!$B$16,Paramètres!$A$1:$I$89,3,0)*VLOOKUP('Données projet'!$B$16,Paramètres!$A$1:$I$89,5,0)</f>
        <v>5.5865712056402117E-14</v>
      </c>
      <c r="FG121" s="14">
        <f t="shared" si="101"/>
        <v>8.9811031843713517E-13</v>
      </c>
      <c r="FH121" s="22">
        <f t="shared" si="76"/>
        <v>1.6615082531095774E-12</v>
      </c>
      <c r="FI121" s="62">
        <f t="shared" si="77"/>
        <v>293.33333333333496</v>
      </c>
      <c r="FJ121" s="62">
        <f ca="1">AVERAGE(OFFSET($FI$3,0,0,'Données projet'!$E$16+1,1))-AVERAGE(OFFSET($H$3,0,0,'Données projet'!$E$16+1,1))</f>
        <v>263.30962868541337</v>
      </c>
      <c r="FK121" s="62">
        <f t="shared" si="102"/>
        <v>269.61868559913404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47.306222483949277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47.306222483949277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262.06511368698341</v>
      </c>
      <c r="T122" s="62">
        <f t="shared" si="88"/>
        <v>217.15709240080542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102.0506598893125</v>
      </c>
      <c r="AA122" s="23">
        <f>EXP(-LN(2)/25)*AA121+(1-EXP(-LN(2)/25))/(LN(2)/25)*Calculateur!V122*Calculateur!X122*VLOOKUP('Données projet'!$B$9,Paramètres!$A$1:$I$89,3,0)*0.475*44/12</f>
        <v>14.302438597051845</v>
      </c>
      <c r="AB122" s="23">
        <f>EXP(-LN(2)/2)*AB121+(1-EXP(-LN(2)/2))/(LN(2)/2)*V122*Y122*VLOOKUP('Données projet'!$B$9,Paramètres!$A$1:$I$89,3,0)*0.475*44/12</f>
        <v>0.66528122965300396</v>
      </c>
      <c r="AC122" s="24">
        <f t="shared" si="57"/>
        <v>117.01837971601735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287.83167869616227</v>
      </c>
      <c r="AO122" s="62">
        <f t="shared" si="90"/>
        <v>233.84231920589906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110.37858698154356</v>
      </c>
      <c r="AV122" s="23">
        <f>EXP(-LN(2)/25)*AV121+(1-EXP(-LN(2)/25))/(LN(2)/25)*Calculateur!AQ122*Calculateur!AS122*VLOOKUP('Données projet'!$B$10,Paramètres!$A$1:$I$89,3,0)*0.475*44/12</f>
        <v>17.72234245440529</v>
      </c>
      <c r="AW122" s="23">
        <f>EXP(-LN(2)/2)*AW121+(1-EXP(-LN(2)/2))/(LN(2)/2)*AQ122*AT122*VLOOKUP('Données projet'!$B$10,Paramètres!$A$1:$I$89,3,0)*0.475*44/12</f>
        <v>2.0600804552522143E-2</v>
      </c>
      <c r="AX122" s="23">
        <f t="shared" si="60"/>
        <v>128.12153024050136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-1.064108801074326E-13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262.36903350767881</v>
      </c>
      <c r="BJ122" s="62">
        <f t="shared" si="92"/>
        <v>331.21009482262417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53.417090864276311</v>
      </c>
      <c r="BQ122" s="23">
        <f>EXP(-LN(2)/25)*BQ121+(1-EXP(-LN(2)/25))/(LN(2)/25)*Calculateur!BL122*Calculateur!BN122*VLOOKUP('Données projet'!$B$11,Paramètres!$A$1:$I$89,3,0)*0.475*44/12</f>
        <v>7.8425319066871815</v>
      </c>
      <c r="BR122" s="23">
        <f>EXP(-LN(2)/2)*BR121+(1-EXP(-LN(2)/2))/(LN(2)/2)*BL122*BO122*VLOOKUP('Données projet'!$B$11,Paramètres!$A$1:$I$89,3,0)*0.475*44/12</f>
        <v>2.6236701071981557E-8</v>
      </c>
      <c r="BS122" s="24">
        <f t="shared" si="63"/>
        <v>61.259622797200187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7.9920000000000018</v>
      </c>
      <c r="BY122" s="13">
        <f>IF('Données projet'!$A$114&gt;35,BY121+BX122-CG121,IF(A122&lt;'Données projet'!$A$114,$BV$205^A122,IF(A122='Données projet'!$A$114,'Données projet'!$B$114,BY121+BX122-CG121)))</f>
        <v>368.4600000000006</v>
      </c>
      <c r="BZ122" s="14">
        <f>BY122*VLOOKUP('Données projet'!$B$12,Paramètres!$A$1:$I$89,3,0)*VLOOKUP('Données projet'!$B$12,Paramètres!$A$1:$I$89,5,0)</f>
        <v>356.37451200000061</v>
      </c>
      <c r="CA122" s="14">
        <f t="shared" si="93"/>
        <v>82.873707481273101</v>
      </c>
      <c r="CB122" s="22">
        <f t="shared" si="64"/>
        <v>765.02398226321839</v>
      </c>
      <c r="CC122" s="62">
        <f t="shared" si="65"/>
        <v>1058.3573155965516</v>
      </c>
      <c r="CD122" s="62">
        <f ca="1">AVERAGE(OFFSET($CC$3,0,0,'Données projet'!$E$12+1,1))-AVERAGE(OFFSET($H$3,0,0,'Données projet'!$E$12+1,1))</f>
        <v>618.83149423524605</v>
      </c>
      <c r="CE122" s="62">
        <f t="shared" si="94"/>
        <v>285.33582535802435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47.52658979984156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47.52658979984156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349.5718186624772</v>
      </c>
      <c r="CZ122" s="62">
        <f t="shared" si="96"/>
        <v>258.14152930815959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93.246896398118935</v>
      </c>
      <c r="DG122" s="23">
        <f>EXP(-LN(2)/25)*DG121+(1-EXP(-LN(2)/25))/(LN(2)/25)*Calculateur!DB122*Calculateur!DD122*VLOOKUP('Données projet'!$B$13,Paramètres!$A$1:$I$89,3,0)*0.475*44/12</f>
        <v>10.700949610897595</v>
      </c>
      <c r="DH122" s="23">
        <f>EXP(-LN(2)/2)*DH121+(1-EXP(-LN(2)/2))/(LN(2)/2)*DB122*DE122*VLOOKUP('Données projet'!$B$13,Paramètres!$A$1:$I$89,3,0)*0.475*44/12</f>
        <v>4.2916585987348767E-5</v>
      </c>
      <c r="DI122" s="24">
        <f t="shared" si="69"/>
        <v>103.94788892560251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8.5265128291212022E-14</v>
      </c>
      <c r="DP122" s="18">
        <f>DO122*VLOOKUP('Données projet'!$B$14,Paramètres!$A$1:$I$89,3,0)*VLOOKUP('Données projet'!$B$14,Paramètres!$A$1:$I$89,5,0)</f>
        <v>7.4487616075202836E-14</v>
      </c>
      <c r="DQ122" s="14">
        <f t="shared" si="97"/>
        <v>1.1580453144473142E-12</v>
      </c>
      <c r="DR122" s="22">
        <f t="shared" si="70"/>
        <v>2.1466615206600508E-12</v>
      </c>
      <c r="DS122" s="62">
        <f t="shared" si="71"/>
        <v>293.33333333333547</v>
      </c>
      <c r="DT122" s="62">
        <f ca="1">AVERAGE(OFFSET($DS$3,0,0,'Données projet'!$E$14+1,1))-AVERAGE(OFFSET($H$3,0,0,'Données projet'!$E$14+1,1))</f>
        <v>300.63505444445104</v>
      </c>
      <c r="DU122" s="62">
        <f t="shared" si="98"/>
        <v>266.32508105927997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65.853349475246617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65.853349475246617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353.37024194969638</v>
      </c>
      <c r="EP122" s="62">
        <f t="shared" si="100"/>
        <v>345.4750813433123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71.720005760057404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71.720005760057404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8.5265128291212022E-14</v>
      </c>
      <c r="FF122" s="18">
        <f>FE122*VLOOKUP('Données projet'!$B$16,Paramètres!$A$1:$I$89,3,0)*VLOOKUP('Données projet'!$B$16,Paramètres!$A$1:$I$89,5,0)</f>
        <v>5.5865712056402117E-14</v>
      </c>
      <c r="FG122" s="14">
        <f t="shared" si="101"/>
        <v>8.9811031843713517E-13</v>
      </c>
      <c r="FH122" s="22">
        <f t="shared" si="76"/>
        <v>1.6615082531095774E-12</v>
      </c>
      <c r="FI122" s="62">
        <f t="shared" si="77"/>
        <v>293.33333333333496</v>
      </c>
      <c r="FJ122" s="62">
        <f ca="1">AVERAGE(OFFSET($FI$3,0,0,'Données projet'!$E$16+1,1))-AVERAGE(OFFSET($H$3,0,0,'Données projet'!$E$16+1,1))</f>
        <v>263.30962868541337</v>
      </c>
      <c r="FK122" s="62">
        <f t="shared" si="102"/>
        <v>269.61868559913404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46.378576314985658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46.378576314985658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262.06511368698341</v>
      </c>
      <c r="T123" s="62">
        <f t="shared" si="88"/>
        <v>217.15709240080542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100.04950869363945</v>
      </c>
      <c r="AA123" s="23">
        <f>EXP(-LN(2)/25)*AA122+(1-EXP(-LN(2)/25))/(LN(2)/25)*Calculateur!V123*Calculateur!X123*VLOOKUP('Données projet'!$B$9,Paramètres!$A$1:$I$89,3,0)*0.475*44/12</f>
        <v>13.911337661482905</v>
      </c>
      <c r="AB123" s="23">
        <f>EXP(-LN(2)/2)*AB122+(1-EXP(-LN(2)/2))/(LN(2)/2)*V123*Y123*VLOOKUP('Données projet'!$B$9,Paramètres!$A$1:$I$89,3,0)*0.475*44/12</f>
        <v>0.47042486888376395</v>
      </c>
      <c r="AC123" s="24">
        <f t="shared" si="57"/>
        <v>114.43127122400612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287.83167869616227</v>
      </c>
      <c r="AO123" s="62">
        <f t="shared" si="90"/>
        <v>233.84231920589906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108.21413021512583</v>
      </c>
      <c r="AV123" s="23">
        <f>EXP(-LN(2)/25)*AV122+(1-EXP(-LN(2)/25))/(LN(2)/25)*Calculateur!AQ123*Calculateur!AS123*VLOOKUP('Données projet'!$B$10,Paramètres!$A$1:$I$89,3,0)*0.475*44/12</f>
        <v>17.237724068012092</v>
      </c>
      <c r="AW123" s="23">
        <f>EXP(-LN(2)/2)*AW122+(1-EXP(-LN(2)/2))/(LN(2)/2)*AQ123*AT123*VLOOKUP('Données projet'!$B$10,Paramètres!$A$1:$I$89,3,0)*0.475*44/12</f>
        <v>1.4566968596987109E-2</v>
      </c>
      <c r="AX123" s="23">
        <f t="shared" si="60"/>
        <v>125.4664212517349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-1.064108801074326E-13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262.36903350767881</v>
      </c>
      <c r="BJ123" s="62">
        <f t="shared" si="92"/>
        <v>331.21009482262417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52.369614293636154</v>
      </c>
      <c r="BQ123" s="23">
        <f>EXP(-LN(2)/25)*BQ122+(1-EXP(-LN(2)/25))/(LN(2)/25)*Calculateur!BL123*Calculateur!BN123*VLOOKUP('Données projet'!$B$11,Paramètres!$A$1:$I$89,3,0)*0.475*44/12</f>
        <v>7.6280774592779919</v>
      </c>
      <c r="BR123" s="23">
        <f>EXP(-LN(2)/2)*BR122+(1-EXP(-LN(2)/2))/(LN(2)/2)*BL123*BO123*VLOOKUP('Données projet'!$B$11,Paramètres!$A$1:$I$89,3,0)*0.475*44/12</f>
        <v>1.855214924396252E-8</v>
      </c>
      <c r="BS123" s="24">
        <f t="shared" si="63"/>
        <v>59.997691771466293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7.9920000000000018</v>
      </c>
      <c r="BY123" s="13">
        <f>IF('Données projet'!$A$114&gt;35,BY122+BX123-CG122,IF(A123&lt;'Données projet'!$A$114,$BV$205^A123,IF(A123='Données projet'!$A$114,'Données projet'!$B$114,BY122+BX123-CG122)))</f>
        <v>376.45200000000062</v>
      </c>
      <c r="BZ123" s="14">
        <f>BY123*VLOOKUP('Données projet'!$B$12,Paramètres!$A$1:$I$89,3,0)*VLOOKUP('Données projet'!$B$12,Paramètres!$A$1:$I$89,5,0)</f>
        <v>364.10437440000061</v>
      </c>
      <c r="CA123" s="14">
        <f t="shared" si="93"/>
        <v>84.460036960388123</v>
      </c>
      <c r="CB123" s="22">
        <f t="shared" si="64"/>
        <v>781.24968311934356</v>
      </c>
      <c r="CC123" s="62">
        <f t="shared" si="65"/>
        <v>1074.5830164526769</v>
      </c>
      <c r="CD123" s="62">
        <f ca="1">AVERAGE(OFFSET($CC$3,0,0,'Données projet'!$E$12+1,1))-AVERAGE(OFFSET($H$3,0,0,'Données projet'!$E$12+1,1))</f>
        <v>618.83149423524605</v>
      </c>
      <c r="CE123" s="62">
        <f t="shared" si="94"/>
        <v>285.33582535802435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46.594622362224079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46.594622362224079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349.5718186624772</v>
      </c>
      <c r="CZ123" s="62">
        <f t="shared" si="96"/>
        <v>258.14152930815959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91.418381634742687</v>
      </c>
      <c r="DG123" s="23">
        <f>EXP(-LN(2)/25)*DG122+(1-EXP(-LN(2)/25))/(LN(2)/25)*Calculateur!DB123*Calculateur!DD123*VLOOKUP('Données projet'!$B$13,Paramètres!$A$1:$I$89,3,0)*0.475*44/12</f>
        <v>10.408331581049119</v>
      </c>
      <c r="DH123" s="23">
        <f>EXP(-LN(2)/2)*DH122+(1-EXP(-LN(2)/2))/(LN(2)/2)*DB123*DE123*VLOOKUP('Données projet'!$B$13,Paramètres!$A$1:$I$89,3,0)*0.475*44/12</f>
        <v>3.0346608977029879E-5</v>
      </c>
      <c r="DI123" s="24">
        <f t="shared" si="69"/>
        <v>101.82674356240079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8.5265128291212022E-14</v>
      </c>
      <c r="DP123" s="18">
        <f>DO123*VLOOKUP('Données projet'!$B$14,Paramètres!$A$1:$I$89,3,0)*VLOOKUP('Données projet'!$B$14,Paramètres!$A$1:$I$89,5,0)</f>
        <v>7.4487616075202836E-14</v>
      </c>
      <c r="DQ123" s="14">
        <f t="shared" si="97"/>
        <v>1.1580453144473142E-12</v>
      </c>
      <c r="DR123" s="22">
        <f t="shared" si="70"/>
        <v>2.1466615206600508E-12</v>
      </c>
      <c r="DS123" s="62">
        <f t="shared" si="71"/>
        <v>293.33333333333547</v>
      </c>
      <c r="DT123" s="62">
        <f ca="1">AVERAGE(OFFSET($DS$3,0,0,'Données projet'!$E$14+1,1))-AVERAGE(OFFSET($H$3,0,0,'Données projet'!$E$14+1,1))</f>
        <v>300.63505444445104</v>
      </c>
      <c r="DU123" s="62">
        <f t="shared" si="98"/>
        <v>266.32508105927997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64.562005458614095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64.562005458614095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353.37024194969638</v>
      </c>
      <c r="EP123" s="62">
        <f t="shared" si="100"/>
        <v>345.4750813433123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70.313620191986743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70.313620191986743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8.5265128291212022E-14</v>
      </c>
      <c r="FF123" s="18">
        <f>FE123*VLOOKUP('Données projet'!$B$16,Paramètres!$A$1:$I$89,3,0)*VLOOKUP('Données projet'!$B$16,Paramètres!$A$1:$I$89,5,0)</f>
        <v>5.5865712056402117E-14</v>
      </c>
      <c r="FG123" s="14">
        <f t="shared" si="101"/>
        <v>8.9811031843713517E-13</v>
      </c>
      <c r="FH123" s="22">
        <f t="shared" si="76"/>
        <v>1.6615082531095774E-12</v>
      </c>
      <c r="FI123" s="62">
        <f t="shared" si="77"/>
        <v>293.33333333333496</v>
      </c>
      <c r="FJ123" s="62">
        <f ca="1">AVERAGE(OFFSET($FI$3,0,0,'Données projet'!$E$16+1,1))-AVERAGE(OFFSET($H$3,0,0,'Données projet'!$E$16+1,1))</f>
        <v>263.30962868541337</v>
      </c>
      <c r="FK123" s="62">
        <f t="shared" si="102"/>
        <v>269.61868559913404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45.469120721587117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45.469120721587117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262.06511368698341</v>
      </c>
      <c r="T124" s="62">
        <f t="shared" si="88"/>
        <v>217.15709240080542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98.087598852331851</v>
      </c>
      <c r="AA124" s="23">
        <f>EXP(-LN(2)/25)*AA123+(1-EXP(-LN(2)/25))/(LN(2)/25)*Calculateur!V124*Calculateur!X124*VLOOKUP('Données projet'!$B$9,Paramètres!$A$1:$I$89,3,0)*0.475*44/12</f>
        <v>13.530931401564203</v>
      </c>
      <c r="AB124" s="23">
        <f>EXP(-LN(2)/2)*AB123+(1-EXP(-LN(2)/2))/(LN(2)/2)*V124*Y124*VLOOKUP('Données projet'!$B$9,Paramètres!$A$1:$I$89,3,0)*0.475*44/12</f>
        <v>0.33264061482650198</v>
      </c>
      <c r="AC124" s="24">
        <f t="shared" si="57"/>
        <v>111.95117086872256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287.83167869616227</v>
      </c>
      <c r="AO124" s="62">
        <f t="shared" si="90"/>
        <v>233.84231920589906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106.09211712570928</v>
      </c>
      <c r="AV124" s="23">
        <f>EXP(-LN(2)/25)*AV123+(1-EXP(-LN(2)/25))/(LN(2)/25)*Calculateur!AQ124*Calculateur!AS124*VLOOKUP('Données projet'!$B$10,Paramètres!$A$1:$I$89,3,0)*0.475*44/12</f>
        <v>16.766357596879789</v>
      </c>
      <c r="AW124" s="23">
        <f>EXP(-LN(2)/2)*AW123+(1-EXP(-LN(2)/2))/(LN(2)/2)*AQ124*AT124*VLOOKUP('Données projet'!$B$10,Paramètres!$A$1:$I$89,3,0)*0.475*44/12</f>
        <v>1.0300402276261073E-2</v>
      </c>
      <c r="AX124" s="23">
        <f t="shared" si="60"/>
        <v>122.86877512486532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-1.064108801074326E-13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262.36903350767881</v>
      </c>
      <c r="BJ124" s="62">
        <f t="shared" si="92"/>
        <v>331.21009482262417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51.34267809964863</v>
      </c>
      <c r="BQ124" s="23">
        <f>EXP(-LN(2)/25)*BQ123+(1-EXP(-LN(2)/25))/(LN(2)/25)*Calculateur!BL124*Calculateur!BN124*VLOOKUP('Données projet'!$B$11,Paramètres!$A$1:$I$89,3,0)*0.475*44/12</f>
        <v>7.419487280010876</v>
      </c>
      <c r="BR124" s="23">
        <f>EXP(-LN(2)/2)*BR123+(1-EXP(-LN(2)/2))/(LN(2)/2)*BL124*BO124*VLOOKUP('Données projet'!$B$11,Paramètres!$A$1:$I$89,3,0)*0.475*44/12</f>
        <v>1.3118350535990779E-8</v>
      </c>
      <c r="BS124" s="24">
        <f t="shared" si="63"/>
        <v>58.76216539277786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7.9920000000000018</v>
      </c>
      <c r="BY124" s="13">
        <f>IF('Données projet'!$A$114&gt;35,BY123+BX124-CG123,IF(A124&lt;'Données projet'!$A$114,$BV$205^A124,IF(A124='Données projet'!$A$114,'Données projet'!$B$114,BY123+BX124-CG123)))</f>
        <v>384.44400000000064</v>
      </c>
      <c r="BZ124" s="14">
        <f>BY124*VLOOKUP('Données projet'!$B$12,Paramètres!$A$1:$I$89,3,0)*VLOOKUP('Données projet'!$B$12,Paramètres!$A$1:$I$89,5,0)</f>
        <v>371.83423680000061</v>
      </c>
      <c r="CA124" s="14">
        <f t="shared" si="93"/>
        <v>86.042450912410658</v>
      </c>
      <c r="CB124" s="22">
        <f t="shared" si="64"/>
        <v>797.46856443244951</v>
      </c>
      <c r="CC124" s="62">
        <f t="shared" si="65"/>
        <v>1090.8018977657828</v>
      </c>
      <c r="CD124" s="62">
        <f ca="1">AVERAGE(OFFSET($CC$3,0,0,'Données projet'!$E$12+1,1))-AVERAGE(OFFSET($H$3,0,0,'Données projet'!$E$12+1,1))</f>
        <v>618.83149423524605</v>
      </c>
      <c r="CE124" s="62">
        <f t="shared" si="94"/>
        <v>285.33582535802435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45.68093023761427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45.68093023761427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349.5718186624772</v>
      </c>
      <c r="CZ124" s="62">
        <f t="shared" si="96"/>
        <v>258.14152930815959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89.62572293059236</v>
      </c>
      <c r="DG124" s="23">
        <f>EXP(-LN(2)/25)*DG123+(1-EXP(-LN(2)/25))/(LN(2)/25)*Calculateur!DB124*Calculateur!DD124*VLOOKUP('Données projet'!$B$13,Paramètres!$A$1:$I$89,3,0)*0.475*44/12</f>
        <v>10.12371520661496</v>
      </c>
      <c r="DH124" s="23">
        <f>EXP(-LN(2)/2)*DH123+(1-EXP(-LN(2)/2))/(LN(2)/2)*DB124*DE124*VLOOKUP('Données projet'!$B$13,Paramètres!$A$1:$I$89,3,0)*0.475*44/12</f>
        <v>2.1458292993674387E-5</v>
      </c>
      <c r="DI124" s="24">
        <f t="shared" si="69"/>
        <v>99.749459595500312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8.5265128291212022E-14</v>
      </c>
      <c r="DP124" s="18">
        <f>DO124*VLOOKUP('Données projet'!$B$14,Paramètres!$A$1:$I$89,3,0)*VLOOKUP('Données projet'!$B$14,Paramètres!$A$1:$I$89,5,0)</f>
        <v>7.4487616075202836E-14</v>
      </c>
      <c r="DQ124" s="14">
        <f t="shared" si="97"/>
        <v>1.1580453144473142E-12</v>
      </c>
      <c r="DR124" s="22">
        <f t="shared" si="70"/>
        <v>2.1466615206600508E-12</v>
      </c>
      <c r="DS124" s="62">
        <f t="shared" si="71"/>
        <v>293.33333333333547</v>
      </c>
      <c r="DT124" s="62">
        <f ca="1">AVERAGE(OFFSET($DS$3,0,0,'Données projet'!$E$14+1,1))-AVERAGE(OFFSET($H$3,0,0,'Données projet'!$E$14+1,1))</f>
        <v>300.63505444445104</v>
      </c>
      <c r="DU124" s="62">
        <f t="shared" si="98"/>
        <v>266.32508105927997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63.295983910505655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63.295983910505655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353.37024194969638</v>
      </c>
      <c r="EP124" s="62">
        <f t="shared" si="100"/>
        <v>345.4750813433123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68.934812987095455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68.934812987095455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8.5265128291212022E-14</v>
      </c>
      <c r="FF124" s="18">
        <f>FE124*VLOOKUP('Données projet'!$B$16,Paramètres!$A$1:$I$89,3,0)*VLOOKUP('Données projet'!$B$16,Paramètres!$A$1:$I$89,5,0)</f>
        <v>5.5865712056402117E-14</v>
      </c>
      <c r="FG124" s="14">
        <f t="shared" si="101"/>
        <v>8.9811031843713517E-13</v>
      </c>
      <c r="FH124" s="22">
        <f t="shared" si="76"/>
        <v>1.6615082531095774E-12</v>
      </c>
      <c r="FI124" s="62">
        <f t="shared" si="77"/>
        <v>293.33333333333496</v>
      </c>
      <c r="FJ124" s="62">
        <f ca="1">AVERAGE(OFFSET($FI$3,0,0,'Données projet'!$E$16+1,1))-AVERAGE(OFFSET($H$3,0,0,'Données projet'!$E$16+1,1))</f>
        <v>263.30962868541337</v>
      </c>
      <c r="FK124" s="62">
        <f t="shared" si="102"/>
        <v>269.61868559913404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44.577498997661984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44.577498997661984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262.06511368698341</v>
      </c>
      <c r="T125" s="62">
        <f t="shared" si="88"/>
        <v>217.15709240080542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96.164160866365449</v>
      </c>
      <c r="AA125" s="23">
        <f>EXP(-LN(2)/25)*AA124+(1-EXP(-LN(2)/25))/(LN(2)/25)*Calculateur!V125*Calculateur!X125*VLOOKUP('Données projet'!$B$9,Paramètres!$A$1:$I$89,3,0)*0.475*44/12</f>
        <v>13.160927370827673</v>
      </c>
      <c r="AB125" s="23">
        <f>EXP(-LN(2)/2)*AB124+(1-EXP(-LN(2)/2))/(LN(2)/2)*V125*Y125*VLOOKUP('Données projet'!$B$9,Paramètres!$A$1:$I$89,3,0)*0.475*44/12</f>
        <v>0.23521243444188197</v>
      </c>
      <c r="AC125" s="24">
        <f t="shared" si="57"/>
        <v>109.56030067163501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287.83167869616227</v>
      </c>
      <c r="AO125" s="62">
        <f t="shared" si="90"/>
        <v>233.84231920589906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104.011715418676</v>
      </c>
      <c r="AV125" s="23">
        <f>EXP(-LN(2)/25)*AV124+(1-EXP(-LN(2)/25))/(LN(2)/25)*Calculateur!AQ125*Calculateur!AS125*VLOOKUP('Données projet'!$B$10,Paramètres!$A$1:$I$89,3,0)*0.475*44/12</f>
        <v>16.307880666688686</v>
      </c>
      <c r="AW125" s="23">
        <f>EXP(-LN(2)/2)*AW124+(1-EXP(-LN(2)/2))/(LN(2)/2)*AQ125*AT125*VLOOKUP('Données projet'!$B$10,Paramètres!$A$1:$I$89,3,0)*0.475*44/12</f>
        <v>7.2834842984935552E-3</v>
      </c>
      <c r="AX125" s="23">
        <f t="shared" si="60"/>
        <v>120.32687956966319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-1.064108801074326E-13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262.36903350767881</v>
      </c>
      <c r="BJ125" s="62">
        <f t="shared" si="92"/>
        <v>331.21009482262417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50.335879498055967</v>
      </c>
      <c r="BQ125" s="23">
        <f>EXP(-LN(2)/25)*BQ124+(1-EXP(-LN(2)/25))/(LN(2)/25)*Calculateur!BL125*Calculateur!BN125*VLOOKUP('Données projet'!$B$11,Paramètres!$A$1:$I$89,3,0)*0.475*44/12</f>
        <v>7.2166010101650997</v>
      </c>
      <c r="BR125" s="23">
        <f>EXP(-LN(2)/2)*BR124+(1-EXP(-LN(2)/2))/(LN(2)/2)*BL125*BO125*VLOOKUP('Données projet'!$B$11,Paramètres!$A$1:$I$89,3,0)*0.475*44/12</f>
        <v>9.2760746219812598E-9</v>
      </c>
      <c r="BS125" s="24">
        <f t="shared" si="63"/>
        <v>57.552480517497138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7.9920000000000018</v>
      </c>
      <c r="BY125" s="13">
        <f>IF('Données projet'!$A$114&gt;35,BY124+BX125-CG124,IF(A125&lt;'Données projet'!$A$114,$BV$205^A125,IF(A125='Données projet'!$A$114,'Données projet'!$B$114,BY124+BX125-CG124)))</f>
        <v>392.43600000000066</v>
      </c>
      <c r="BZ125" s="14">
        <f>BY125*VLOOKUP('Données projet'!$B$12,Paramètres!$A$1:$I$89,3,0)*VLOOKUP('Données projet'!$B$12,Paramètres!$A$1:$I$89,5,0)</f>
        <v>379.56409920000067</v>
      </c>
      <c r="CA125" s="14">
        <f t="shared" si="93"/>
        <v>87.621040113179006</v>
      </c>
      <c r="CB125" s="22">
        <f t="shared" si="64"/>
        <v>813.68078430378785</v>
      </c>
      <c r="CC125" s="62">
        <f t="shared" si="65"/>
        <v>1107.0141176371212</v>
      </c>
      <c r="CD125" s="62">
        <f ca="1">AVERAGE(OFFSET($CC$3,0,0,'Données projet'!$E$12+1,1))-AVERAGE(OFFSET($H$3,0,0,'Données projet'!$E$12+1,1))</f>
        <v>618.83149423524605</v>
      </c>
      <c r="CE125" s="62">
        <f t="shared" si="94"/>
        <v>285.33582535802435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44.785155058270895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44.785155058270895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349.5718186624772</v>
      </c>
      <c r="CZ125" s="62">
        <f t="shared" si="96"/>
        <v>258.14152930815959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87.868217170216582</v>
      </c>
      <c r="DG125" s="23">
        <f>EXP(-LN(2)/25)*DG124+(1-EXP(-LN(2)/25))/(LN(2)/25)*Calculateur!DB125*Calculateur!DD125*VLOOKUP('Données projet'!$B$13,Paramètres!$A$1:$I$89,3,0)*0.475*44/12</f>
        <v>9.8468816819070302</v>
      </c>
      <c r="DH125" s="23">
        <f>EXP(-LN(2)/2)*DH124+(1-EXP(-LN(2)/2))/(LN(2)/2)*DB125*DE125*VLOOKUP('Données projet'!$B$13,Paramètres!$A$1:$I$89,3,0)*0.475*44/12</f>
        <v>1.5173304488514941E-5</v>
      </c>
      <c r="DI125" s="24">
        <f t="shared" si="69"/>
        <v>97.715114025428107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8.5265128291212022E-14</v>
      </c>
      <c r="DP125" s="18">
        <f>DO125*VLOOKUP('Données projet'!$B$14,Paramètres!$A$1:$I$89,3,0)*VLOOKUP('Données projet'!$B$14,Paramètres!$A$1:$I$89,5,0)</f>
        <v>7.4487616075202836E-14</v>
      </c>
      <c r="DQ125" s="14">
        <f t="shared" si="97"/>
        <v>1.1580453144473142E-12</v>
      </c>
      <c r="DR125" s="22">
        <f t="shared" si="70"/>
        <v>2.1466615206600508E-12</v>
      </c>
      <c r="DS125" s="62">
        <f t="shared" si="71"/>
        <v>293.33333333333547</v>
      </c>
      <c r="DT125" s="62">
        <f ca="1">AVERAGE(OFFSET($DS$3,0,0,'Données projet'!$E$14+1,1))-AVERAGE(OFFSET($H$3,0,0,'Données projet'!$E$14+1,1))</f>
        <v>300.63505444445104</v>
      </c>
      <c r="DU125" s="62">
        <f t="shared" si="98"/>
        <v>266.32508105927997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62.054788272758728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62.054788272758728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353.37024194969638</v>
      </c>
      <c r="EP125" s="62">
        <f t="shared" si="100"/>
        <v>345.4750813433123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67.583043350502734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67.583043350502734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8.5265128291212022E-14</v>
      </c>
      <c r="FF125" s="18">
        <f>FE125*VLOOKUP('Données projet'!$B$16,Paramètres!$A$1:$I$89,3,0)*VLOOKUP('Données projet'!$B$16,Paramètres!$A$1:$I$89,5,0)</f>
        <v>5.5865712056402117E-14</v>
      </c>
      <c r="FG125" s="14">
        <f t="shared" si="101"/>
        <v>8.9811031843713517E-13</v>
      </c>
      <c r="FH125" s="22">
        <f t="shared" si="76"/>
        <v>1.6615082531095774E-12</v>
      </c>
      <c r="FI125" s="62">
        <f t="shared" si="77"/>
        <v>293.33333333333496</v>
      </c>
      <c r="FJ125" s="62">
        <f ca="1">AVERAGE(OFFSET($FI$3,0,0,'Données projet'!$E$16+1,1))-AVERAGE(OFFSET($H$3,0,0,'Données projet'!$E$16+1,1))</f>
        <v>263.30962868541337</v>
      </c>
      <c r="FK125" s="62">
        <f t="shared" si="102"/>
        <v>269.61868559913404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43.703361431907474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43.703361431907474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262.06511368698341</v>
      </c>
      <c r="T126" s="62">
        <f t="shared" si="88"/>
        <v>217.15709240080542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94.278440326122521</v>
      </c>
      <c r="AA126" s="23">
        <f>EXP(-LN(2)/25)*AA125+(1-EXP(-LN(2)/25))/(LN(2)/25)*Calculateur!V126*Calculateur!X126*VLOOKUP('Données projet'!$B$9,Paramètres!$A$1:$I$89,3,0)*0.475*44/12</f>
        <v>12.8010411197693</v>
      </c>
      <c r="AB126" s="23">
        <f>EXP(-LN(2)/2)*AB125+(1-EXP(-LN(2)/2))/(LN(2)/2)*V126*Y126*VLOOKUP('Données projet'!$B$9,Paramètres!$A$1:$I$89,3,0)*0.475*44/12</f>
        <v>0.16632030741325099</v>
      </c>
      <c r="AC126" s="24">
        <f t="shared" si="57"/>
        <v>107.24580175330506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287.83167869616227</v>
      </c>
      <c r="AO126" s="62">
        <f t="shared" si="90"/>
        <v>233.84231920589906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101.97210912019791</v>
      </c>
      <c r="AV126" s="23">
        <f>EXP(-LN(2)/25)*AV125+(1-EXP(-LN(2)/25))/(LN(2)/25)*Calculateur!AQ126*Calculateur!AS126*VLOOKUP('Données projet'!$B$10,Paramètres!$A$1:$I$89,3,0)*0.475*44/12</f>
        <v>15.861940812263912</v>
      </c>
      <c r="AW126" s="23">
        <f>EXP(-LN(2)/2)*AW125+(1-EXP(-LN(2)/2))/(LN(2)/2)*AQ126*AT126*VLOOKUP('Données projet'!$B$10,Paramètres!$A$1:$I$89,3,0)*0.475*44/12</f>
        <v>5.1502011381305375E-3</v>
      </c>
      <c r="AX126" s="23">
        <f t="shared" si="60"/>
        <v>117.83920013359996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-1.064108801074326E-13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262.36903350767881</v>
      </c>
      <c r="BJ126" s="62">
        <f t="shared" si="92"/>
        <v>331.21009482262417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49.348823602954027</v>
      </c>
      <c r="BQ126" s="23">
        <f>EXP(-LN(2)/25)*BQ125+(1-EXP(-LN(2)/25))/(LN(2)/25)*Calculateur!BL126*Calculateur!BN126*VLOOKUP('Données projet'!$B$11,Paramètres!$A$1:$I$89,3,0)*0.475*44/12</f>
        <v>7.0192626760375818</v>
      </c>
      <c r="BR126" s="23">
        <f>EXP(-LN(2)/2)*BR125+(1-EXP(-LN(2)/2))/(LN(2)/2)*BL126*BO126*VLOOKUP('Données projet'!$B$11,Paramètres!$A$1:$I$89,3,0)*0.475*44/12</f>
        <v>6.5591752679953893E-9</v>
      </c>
      <c r="BS126" s="24">
        <f t="shared" si="63"/>
        <v>56.368086285550788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7.9920000000000018</v>
      </c>
      <c r="BY126" s="13">
        <f>IF('Données projet'!$A$114&gt;35,BY125+BX126-CG125,IF(A126&lt;'Données projet'!$A$114,$BV$205^A126,IF(A126='Données projet'!$A$114,'Données projet'!$B$114,BY125+BX126-CG125)))</f>
        <v>400.42800000000068</v>
      </c>
      <c r="BZ126" s="14">
        <f>BY126*VLOOKUP('Données projet'!$B$12,Paramètres!$A$1:$I$89,3,0)*VLOOKUP('Données projet'!$B$12,Paramètres!$A$1:$I$89,5,0)</f>
        <v>387.29396160000067</v>
      </c>
      <c r="CA126" s="14">
        <f t="shared" si="93"/>
        <v>89.195891429851343</v>
      </c>
      <c r="CB126" s="22">
        <f t="shared" si="64"/>
        <v>829.8864940269923</v>
      </c>
      <c r="CC126" s="62">
        <f t="shared" si="65"/>
        <v>1123.2198273603256</v>
      </c>
      <c r="CD126" s="62">
        <f ca="1">AVERAGE(OFFSET($CC$3,0,0,'Données projet'!$E$12+1,1))-AVERAGE(OFFSET($H$3,0,0,'Données projet'!$E$12+1,1))</f>
        <v>618.83149423524605</v>
      </c>
      <c r="CE126" s="62">
        <f t="shared" si="94"/>
        <v>285.33582535802435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43.906945483825531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43.906945483825531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349.5718186624772</v>
      </c>
      <c r="CZ126" s="62">
        <f t="shared" si="96"/>
        <v>258.14152930815959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86.145175025829104</v>
      </c>
      <c r="DG126" s="23">
        <f>EXP(-LN(2)/25)*DG125+(1-EXP(-LN(2)/25))/(LN(2)/25)*Calculateur!DB126*Calculateur!DD126*VLOOKUP('Données projet'!$B$13,Paramètres!$A$1:$I$89,3,0)*0.475*44/12</f>
        <v>9.5776181844902801</v>
      </c>
      <c r="DH126" s="23">
        <f>EXP(-LN(2)/2)*DH125+(1-EXP(-LN(2)/2))/(LN(2)/2)*DB126*DE126*VLOOKUP('Données projet'!$B$13,Paramètres!$A$1:$I$89,3,0)*0.475*44/12</f>
        <v>1.0729146496837195E-5</v>
      </c>
      <c r="DI126" s="24">
        <f t="shared" si="69"/>
        <v>95.722803939465877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8.5265128291212022E-14</v>
      </c>
      <c r="DP126" s="18">
        <f>DO126*VLOOKUP('Données projet'!$B$14,Paramètres!$A$1:$I$89,3,0)*VLOOKUP('Données projet'!$B$14,Paramètres!$A$1:$I$89,5,0)</f>
        <v>7.4487616075202836E-14</v>
      </c>
      <c r="DQ126" s="14">
        <f t="shared" si="97"/>
        <v>1.1580453144473142E-12</v>
      </c>
      <c r="DR126" s="22">
        <f t="shared" si="70"/>
        <v>2.1466615206600508E-12</v>
      </c>
      <c r="DS126" s="62">
        <f t="shared" si="71"/>
        <v>293.33333333333547</v>
      </c>
      <c r="DT126" s="62">
        <f ca="1">AVERAGE(OFFSET($DS$3,0,0,'Données projet'!$E$14+1,1))-AVERAGE(OFFSET($H$3,0,0,'Données projet'!$E$14+1,1))</f>
        <v>300.63505444445104</v>
      </c>
      <c r="DU126" s="62">
        <f t="shared" si="98"/>
        <v>266.32508105927997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60.83793172441343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60.83793172441343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353.37024194969638</v>
      </c>
      <c r="EP126" s="62">
        <f t="shared" si="100"/>
        <v>345.4750813433123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66.257781091985521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66.257781091985521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8.5265128291212022E-14</v>
      </c>
      <c r="FF126" s="18">
        <f>FE126*VLOOKUP('Données projet'!$B$16,Paramètres!$A$1:$I$89,3,0)*VLOOKUP('Données projet'!$B$16,Paramètres!$A$1:$I$89,5,0)</f>
        <v>5.5865712056402117E-14</v>
      </c>
      <c r="FG126" s="14">
        <f t="shared" si="101"/>
        <v>8.9811031843713517E-13</v>
      </c>
      <c r="FH126" s="22">
        <f t="shared" si="76"/>
        <v>1.6615082531095774E-12</v>
      </c>
      <c r="FI126" s="62">
        <f t="shared" si="77"/>
        <v>293.33333333333496</v>
      </c>
      <c r="FJ126" s="62">
        <f ca="1">AVERAGE(OFFSET($FI$3,0,0,'Données projet'!$E$16+1,1))-AVERAGE(OFFSET($H$3,0,0,'Données projet'!$E$16+1,1))</f>
        <v>263.30962868541337</v>
      </c>
      <c r="FK126" s="62">
        <f t="shared" si="102"/>
        <v>269.61868559913404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42.846365170646138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42.846365170646138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262.06511368698341</v>
      </c>
      <c r="T127" s="62">
        <f t="shared" si="88"/>
        <v>217.15709240080542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92.429697615497787</v>
      </c>
      <c r="AA127" s="23">
        <f>EXP(-LN(2)/25)*AA126+(1-EXP(-LN(2)/25))/(LN(2)/25)*Calculateur!V127*Calculateur!X127*VLOOKUP('Données projet'!$B$9,Paramètres!$A$1:$I$89,3,0)*0.475*44/12</f>
        <v>12.450995977171713</v>
      </c>
      <c r="AB127" s="23">
        <f>EXP(-LN(2)/2)*AB126+(1-EXP(-LN(2)/2))/(LN(2)/2)*V127*Y127*VLOOKUP('Données projet'!$B$9,Paramètres!$A$1:$I$89,3,0)*0.475*44/12</f>
        <v>0.11760621722094099</v>
      </c>
      <c r="AC127" s="24">
        <f t="shared" si="57"/>
        <v>104.99829980989044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287.83167869616227</v>
      </c>
      <c r="AO127" s="62">
        <f t="shared" si="90"/>
        <v>233.84231920589906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99.972498257195966</v>
      </c>
      <c r="AV127" s="23">
        <f>EXP(-LN(2)/25)*AV126+(1-EXP(-LN(2)/25))/(LN(2)/25)*Calculateur!AQ127*Calculateur!AS127*VLOOKUP('Données projet'!$B$10,Paramètres!$A$1:$I$89,3,0)*0.475*44/12</f>
        <v>15.42819520660934</v>
      </c>
      <c r="AW127" s="23">
        <f>EXP(-LN(2)/2)*AW126+(1-EXP(-LN(2)/2))/(LN(2)/2)*AQ127*AT127*VLOOKUP('Données projet'!$B$10,Paramètres!$A$1:$I$89,3,0)*0.475*44/12</f>
        <v>3.641742149246778E-3</v>
      </c>
      <c r="AX127" s="23">
        <f t="shared" si="60"/>
        <v>115.40433520595455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-1.064108801074326E-13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262.36903350767881</v>
      </c>
      <c r="BJ127" s="62">
        <f t="shared" si="92"/>
        <v>331.21009482262417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48.38112327191039</v>
      </c>
      <c r="BQ127" s="23">
        <f>EXP(-LN(2)/25)*BQ126+(1-EXP(-LN(2)/25))/(LN(2)/25)*Calculateur!BL127*Calculateur!BN127*VLOOKUP('Données projet'!$B$11,Paramètres!$A$1:$I$89,3,0)*0.475*44/12</f>
        <v>6.8273205690343524</v>
      </c>
      <c r="BR127" s="23">
        <f>EXP(-LN(2)/2)*BR126+(1-EXP(-LN(2)/2))/(LN(2)/2)*BL127*BO127*VLOOKUP('Données projet'!$B$11,Paramètres!$A$1:$I$89,3,0)*0.475*44/12</f>
        <v>4.6380373109906299E-9</v>
      </c>
      <c r="BS127" s="24">
        <f t="shared" si="63"/>
        <v>55.208443845582778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>
        <f>VLOOKUP(A127,'Données projet'!$A$113:$I$133,2,0)</f>
        <v>408.42</v>
      </c>
      <c r="BW127" s="13">
        <f>VLOOKUP(A127,'Données projet'!$A$113:$I$133,9,0)</f>
        <v>7.9920000000000018</v>
      </c>
      <c r="BX127" s="13">
        <f t="array" ref="BX127">INDEX(BW:BW,MIN(IF(ISNUMBER(BW127:BW323),ROW(BW127:BW323),"")))</f>
        <v>7.9920000000000018</v>
      </c>
      <c r="BY127" s="13">
        <f>IF('Données projet'!$A$114&gt;35,BY126+BX127-CG126,IF(A127&lt;'Données projet'!$A$114,$BV$205^A127,IF(A127='Données projet'!$A$114,'Données projet'!$B$114,BY126+BX127-CG126)))</f>
        <v>408.4200000000007</v>
      </c>
      <c r="BZ127" s="14">
        <f>BY127*VLOOKUP('Données projet'!$B$12,Paramètres!$A$1:$I$89,3,0)*VLOOKUP('Données projet'!$B$12,Paramètres!$A$1:$I$89,5,0)</f>
        <v>395.02382400000067</v>
      </c>
      <c r="CA127" s="14">
        <f t="shared" si="93"/>
        <v>90.767088063805105</v>
      </c>
      <c r="CB127" s="22">
        <f t="shared" si="64"/>
        <v>846.08583851112826</v>
      </c>
      <c r="CC127" s="62">
        <f t="shared" si="65"/>
        <v>1139.4191718444615</v>
      </c>
      <c r="CD127" s="62">
        <f ca="1">AVERAGE(OFFSET($CC$3,0,0,'Données projet'!$E$12+1,1))-AVERAGE(OFFSET($H$3,0,0,'Données projet'!$E$12+1,1))</f>
        <v>618.83149423524605</v>
      </c>
      <c r="CE127" s="62">
        <f t="shared" si="94"/>
        <v>285.33582535802435</v>
      </c>
      <c r="CF127" s="16">
        <f>IF(ISNA(VLOOKUP(A127,'Données projet'!$A$113:$I$133,3,0)),0,VLOOKUP(A127,'Données projet'!$A$113:$I$133,3,0))</f>
        <v>10</v>
      </c>
      <c r="CG127" s="16">
        <f>IF(ISNA(VLOOKUP(A127,'Données projet'!$A$113:$I$133,4,0)),0,VLOOKUP(A127,'Données projet'!$A$113:$I$133,4,0))</f>
        <v>52.53</v>
      </c>
      <c r="CH127" s="17">
        <f>IF(ISNA(VLOOKUP(A127,'Données projet'!$A$113:$I$133,5,0)),0%,VLOOKUP(A127,'Données projet'!$A$113:$I$133,5,0)*VLOOKUP('Données projet'!$B$12,Paramètres!$A$1:$I$89,7,0))</f>
        <v>0.30099999999999999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59.951818092877552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59.951818092877552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349.5718186624772</v>
      </c>
      <c r="CZ127" s="62">
        <f t="shared" si="96"/>
        <v>258.14152930815959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84.455920686941141</v>
      </c>
      <c r="DG127" s="23">
        <f>EXP(-LN(2)/25)*DG126+(1-EXP(-LN(2)/25))/(LN(2)/25)*Calculateur!DB127*Calculateur!DD127*VLOOKUP('Données projet'!$B$13,Paramètres!$A$1:$I$89,3,0)*0.475*44/12</f>
        <v>9.3157177115703433</v>
      </c>
      <c r="DH127" s="23">
        <f>EXP(-LN(2)/2)*DH126+(1-EXP(-LN(2)/2))/(LN(2)/2)*DB127*DE127*VLOOKUP('Données projet'!$B$13,Paramètres!$A$1:$I$89,3,0)*0.475*44/12</f>
        <v>7.5866522442574723E-6</v>
      </c>
      <c r="DI127" s="24">
        <f t="shared" si="69"/>
        <v>93.77164598516373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8.5265128291212022E-14</v>
      </c>
      <c r="DP127" s="18">
        <f>DO127*VLOOKUP('Données projet'!$B$14,Paramètres!$A$1:$I$89,3,0)*VLOOKUP('Données projet'!$B$14,Paramètres!$A$1:$I$89,5,0)</f>
        <v>7.4487616075202836E-14</v>
      </c>
      <c r="DQ127" s="14">
        <f t="shared" si="97"/>
        <v>1.1580453144473142E-12</v>
      </c>
      <c r="DR127" s="22">
        <f t="shared" si="70"/>
        <v>2.1466615206600508E-12</v>
      </c>
      <c r="DS127" s="62">
        <f t="shared" si="71"/>
        <v>293.33333333333547</v>
      </c>
      <c r="DT127" s="62">
        <f ca="1">AVERAGE(OFFSET($DS$3,0,0,'Données projet'!$E$14+1,1))-AVERAGE(OFFSET($H$3,0,0,'Données projet'!$E$14+1,1))</f>
        <v>300.63505444445104</v>
      </c>
      <c r="DU127" s="62">
        <f t="shared" si="98"/>
        <v>266.32508105927997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59.644936990771974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59.644936990771974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353.37024194969638</v>
      </c>
      <c r="EP127" s="62">
        <f t="shared" si="100"/>
        <v>345.4750813433123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64.958506418027667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64.958506418027667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8.5265128291212022E-14</v>
      </c>
      <c r="FF127" s="18">
        <f>FE127*VLOOKUP('Données projet'!$B$16,Paramètres!$A$1:$I$89,3,0)*VLOOKUP('Données projet'!$B$16,Paramètres!$A$1:$I$89,5,0)</f>
        <v>5.5865712056402117E-14</v>
      </c>
      <c r="FG127" s="14">
        <f t="shared" si="101"/>
        <v>8.9811031843713517E-13</v>
      </c>
      <c r="FH127" s="22">
        <f t="shared" si="76"/>
        <v>1.6615082531095774E-12</v>
      </c>
      <c r="FI127" s="62">
        <f t="shared" si="77"/>
        <v>293.33333333333496</v>
      </c>
      <c r="FJ127" s="62">
        <f ca="1">AVERAGE(OFFSET($FI$3,0,0,'Données projet'!$E$16+1,1))-AVERAGE(OFFSET($H$3,0,0,'Données projet'!$E$16+1,1))</f>
        <v>263.30962868541337</v>
      </c>
      <c r="FK127" s="62">
        <f t="shared" si="102"/>
        <v>269.61868559913404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42.006174083352029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42.006174083352029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262.06511368698341</v>
      </c>
      <c r="T128" s="62">
        <f t="shared" si="88"/>
        <v>217.15709240080542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90.617207621806699</v>
      </c>
      <c r="AA128" s="23">
        <f>EXP(-LN(2)/25)*AA127+(1-EXP(-LN(2)/25))/(LN(2)/25)*Calculateur!V128*Calculateur!X128*VLOOKUP('Données projet'!$B$9,Paramètres!$A$1:$I$89,3,0)*0.475*44/12</f>
        <v>12.110522837406531</v>
      </c>
      <c r="AB128" s="23">
        <f>EXP(-LN(2)/2)*AB127+(1-EXP(-LN(2)/2))/(LN(2)/2)*V128*Y128*VLOOKUP('Données projet'!$B$9,Paramètres!$A$1:$I$89,3,0)*0.475*44/12</f>
        <v>8.3160153706625495E-2</v>
      </c>
      <c r="AC128" s="24">
        <f t="shared" si="57"/>
        <v>102.81089061291986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287.83167869616227</v>
      </c>
      <c r="AO128" s="62">
        <f t="shared" si="90"/>
        <v>233.84231920589906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98.012098543575291</v>
      </c>
      <c r="AV128" s="23">
        <f>EXP(-LN(2)/25)*AV127+(1-EXP(-LN(2)/25))/(LN(2)/25)*Calculateur!AQ128*Calculateur!AS128*VLOOKUP('Données projet'!$B$10,Paramètres!$A$1:$I$89,3,0)*0.475*44/12</f>
        <v>15.006310397351083</v>
      </c>
      <c r="AW128" s="23">
        <f>EXP(-LN(2)/2)*AW127+(1-EXP(-LN(2)/2))/(LN(2)/2)*AQ128*AT128*VLOOKUP('Données projet'!$B$10,Paramètres!$A$1:$I$89,3,0)*0.475*44/12</f>
        <v>2.5751005690652687E-3</v>
      </c>
      <c r="AX128" s="23">
        <f t="shared" si="60"/>
        <v>113.02098404149544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-1.064108801074326E-13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262.36903350767881</v>
      </c>
      <c r="BJ128" s="62">
        <f t="shared" si="92"/>
        <v>331.21009482262417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47.432398954119591</v>
      </c>
      <c r="BQ128" s="23">
        <f>EXP(-LN(2)/25)*BQ127+(1-EXP(-LN(2)/25))/(LN(2)/25)*Calculateur!BL128*Calculateur!BN128*VLOOKUP('Données projet'!$B$11,Paramètres!$A$1:$I$89,3,0)*0.475*44/12</f>
        <v>6.6406271290409231</v>
      </c>
      <c r="BR128" s="23">
        <f>EXP(-LN(2)/2)*BR127+(1-EXP(-LN(2)/2))/(LN(2)/2)*BL128*BO128*VLOOKUP('Données projet'!$B$11,Paramètres!$A$1:$I$89,3,0)*0.475*44/12</f>
        <v>3.2795876339976947E-9</v>
      </c>
      <c r="BS128" s="24">
        <f t="shared" si="63"/>
        <v>54.073026086440102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8.0699999999999985</v>
      </c>
      <c r="BY128" s="13">
        <f>IF('Données projet'!$A$114&gt;35,BY127+BX128-CG127,IF(A128&lt;'Données projet'!$A$114,$BV$205^A128,IF(A128='Données projet'!$A$114,'Données projet'!$B$114,BY127+BX128-CG127)))</f>
        <v>363.96000000000072</v>
      </c>
      <c r="BZ128" s="14">
        <f>BY128*VLOOKUP('Données projet'!$B$12,Paramètres!$A$1:$I$89,3,0)*VLOOKUP('Données projet'!$B$12,Paramètres!$A$1:$I$89,5,0)</f>
        <v>352.02211200000067</v>
      </c>
      <c r="CA128" s="14">
        <f t="shared" si="93"/>
        <v>81.978745394600864</v>
      </c>
      <c r="CB128" s="22">
        <f t="shared" si="64"/>
        <v>755.88482662893102</v>
      </c>
      <c r="CC128" s="62">
        <f t="shared" si="65"/>
        <v>1049.2181599622643</v>
      </c>
      <c r="CD128" s="62">
        <f ca="1">AVERAGE(OFFSET($CC$3,0,0,'Données projet'!$E$12+1,1))-AVERAGE(OFFSET($H$3,0,0,'Données projet'!$E$12+1,1))</f>
        <v>618.83149423524605</v>
      </c>
      <c r="CE128" s="62">
        <f t="shared" si="94"/>
        <v>285.33582535802435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58.776199507074566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58.776199507074566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349.5718186624772</v>
      </c>
      <c r="CZ128" s="62">
        <f t="shared" si="96"/>
        <v>258.14152930815959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82.79979159529536</v>
      </c>
      <c r="DG128" s="23">
        <f>EXP(-LN(2)/25)*DG127+(1-EXP(-LN(2)/25))/(LN(2)/25)*Calculateur!DB128*Calculateur!DD128*VLOOKUP('Données projet'!$B$13,Paramètres!$A$1:$I$89,3,0)*0.475*44/12</f>
        <v>9.060978920855149</v>
      </c>
      <c r="DH128" s="23">
        <f>EXP(-LN(2)/2)*DH127+(1-EXP(-LN(2)/2))/(LN(2)/2)*DB128*DE128*VLOOKUP('Données projet'!$B$13,Paramètres!$A$1:$I$89,3,0)*0.475*44/12</f>
        <v>5.3645732484185984E-6</v>
      </c>
      <c r="DI128" s="24">
        <f t="shared" si="69"/>
        <v>91.860775880723764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8.5265128291212022E-14</v>
      </c>
      <c r="DP128" s="18">
        <f>DO128*VLOOKUP('Données projet'!$B$14,Paramètres!$A$1:$I$89,3,0)*VLOOKUP('Données projet'!$B$14,Paramètres!$A$1:$I$89,5,0)</f>
        <v>7.4487616075202836E-14</v>
      </c>
      <c r="DQ128" s="14">
        <f t="shared" si="97"/>
        <v>1.1580453144473142E-12</v>
      </c>
      <c r="DR128" s="22">
        <f t="shared" si="70"/>
        <v>2.1466615206600508E-12</v>
      </c>
      <c r="DS128" s="62">
        <f t="shared" si="71"/>
        <v>293.33333333333547</v>
      </c>
      <c r="DT128" s="62">
        <f ca="1">AVERAGE(OFFSET($DS$3,0,0,'Données projet'!$E$14+1,1))-AVERAGE(OFFSET($H$3,0,0,'Données projet'!$E$14+1,1))</f>
        <v>300.63505444445104</v>
      </c>
      <c r="DU128" s="62">
        <f t="shared" si="98"/>
        <v>266.32508105927997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58.475336156202289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58.475336156202289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353.37024194969638</v>
      </c>
      <c r="EP128" s="62">
        <f t="shared" si="100"/>
        <v>345.4750813433123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63.684709727946831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63.684709727946831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8.5265128291212022E-14</v>
      </c>
      <c r="FF128" s="18">
        <f>FE128*VLOOKUP('Données projet'!$B$16,Paramètres!$A$1:$I$89,3,0)*VLOOKUP('Données projet'!$B$16,Paramètres!$A$1:$I$89,5,0)</f>
        <v>5.5865712056402117E-14</v>
      </c>
      <c r="FG128" s="14">
        <f t="shared" si="101"/>
        <v>8.9811031843713517E-13</v>
      </c>
      <c r="FH128" s="22">
        <f t="shared" si="76"/>
        <v>1.6615082531095774E-12</v>
      </c>
      <c r="FI128" s="62">
        <f t="shared" si="77"/>
        <v>293.33333333333496</v>
      </c>
      <c r="FJ128" s="62">
        <f ca="1">AVERAGE(OFFSET($FI$3,0,0,'Données projet'!$E$16+1,1))-AVERAGE(OFFSET($H$3,0,0,'Données projet'!$E$16+1,1))</f>
        <v>263.30962868541337</v>
      </c>
      <c r="FK128" s="62">
        <f t="shared" si="102"/>
        <v>269.61868559913404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41.182458630813798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41.182458630813798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262.06511368698341</v>
      </c>
      <c r="T129" s="62">
        <f t="shared" si="88"/>
        <v>217.15709240080542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88.840259451382153</v>
      </c>
      <c r="AA129" s="23">
        <f>EXP(-LN(2)/25)*AA128+(1-EXP(-LN(2)/25))/(LN(2)/25)*Calculateur!V129*Calculateur!X129*VLOOKUP('Données projet'!$B$9,Paramètres!$A$1:$I$89,3,0)*0.475*44/12</f>
        <v>11.779359953552932</v>
      </c>
      <c r="AB129" s="23">
        <f>EXP(-LN(2)/2)*AB128+(1-EXP(-LN(2)/2))/(LN(2)/2)*V129*Y129*VLOOKUP('Données projet'!$B$9,Paramètres!$A$1:$I$89,3,0)*0.475*44/12</f>
        <v>5.8803108610470493E-2</v>
      </c>
      <c r="AC129" s="24">
        <f t="shared" si="57"/>
        <v>100.67842251354556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287.83167869616227</v>
      </c>
      <c r="AO129" s="62">
        <f t="shared" si="90"/>
        <v>233.84231920589906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96.090141072612965</v>
      </c>
      <c r="AV129" s="23">
        <f>EXP(-LN(2)/25)*AV128+(1-EXP(-LN(2)/25))/(LN(2)/25)*Calculateur!AQ129*Calculateur!AS129*VLOOKUP('Données projet'!$B$10,Paramètres!$A$1:$I$89,3,0)*0.475*44/12</f>
        <v>14.595962050387952</v>
      </c>
      <c r="AW129" s="23">
        <f>EXP(-LN(2)/2)*AW128+(1-EXP(-LN(2)/2))/(LN(2)/2)*AQ129*AT129*VLOOKUP('Données projet'!$B$10,Paramètres!$A$1:$I$89,3,0)*0.475*44/12</f>
        <v>1.820871074623389E-3</v>
      </c>
      <c r="AX129" s="23">
        <f t="shared" si="60"/>
        <v>110.68792399407555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-1.064108801074326E-13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262.36903350767881</v>
      </c>
      <c r="BJ129" s="62">
        <f t="shared" si="92"/>
        <v>331.21009482262417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46.502278541535979</v>
      </c>
      <c r="BQ129" s="23">
        <f>EXP(-LN(2)/25)*BQ128+(1-EXP(-LN(2)/25))/(LN(2)/25)*Calculateur!BL129*Calculateur!BN129*VLOOKUP('Données projet'!$B$11,Paramètres!$A$1:$I$89,3,0)*0.475*44/12</f>
        <v>6.4590388309818954</v>
      </c>
      <c r="BR129" s="23">
        <f>EXP(-LN(2)/2)*BR128+(1-EXP(-LN(2)/2))/(LN(2)/2)*BL129*BO129*VLOOKUP('Données projet'!$B$11,Paramètres!$A$1:$I$89,3,0)*0.475*44/12</f>
        <v>2.319018655495315E-9</v>
      </c>
      <c r="BS129" s="24">
        <f t="shared" si="63"/>
        <v>52.961317374836895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8.0699999999999985</v>
      </c>
      <c r="BY129" s="13">
        <f>IF('Données projet'!$A$114&gt;35,BY128+BX129-CG128,IF(A129&lt;'Données projet'!$A$114,$BV$205^A129,IF(A129='Données projet'!$A$114,'Données projet'!$B$114,BY128+BX129-CG128)))</f>
        <v>372.03000000000071</v>
      </c>
      <c r="BZ129" s="14">
        <f>BY129*VLOOKUP('Données projet'!$B$12,Paramètres!$A$1:$I$89,3,0)*VLOOKUP('Données projet'!$B$12,Paramètres!$A$1:$I$89,5,0)</f>
        <v>359.82741600000071</v>
      </c>
      <c r="CA129" s="14">
        <f t="shared" si="93"/>
        <v>83.582805473365028</v>
      </c>
      <c r="CB129" s="22">
        <f t="shared" si="64"/>
        <v>772.27280239944514</v>
      </c>
      <c r="CC129" s="62">
        <f t="shared" si="65"/>
        <v>1065.6061357327785</v>
      </c>
      <c r="CD129" s="62">
        <f ca="1">AVERAGE(OFFSET($CC$3,0,0,'Données projet'!$E$12+1,1))-AVERAGE(OFFSET($H$3,0,0,'Données projet'!$E$12+1,1))</f>
        <v>618.83149423524605</v>
      </c>
      <c r="CE129" s="62">
        <f t="shared" si="94"/>
        <v>285.33582535802435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57.623634084682642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57.623634084682642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349.5718186624772</v>
      </c>
      <c r="CZ129" s="62">
        <f t="shared" si="96"/>
        <v>258.14152930815959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81.17613818499774</v>
      </c>
      <c r="DG129" s="23">
        <f>EXP(-LN(2)/25)*DG128+(1-EXP(-LN(2)/25))/(LN(2)/25)*Calculateur!DB129*Calculateur!DD129*VLOOKUP('Données projet'!$B$13,Paramètres!$A$1:$I$89,3,0)*0.475*44/12</f>
        <v>8.8132059757681933</v>
      </c>
      <c r="DH129" s="23">
        <f>EXP(-LN(2)/2)*DH128+(1-EXP(-LN(2)/2))/(LN(2)/2)*DB129*DE129*VLOOKUP('Données projet'!$B$13,Paramètres!$A$1:$I$89,3,0)*0.475*44/12</f>
        <v>3.7933261221287366E-6</v>
      </c>
      <c r="DI129" s="24">
        <f t="shared" si="69"/>
        <v>89.989347954092054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8.5265128291212022E-14</v>
      </c>
      <c r="DP129" s="18">
        <f>DO129*VLOOKUP('Données projet'!$B$14,Paramètres!$A$1:$I$89,3,0)*VLOOKUP('Données projet'!$B$14,Paramètres!$A$1:$I$89,5,0)</f>
        <v>7.4487616075202836E-14</v>
      </c>
      <c r="DQ129" s="14">
        <f t="shared" si="97"/>
        <v>1.1580453144473142E-12</v>
      </c>
      <c r="DR129" s="22">
        <f t="shared" si="70"/>
        <v>2.1466615206600508E-12</v>
      </c>
      <c r="DS129" s="62">
        <f t="shared" si="71"/>
        <v>293.33333333333547</v>
      </c>
      <c r="DT129" s="62">
        <f ca="1">AVERAGE(OFFSET($DS$3,0,0,'Données projet'!$E$14+1,1))-AVERAGE(OFFSET($H$3,0,0,'Données projet'!$E$14+1,1))</f>
        <v>300.63505444445104</v>
      </c>
      <c r="DU129" s="62">
        <f t="shared" si="98"/>
        <v>266.32508105927997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57.328670480612452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57.328670480612452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353.37024194969638</v>
      </c>
      <c r="EP129" s="62">
        <f t="shared" si="100"/>
        <v>345.4750813433123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62.435891414019217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62.435891414019217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8.5265128291212022E-14</v>
      </c>
      <c r="FF129" s="18">
        <f>FE129*VLOOKUP('Données projet'!$B$16,Paramètres!$A$1:$I$89,3,0)*VLOOKUP('Données projet'!$B$16,Paramètres!$A$1:$I$89,5,0)</f>
        <v>5.5865712056402117E-14</v>
      </c>
      <c r="FG129" s="14">
        <f t="shared" si="101"/>
        <v>8.9811031843713517E-13</v>
      </c>
      <c r="FH129" s="22">
        <f t="shared" si="76"/>
        <v>1.6615082531095774E-12</v>
      </c>
      <c r="FI129" s="62">
        <f t="shared" si="77"/>
        <v>293.33333333333496</v>
      </c>
      <c r="FJ129" s="62">
        <f ca="1">AVERAGE(OFFSET($FI$3,0,0,'Données projet'!$E$16+1,1))-AVERAGE(OFFSET($H$3,0,0,'Données projet'!$E$16+1,1))</f>
        <v>263.30962868541337</v>
      </c>
      <c r="FK129" s="62">
        <f t="shared" si="102"/>
        <v>269.61868559913404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40.37489573588303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40.37489573588303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262.06511368698341</v>
      </c>
      <c r="T130" s="62">
        <f t="shared" si="88"/>
        <v>217.15709240080542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87.098156150748267</v>
      </c>
      <c r="AA130" s="23">
        <f>EXP(-LN(2)/25)*AA129+(1-EXP(-LN(2)/25))/(LN(2)/25)*Calculateur!V130*Calculateur!X130*VLOOKUP('Données projet'!$B$9,Paramètres!$A$1:$I$89,3,0)*0.475*44/12</f>
        <v>11.457252736173409</v>
      </c>
      <c r="AB130" s="23">
        <f>EXP(-LN(2)/2)*AB129+(1-EXP(-LN(2)/2))/(LN(2)/2)*V130*Y130*VLOOKUP('Données projet'!$B$9,Paramètres!$A$1:$I$89,3,0)*0.475*44/12</f>
        <v>4.1580076853312747E-2</v>
      </c>
      <c r="AC130" s="24">
        <f t="shared" si="57"/>
        <v>98.596988963774976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287.83167869616227</v>
      </c>
      <c r="AO130" s="62">
        <f t="shared" si="90"/>
        <v>233.84231920589906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94.205872015377906</v>
      </c>
      <c r="AV130" s="23">
        <f>EXP(-LN(2)/25)*AV129+(1-EXP(-LN(2)/25))/(LN(2)/25)*Calculateur!AQ130*Calculateur!AS130*VLOOKUP('Données projet'!$B$10,Paramètres!$A$1:$I$89,3,0)*0.475*44/12</f>
        <v>14.196834700551808</v>
      </c>
      <c r="AW130" s="23">
        <f>EXP(-LN(2)/2)*AW129+(1-EXP(-LN(2)/2))/(LN(2)/2)*AQ130*AT130*VLOOKUP('Données projet'!$B$10,Paramètres!$A$1:$I$89,3,0)*0.475*44/12</f>
        <v>1.2875502845326344E-3</v>
      </c>
      <c r="AX130" s="23">
        <f t="shared" si="60"/>
        <v>108.40399426621424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-1.064108801074326E-13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262.36903350767881</v>
      </c>
      <c r="BJ130" s="62">
        <f t="shared" si="92"/>
        <v>331.21009482262417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45.590397222925695</v>
      </c>
      <c r="BQ130" s="23">
        <f>EXP(-LN(2)/25)*BQ129+(1-EXP(-LN(2)/25))/(LN(2)/25)*Calculateur!BL130*Calculateur!BN130*VLOOKUP('Données projet'!$B$11,Paramètres!$A$1:$I$89,3,0)*0.475*44/12</f>
        <v>6.2824160744826054</v>
      </c>
      <c r="BR130" s="23">
        <f>EXP(-LN(2)/2)*BR129+(1-EXP(-LN(2)/2))/(LN(2)/2)*BL130*BO130*VLOOKUP('Données projet'!$B$11,Paramètres!$A$1:$I$89,3,0)*0.475*44/12</f>
        <v>1.6397938169988473E-9</v>
      </c>
      <c r="BS130" s="24">
        <f t="shared" si="63"/>
        <v>51.87281329904809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8.0699999999999985</v>
      </c>
      <c r="BY130" s="13">
        <f>IF('Données projet'!$A$114&gt;35,BY129+BX130-CG129,IF(A130&lt;'Données projet'!$A$114,$BV$205^A130,IF(A130='Données projet'!$A$114,'Données projet'!$B$114,BY129+BX130-CG129)))</f>
        <v>380.1000000000007</v>
      </c>
      <c r="BZ130" s="14">
        <f>BY130*VLOOKUP('Données projet'!$B$12,Paramètres!$A$1:$I$89,3,0)*VLOOKUP('Données projet'!$B$12,Paramètres!$A$1:$I$89,5,0)</f>
        <v>367.63272000000069</v>
      </c>
      <c r="CA130" s="14">
        <f t="shared" si="93"/>
        <v>85.182820193593429</v>
      </c>
      <c r="CB130" s="22">
        <f t="shared" si="64"/>
        <v>788.65373250384312</v>
      </c>
      <c r="CC130" s="62">
        <f t="shared" si="65"/>
        <v>1081.9870658371765</v>
      </c>
      <c r="CD130" s="62">
        <f ca="1">AVERAGE(OFFSET($CC$3,0,0,'Données projet'!$E$12+1,1))-AVERAGE(OFFSET($H$3,0,0,'Données projet'!$E$12+1,1))</f>
        <v>618.83149423524605</v>
      </c>
      <c r="CE130" s="62">
        <f t="shared" si="94"/>
        <v>285.33582535802435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56.493669767228333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56.493669767228333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349.5718186624772</v>
      </c>
      <c r="CZ130" s="62">
        <f t="shared" si="96"/>
        <v>258.14152930815959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79.584323627745263</v>
      </c>
      <c r="DG130" s="23">
        <f>EXP(-LN(2)/25)*DG129+(1-EXP(-LN(2)/25))/(LN(2)/25)*Calculateur!DB130*Calculateur!DD130*VLOOKUP('Données projet'!$B$13,Paramètres!$A$1:$I$89,3,0)*0.475*44/12</f>
        <v>8.572208394894453</v>
      </c>
      <c r="DH130" s="23">
        <f>EXP(-LN(2)/2)*DH129+(1-EXP(-LN(2)/2))/(LN(2)/2)*DB130*DE130*VLOOKUP('Données projet'!$B$13,Paramètres!$A$1:$I$89,3,0)*0.475*44/12</f>
        <v>2.6822866242092996E-6</v>
      </c>
      <c r="DI130" s="24">
        <f t="shared" si="69"/>
        <v>88.156534704926329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8.5265128291212022E-14</v>
      </c>
      <c r="DP130" s="18">
        <f>DO130*VLOOKUP('Données projet'!$B$14,Paramètres!$A$1:$I$89,3,0)*VLOOKUP('Données projet'!$B$14,Paramètres!$A$1:$I$89,5,0)</f>
        <v>7.4487616075202836E-14</v>
      </c>
      <c r="DQ130" s="14">
        <f t="shared" si="97"/>
        <v>1.1580453144473142E-12</v>
      </c>
      <c r="DR130" s="22">
        <f t="shared" si="70"/>
        <v>2.1466615206600508E-12</v>
      </c>
      <c r="DS130" s="62">
        <f t="shared" si="71"/>
        <v>293.33333333333547</v>
      </c>
      <c r="DT130" s="62">
        <f ca="1">AVERAGE(OFFSET($DS$3,0,0,'Données projet'!$E$14+1,1))-AVERAGE(OFFSET($H$3,0,0,'Données projet'!$E$14+1,1))</f>
        <v>300.63505444445104</v>
      </c>
      <c r="DU130" s="62">
        <f t="shared" si="98"/>
        <v>266.32508105927997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56.204490219523926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56.204490219523926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353.37024194969638</v>
      </c>
      <c r="EP130" s="62">
        <f t="shared" si="100"/>
        <v>345.4750813433123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61.211561665523767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61.211561665523767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8.5265128291212022E-14</v>
      </c>
      <c r="FF130" s="18">
        <f>FE130*VLOOKUP('Données projet'!$B$16,Paramètres!$A$1:$I$89,3,0)*VLOOKUP('Données projet'!$B$16,Paramètres!$A$1:$I$89,5,0)</f>
        <v>5.5865712056402117E-14</v>
      </c>
      <c r="FG130" s="14">
        <f t="shared" si="101"/>
        <v>8.9811031843713517E-13</v>
      </c>
      <c r="FH130" s="22">
        <f t="shared" si="76"/>
        <v>1.6615082531095774E-12</v>
      </c>
      <c r="FI130" s="62">
        <f t="shared" si="77"/>
        <v>293.33333333333496</v>
      </c>
      <c r="FJ130" s="62">
        <f ca="1">AVERAGE(OFFSET($FI$3,0,0,'Données projet'!$E$16+1,1))-AVERAGE(OFFSET($H$3,0,0,'Données projet'!$E$16+1,1))</f>
        <v>263.30962868541337</v>
      </c>
      <c r="FK130" s="62">
        <f t="shared" si="102"/>
        <v>269.61868559913404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39.583168656757124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39.583168656757124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262.06511368698341</v>
      </c>
      <c r="T131" s="62">
        <f t="shared" si="88"/>
        <v>217.15709240080542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85.390214433261718</v>
      </c>
      <c r="AA131" s="23">
        <f>EXP(-LN(2)/25)*AA130+(1-EXP(-LN(2)/25))/(LN(2)/25)*Calculateur!V131*Calculateur!X131*VLOOKUP('Données projet'!$B$9,Paramètres!$A$1:$I$89,3,0)*0.475*44/12</f>
        <v>11.143953557592011</v>
      </c>
      <c r="AB131" s="23">
        <f>EXP(-LN(2)/2)*AB130+(1-EXP(-LN(2)/2))/(LN(2)/2)*V131*Y131*VLOOKUP('Données projet'!$B$9,Paramètres!$A$1:$I$89,3,0)*0.475*44/12</f>
        <v>2.9401554305235247E-2</v>
      </c>
      <c r="AC131" s="24">
        <f t="shared" si="57"/>
        <v>96.56356954515897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287.83167869616227</v>
      </c>
      <c r="AO131" s="62">
        <f t="shared" si="90"/>
        <v>233.84231920589906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92.358552325064579</v>
      </c>
      <c r="AV131" s="23">
        <f>EXP(-LN(2)/25)*AV130+(1-EXP(-LN(2)/25))/(LN(2)/25)*Calculateur!AQ131*Calculateur!AS131*VLOOKUP('Données projet'!$B$10,Paramètres!$A$1:$I$89,3,0)*0.475*44/12</f>
        <v>13.808621509086128</v>
      </c>
      <c r="AW131" s="23">
        <f>EXP(-LN(2)/2)*AW130+(1-EXP(-LN(2)/2))/(LN(2)/2)*AQ131*AT131*VLOOKUP('Données projet'!$B$10,Paramètres!$A$1:$I$89,3,0)*0.475*44/12</f>
        <v>9.1043553731169451E-4</v>
      </c>
      <c r="AX131" s="23">
        <f t="shared" si="60"/>
        <v>106.16808426968801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-1.064108801074326E-13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262.36903350767881</v>
      </c>
      <c r="BJ131" s="62">
        <f t="shared" si="92"/>
        <v>331.21009482262417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44.696397340780678</v>
      </c>
      <c r="BQ131" s="23">
        <f>EXP(-LN(2)/25)*BQ130+(1-EXP(-LN(2)/25))/(LN(2)/25)*Calculateur!BL131*Calculateur!BN131*VLOOKUP('Données projet'!$B$11,Paramètres!$A$1:$I$89,3,0)*0.475*44/12</f>
        <v>6.1106230765479754</v>
      </c>
      <c r="BR131" s="23">
        <f>EXP(-LN(2)/2)*BR130+(1-EXP(-LN(2)/2))/(LN(2)/2)*BL131*BO131*VLOOKUP('Données projet'!$B$11,Paramètres!$A$1:$I$89,3,0)*0.475*44/12</f>
        <v>1.1595093277476575E-9</v>
      </c>
      <c r="BS131" s="24">
        <f t="shared" si="63"/>
        <v>50.807020418488158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8.0699999999999985</v>
      </c>
      <c r="BY131" s="13">
        <f>IF('Données projet'!$A$114&gt;35,BY130+BX131-CG130,IF(A131&lt;'Données projet'!$A$114,$BV$205^A131,IF(A131='Données projet'!$A$114,'Données projet'!$B$114,BY130+BX131-CG130)))</f>
        <v>388.1700000000007</v>
      </c>
      <c r="BZ131" s="14">
        <f>BY131*VLOOKUP('Données projet'!$B$12,Paramètres!$A$1:$I$89,3,0)*VLOOKUP('Données projet'!$B$12,Paramètres!$A$1:$I$89,5,0)</f>
        <v>375.43802400000067</v>
      </c>
      <c r="CA131" s="14">
        <f t="shared" si="93"/>
        <v>86.778885336839423</v>
      </c>
      <c r="CB131" s="22">
        <f t="shared" si="64"/>
        <v>805.02778376166316</v>
      </c>
      <c r="CC131" s="62">
        <f t="shared" si="65"/>
        <v>1098.3611170949964</v>
      </c>
      <c r="CD131" s="62">
        <f ca="1">AVERAGE(OFFSET($CC$3,0,0,'Données projet'!$E$12+1,1))-AVERAGE(OFFSET($H$3,0,0,'Données projet'!$E$12+1,1))</f>
        <v>618.83149423524605</v>
      </c>
      <c r="CE131" s="62">
        <f t="shared" si="94"/>
        <v>285.33582535802435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55.385863360829127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55.385863360829127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349.5718186624772</v>
      </c>
      <c r="CZ131" s="62">
        <f t="shared" si="96"/>
        <v>258.14152930815959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78.023723583049502</v>
      </c>
      <c r="DG131" s="23">
        <f>EXP(-LN(2)/25)*DG130+(1-EXP(-LN(2)/25))/(LN(2)/25)*Calculateur!DB131*Calculateur!DD131*VLOOKUP('Données projet'!$B$13,Paramètres!$A$1:$I$89,3,0)*0.475*44/12</f>
        <v>8.337800905543217</v>
      </c>
      <c r="DH131" s="23">
        <f>EXP(-LN(2)/2)*DH130+(1-EXP(-LN(2)/2))/(LN(2)/2)*DB131*DE131*VLOOKUP('Données projet'!$B$13,Paramètres!$A$1:$I$89,3,0)*0.475*44/12</f>
        <v>1.8966630610643685E-6</v>
      </c>
      <c r="DI131" s="24">
        <f t="shared" si="69"/>
        <v>86.361526385255786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8.5265128291212022E-14</v>
      </c>
      <c r="DP131" s="18">
        <f>DO131*VLOOKUP('Données projet'!$B$14,Paramètres!$A$1:$I$89,3,0)*VLOOKUP('Données projet'!$B$14,Paramètres!$A$1:$I$89,5,0)</f>
        <v>7.4487616075202836E-14</v>
      </c>
      <c r="DQ131" s="14">
        <f t="shared" si="97"/>
        <v>1.1580453144473142E-12</v>
      </c>
      <c r="DR131" s="22">
        <f t="shared" si="70"/>
        <v>2.1466615206600508E-12</v>
      </c>
      <c r="DS131" s="62">
        <f t="shared" si="71"/>
        <v>293.33333333333547</v>
      </c>
      <c r="DT131" s="62">
        <f ca="1">AVERAGE(OFFSET($DS$3,0,0,'Données projet'!$E$14+1,1))-AVERAGE(OFFSET($H$3,0,0,'Données projet'!$E$14+1,1))</f>
        <v>300.63505444445104</v>
      </c>
      <c r="DU131" s="62">
        <f t="shared" si="98"/>
        <v>266.32508105927997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55.102354447673093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55.102354447673093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353.37024194969638</v>
      </c>
      <c r="EP131" s="62">
        <f t="shared" si="100"/>
        <v>345.4750813433123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60.011240276628904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60.011240276628904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8.5265128291212022E-14</v>
      </c>
      <c r="FF131" s="18">
        <f>FE131*VLOOKUP('Données projet'!$B$16,Paramètres!$A$1:$I$89,3,0)*VLOOKUP('Données projet'!$B$16,Paramètres!$A$1:$I$89,5,0)</f>
        <v>5.5865712056402117E-14</v>
      </c>
      <c r="FG131" s="14">
        <f t="shared" si="101"/>
        <v>8.9811031843713517E-13</v>
      </c>
      <c r="FH131" s="22">
        <f t="shared" si="76"/>
        <v>1.6615082531095774E-12</v>
      </c>
      <c r="FI131" s="62">
        <f t="shared" si="77"/>
        <v>293.33333333333496</v>
      </c>
      <c r="FJ131" s="62">
        <f ca="1">AVERAGE(OFFSET($FI$3,0,0,'Données projet'!$E$16+1,1))-AVERAGE(OFFSET($H$3,0,0,'Données projet'!$E$16+1,1))</f>
        <v>263.30962868541337</v>
      </c>
      <c r="FK131" s="62">
        <f t="shared" si="102"/>
        <v>269.61868559913404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38.806966862747039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38.806966862747039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262.06511368698341</v>
      </c>
      <c r="T132" s="62">
        <f t="shared" si="88"/>
        <v>217.15709240080542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83.715764411113497</v>
      </c>
      <c r="AA132" s="23">
        <f>EXP(-LN(2)/25)*AA131+(1-EXP(-LN(2)/25))/(LN(2)/25)*Calculateur!V132*Calculateur!X132*VLOOKUP('Données projet'!$B$9,Paramètres!$A$1:$I$89,3,0)*0.475*44/12</f>
        <v>10.83922156152461</v>
      </c>
      <c r="AB132" s="23">
        <f>EXP(-LN(2)/2)*AB131+(1-EXP(-LN(2)/2))/(LN(2)/2)*V132*Y132*VLOOKUP('Données projet'!$B$9,Paramètres!$A$1:$I$89,3,0)*0.475*44/12</f>
        <v>2.0790038426656374E-2</v>
      </c>
      <c r="AC132" s="24">
        <f t="shared" ref="AC132:AC153" si="111">SUM(Z132:AB132)</f>
        <v>94.575776011064761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287.83167869616227</v>
      </c>
      <c r="AO132" s="62">
        <f t="shared" si="90"/>
        <v>233.84231920589906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90.547457447124543</v>
      </c>
      <c r="AV132" s="23">
        <f>EXP(-LN(2)/25)*AV131+(1-EXP(-LN(2)/25))/(LN(2)/25)*Calculateur!AQ132*Calculateur!AS132*VLOOKUP('Données projet'!$B$10,Paramètres!$A$1:$I$89,3,0)*0.475*44/12</f>
        <v>13.431024027756322</v>
      </c>
      <c r="AW132" s="23">
        <f>EXP(-LN(2)/2)*AW131+(1-EXP(-LN(2)/2))/(LN(2)/2)*AQ132*AT132*VLOOKUP('Données projet'!$B$10,Paramètres!$A$1:$I$89,3,0)*0.475*44/12</f>
        <v>6.4377514226631718E-4</v>
      </c>
      <c r="AX132" s="23">
        <f t="shared" ref="AX132:AX153" si="114">SUM(AU132:AW132)</f>
        <v>103.97912525002313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-1.064108801074326E-13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262.36903350767881</v>
      </c>
      <c r="BJ132" s="62">
        <f t="shared" si="92"/>
        <v>331.21009482262417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43.819928251038434</v>
      </c>
      <c r="BQ132" s="23">
        <f>EXP(-LN(2)/25)*BQ131+(1-EXP(-LN(2)/25))/(LN(2)/25)*Calculateur!BL132*Calculateur!BN132*VLOOKUP('Données projet'!$B$11,Paramètres!$A$1:$I$89,3,0)*0.475*44/12</f>
        <v>5.9435277671760698</v>
      </c>
      <c r="BR132" s="23">
        <f>EXP(-LN(2)/2)*BR131+(1-EXP(-LN(2)/2))/(LN(2)/2)*BL132*BO132*VLOOKUP('Données projet'!$B$11,Paramètres!$A$1:$I$89,3,0)*0.475*44/12</f>
        <v>8.1989690849942366E-10</v>
      </c>
      <c r="BS132" s="24">
        <f t="shared" ref="BS132:BS153" si="117">SUM(BP132:BR132)</f>
        <v>49.7634560190344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8.0699999999999985</v>
      </c>
      <c r="BY132" s="13">
        <f>IF('Données projet'!$A$114&gt;35,BY131+BX132-CG131,IF(A132&lt;'Données projet'!$A$114,$BV$205^A132,IF(A132='Données projet'!$A$114,'Données projet'!$B$114,BY131+BX132-CG131)))</f>
        <v>396.24000000000069</v>
      </c>
      <c r="BZ132" s="14">
        <f>BY132*VLOOKUP('Données projet'!$B$12,Paramètres!$A$1:$I$89,3,0)*VLOOKUP('Données projet'!$B$12,Paramètres!$A$1:$I$89,5,0)</f>
        <v>383.2433280000007</v>
      </c>
      <c r="CA132" s="14">
        <f t="shared" si="93"/>
        <v>88.371092474485081</v>
      </c>
      <c r="CB132" s="22">
        <f t="shared" ref="CB132:CB153" si="118">(BZ132+CA132)*0.475*44/12</f>
        <v>821.39511565972941</v>
      </c>
      <c r="CC132" s="62">
        <f t="shared" ref="CC132:CC195" si="119">CB132+(BT132+BU132)*44/12</f>
        <v>1114.7284489930628</v>
      </c>
      <c r="CD132" s="62">
        <f ca="1">AVERAGE(OFFSET($CC$3,0,0,'Données projet'!$E$12+1,1))-AVERAGE(OFFSET($H$3,0,0,'Données projet'!$E$12+1,1))</f>
        <v>618.83149423524605</v>
      </c>
      <c r="CE132" s="62">
        <f t="shared" si="94"/>
        <v>285.33582535802435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54.299780362364217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54.299780362364217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349.5718186624772</v>
      </c>
      <c r="CZ132" s="62">
        <f t="shared" si="96"/>
        <v>258.14152930815959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76.493725953358194</v>
      </c>
      <c r="DG132" s="23">
        <f>EXP(-LN(2)/25)*DG131+(1-EXP(-LN(2)/25))/(LN(2)/25)*Calculateur!DB132*Calculateur!DD132*VLOOKUP('Données projet'!$B$13,Paramètres!$A$1:$I$89,3,0)*0.475*44/12</f>
        <v>8.1098033013152442</v>
      </c>
      <c r="DH132" s="23">
        <f>EXP(-LN(2)/2)*DH131+(1-EXP(-LN(2)/2))/(LN(2)/2)*DB132*DE132*VLOOKUP('Données projet'!$B$13,Paramètres!$A$1:$I$89,3,0)*0.475*44/12</f>
        <v>1.34114331210465E-6</v>
      </c>
      <c r="DI132" s="24">
        <f t="shared" ref="DI132:DI153" si="123">SUM(DF132:DH132)</f>
        <v>84.60353059581675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8.5265128291212022E-14</v>
      </c>
      <c r="DP132" s="18">
        <f>DO132*VLOOKUP('Données projet'!$B$14,Paramètres!$A$1:$I$89,3,0)*VLOOKUP('Données projet'!$B$14,Paramètres!$A$1:$I$89,5,0)</f>
        <v>7.4487616075202836E-14</v>
      </c>
      <c r="DQ132" s="14">
        <f t="shared" si="97"/>
        <v>1.1580453144473142E-12</v>
      </c>
      <c r="DR132" s="22">
        <f t="shared" ref="DR132:DR153" si="124">(DP132+DQ132)*0.475*44/12</f>
        <v>2.1466615206600508E-12</v>
      </c>
      <c r="DS132" s="62">
        <f t="shared" ref="DS132:DS195" si="125">DR132+(DJ132+DK132)*44/12</f>
        <v>293.33333333333547</v>
      </c>
      <c r="DT132" s="62">
        <f ca="1">AVERAGE(OFFSET($DS$3,0,0,'Données projet'!$E$14+1,1))-AVERAGE(OFFSET($H$3,0,0,'Données projet'!$E$14+1,1))</f>
        <v>300.63505444445104</v>
      </c>
      <c r="DU132" s="62">
        <f t="shared" si="98"/>
        <v>266.32508105927997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54.021830886071811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54.021830886071811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353.37024194969638</v>
      </c>
      <c r="EP132" s="62">
        <f t="shared" si="100"/>
        <v>345.4750813433123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58.83445645804651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58.83445645804651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8.5265128291212022E-14</v>
      </c>
      <c r="FF132" s="18">
        <f>FE132*VLOOKUP('Données projet'!$B$16,Paramètres!$A$1:$I$89,3,0)*VLOOKUP('Données projet'!$B$16,Paramètres!$A$1:$I$89,5,0)</f>
        <v>5.5865712056402117E-14</v>
      </c>
      <c r="FG132" s="14">
        <f t="shared" si="101"/>
        <v>8.9811031843713517E-13</v>
      </c>
      <c r="FH132" s="22">
        <f t="shared" ref="FH132:FH153" si="130">(FF132+FG132)*0.475*44/12</f>
        <v>1.6615082531095774E-12</v>
      </c>
      <c r="FI132" s="62">
        <f t="shared" ref="FI132:FI195" si="131">FH132+(EZ132+FA132)*44/12</f>
        <v>293.33333333333496</v>
      </c>
      <c r="FJ132" s="62">
        <f ca="1">AVERAGE(OFFSET($FI$3,0,0,'Données projet'!$E$16+1,1))-AVERAGE(OFFSET($H$3,0,0,'Données projet'!$E$16+1,1))</f>
        <v>263.30962868541337</v>
      </c>
      <c r="FK132" s="62">
        <f t="shared" si="102"/>
        <v>269.61868559913404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38.045985912481143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38.045985912481143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262.06511368698341</v>
      </c>
      <c r="T133" s="62">
        <f t="shared" ref="T133:T196" si="142">$T$3</f>
        <v>217.15709240080542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82.074149332585947</v>
      </c>
      <c r="AA133" s="23">
        <f>EXP(-LN(2)/25)*AA132+(1-EXP(-LN(2)/25))/(LN(2)/25)*Calculateur!V133*Calculateur!X133*VLOOKUP('Données projet'!$B$9,Paramètres!$A$1:$I$89,3,0)*0.475*44/12</f>
        <v>10.542822477914831</v>
      </c>
      <c r="AB133" s="23">
        <f>EXP(-LN(2)/2)*AB132+(1-EXP(-LN(2)/2))/(LN(2)/2)*V133*Y133*VLOOKUP('Données projet'!$B$9,Paramètres!$A$1:$I$89,3,0)*0.475*44/12</f>
        <v>1.4700777152617623E-2</v>
      </c>
      <c r="AC133" s="24">
        <f t="shared" si="111"/>
        <v>92.631672587653384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287.83167869616227</v>
      </c>
      <c r="AO133" s="62">
        <f t="shared" ref="AO133:AO196" si="144">$AO$3</f>
        <v>233.84231920589906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88.771877035082113</v>
      </c>
      <c r="AV133" s="23">
        <f>EXP(-LN(2)/25)*AV132+(1-EXP(-LN(2)/25))/(LN(2)/25)*Calculateur!AQ133*Calculateur!AS133*VLOOKUP('Données projet'!$B$10,Paramètres!$A$1:$I$89,3,0)*0.475*44/12</f>
        <v>13.06375196941047</v>
      </c>
      <c r="AW133" s="23">
        <f>EXP(-LN(2)/2)*AW132+(1-EXP(-LN(2)/2))/(LN(2)/2)*AQ133*AT133*VLOOKUP('Données projet'!$B$10,Paramètres!$A$1:$I$89,3,0)*0.475*44/12</f>
        <v>4.5521776865584725E-4</v>
      </c>
      <c r="AX133" s="23">
        <f t="shared" si="114"/>
        <v>101.83608422226125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-1.064108801074326E-13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262.36903350767881</v>
      </c>
      <c r="BJ133" s="62">
        <f t="shared" ref="BJ133:BJ196" si="146">$BJ$3</f>
        <v>331.21009482262417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42.960646185552683</v>
      </c>
      <c r="BQ133" s="23">
        <f>EXP(-LN(2)/25)*BQ132+(1-EXP(-LN(2)/25))/(LN(2)/25)*Calculateur!BL133*Calculateur!BN133*VLOOKUP('Données projet'!$B$11,Paramètres!$A$1:$I$89,3,0)*0.475*44/12</f>
        <v>5.781001687826099</v>
      </c>
      <c r="BR133" s="23">
        <f>EXP(-LN(2)/2)*BR132+(1-EXP(-LN(2)/2))/(LN(2)/2)*BL133*BO133*VLOOKUP('Données projet'!$B$11,Paramètres!$A$1:$I$89,3,0)*0.475*44/12</f>
        <v>5.7975466387382874E-10</v>
      </c>
      <c r="BS133" s="24">
        <f t="shared" si="117"/>
        <v>48.741647873958534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8.0699999999999985</v>
      </c>
      <c r="BY133" s="13">
        <f>IF('Données projet'!$A$114&gt;35,BY132+BX133-CG132,IF(A133&lt;'Données projet'!$A$114,$BV$205^A133,IF(A133='Données projet'!$A$114,'Données projet'!$B$114,BY132+BX133-CG132)))</f>
        <v>404.31000000000068</v>
      </c>
      <c r="BZ133" s="14">
        <f>BY133*VLOOKUP('Données projet'!$B$12,Paramètres!$A$1:$I$89,3,0)*VLOOKUP('Données projet'!$B$12,Paramètres!$A$1:$I$89,5,0)</f>
        <v>391.04863200000068</v>
      </c>
      <c r="CA133" s="14">
        <f t="shared" ref="CA133:CA153" si="147">EXP(-1.0587+0.8836*LN(BZ133)+0.284)</f>
        <v>89.959529234718644</v>
      </c>
      <c r="CB133" s="22">
        <f t="shared" si="118"/>
        <v>837.75588081713613</v>
      </c>
      <c r="CC133" s="62">
        <f t="shared" si="119"/>
        <v>1131.0892141504694</v>
      </c>
      <c r="CD133" s="62">
        <f ca="1">AVERAGE(OFFSET($CC$3,0,0,'Données projet'!$E$12+1,1))-AVERAGE(OFFSET($H$3,0,0,'Données projet'!$E$12+1,1))</f>
        <v>618.83149423524605</v>
      </c>
      <c r="CE133" s="62">
        <f t="shared" ref="CE133:CE196" si="148">$CE$3</f>
        <v>285.33582535802435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53.234994789053985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53.234994789053985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349.5718186624772</v>
      </c>
      <c r="CZ133" s="62">
        <f t="shared" ref="CZ133:CZ196" si="150">$CZ$3</f>
        <v>258.14152930815959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74.993730643978722</v>
      </c>
      <c r="DG133" s="23">
        <f>EXP(-LN(2)/25)*DG132+(1-EXP(-LN(2)/25))/(LN(2)/25)*Calculateur!DB133*Calculateur!DD133*VLOOKUP('Données projet'!$B$13,Paramètres!$A$1:$I$89,3,0)*0.475*44/12</f>
        <v>7.8880403035647584</v>
      </c>
      <c r="DH133" s="23">
        <f>EXP(-LN(2)/2)*DH132+(1-EXP(-LN(2)/2))/(LN(2)/2)*DB133*DE133*VLOOKUP('Données projet'!$B$13,Paramètres!$A$1:$I$89,3,0)*0.475*44/12</f>
        <v>9.4833153053218446E-7</v>
      </c>
      <c r="DI133" s="24">
        <f t="shared" si="123"/>
        <v>82.881771895875019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8.5265128291212022E-14</v>
      </c>
      <c r="DP133" s="18">
        <f>DO133*VLOOKUP('Données projet'!$B$14,Paramètres!$A$1:$I$89,3,0)*VLOOKUP('Données projet'!$B$14,Paramètres!$A$1:$I$89,5,0)</f>
        <v>7.4487616075202836E-14</v>
      </c>
      <c r="DQ133" s="14">
        <f t="shared" ref="DQ133:DQ153" si="151">EXP(-1.0587+0.8836*LN(DP133)+0.284)</f>
        <v>1.1580453144473142E-12</v>
      </c>
      <c r="DR133" s="22">
        <f t="shared" si="124"/>
        <v>2.1466615206600508E-12</v>
      </c>
      <c r="DS133" s="62">
        <f t="shared" si="125"/>
        <v>293.33333333333547</v>
      </c>
      <c r="DT133" s="62">
        <f ca="1">AVERAGE(OFFSET($DS$3,0,0,'Données projet'!$E$14+1,1))-AVERAGE(OFFSET($H$3,0,0,'Données projet'!$E$14+1,1))</f>
        <v>300.63505444445104</v>
      </c>
      <c r="DU133" s="62">
        <f t="shared" ref="DU133:DU196" si="152">$DU$3</f>
        <v>266.32508105927997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52.962495732459232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52.962495732459232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353.37024194969638</v>
      </c>
      <c r="EP133" s="62">
        <f t="shared" ref="EP133:EP196" si="154">$EP$3</f>
        <v>345.4750813433123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57.680748652379265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57.680748652379265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8.5265128291212022E-14</v>
      </c>
      <c r="FF133" s="18">
        <f>FE133*VLOOKUP('Données projet'!$B$16,Paramètres!$A$1:$I$89,3,0)*VLOOKUP('Données projet'!$B$16,Paramètres!$A$1:$I$89,5,0)</f>
        <v>5.5865712056402117E-14</v>
      </c>
      <c r="FG133" s="14">
        <f t="shared" ref="FG133:FG153" si="155">EXP(-1.0587+0.8836*LN(FF133)+0.284)</f>
        <v>8.9811031843713517E-13</v>
      </c>
      <c r="FH133" s="22">
        <f t="shared" si="130"/>
        <v>1.6615082531095774E-12</v>
      </c>
      <c r="FI133" s="62">
        <f t="shared" si="131"/>
        <v>293.33333333333496</v>
      </c>
      <c r="FJ133" s="62">
        <f ca="1">AVERAGE(OFFSET($FI$3,0,0,'Données projet'!$E$16+1,1))-AVERAGE(OFFSET($H$3,0,0,'Données projet'!$E$16+1,1))</f>
        <v>263.30962868541337</v>
      </c>
      <c r="FK133" s="62">
        <f t="shared" ref="FK133:FK196" si="156">$FK$3</f>
        <v>269.61868559913404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37.299927334497418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37.299927334497418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262.06511368698341</v>
      </c>
      <c r="T134" s="62">
        <f t="shared" si="142"/>
        <v>217.15709240080542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80.46472532446198</v>
      </c>
      <c r="AA134" s="23">
        <f>EXP(-LN(2)/25)*AA133+(1-EXP(-LN(2)/25))/(LN(2)/25)*Calculateur!V134*Calculateur!X134*VLOOKUP('Données projet'!$B$9,Paramètres!$A$1:$I$89,3,0)*0.475*44/12</f>
        <v>10.254528442833312</v>
      </c>
      <c r="AB134" s="23">
        <f>EXP(-LN(2)/2)*AB133+(1-EXP(-LN(2)/2))/(LN(2)/2)*V134*Y134*VLOOKUP('Données projet'!$B$9,Paramètres!$A$1:$I$89,3,0)*0.475*44/12</f>
        <v>1.0395019213328187E-2</v>
      </c>
      <c r="AC134" s="24">
        <f t="shared" si="111"/>
        <v>90.729648786508633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287.83167869616227</v>
      </c>
      <c r="AO134" s="62">
        <f t="shared" si="144"/>
        <v>233.84231920589906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87.031114671922722</v>
      </c>
      <c r="AV134" s="23">
        <f>EXP(-LN(2)/25)*AV133+(1-EXP(-LN(2)/25))/(LN(2)/25)*Calculateur!AQ134*Calculateur!AS134*VLOOKUP('Données projet'!$B$10,Paramètres!$A$1:$I$89,3,0)*0.475*44/12</f>
        <v>12.706522984814082</v>
      </c>
      <c r="AW134" s="23">
        <f>EXP(-LN(2)/2)*AW133+(1-EXP(-LN(2)/2))/(LN(2)/2)*AQ134*AT134*VLOOKUP('Données projet'!$B$10,Paramètres!$A$1:$I$89,3,0)*0.475*44/12</f>
        <v>3.2188757113315859E-4</v>
      </c>
      <c r="AX134" s="23">
        <f t="shared" si="114"/>
        <v>99.737959544307941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-1.064108801074326E-13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262.36903350767881</v>
      </c>
      <c r="BJ134" s="62">
        <f t="shared" si="146"/>
        <v>331.21009482262417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42.118214117260798</v>
      </c>
      <c r="BQ134" s="23">
        <f>EXP(-LN(2)/25)*BQ133+(1-EXP(-LN(2)/25))/(LN(2)/25)*Calculateur!BL134*Calculateur!BN134*VLOOKUP('Données projet'!$B$11,Paramètres!$A$1:$I$89,3,0)*0.475*44/12</f>
        <v>5.6229198926628285</v>
      </c>
      <c r="BR134" s="23">
        <f>EXP(-LN(2)/2)*BR133+(1-EXP(-LN(2)/2))/(LN(2)/2)*BL134*BO134*VLOOKUP('Données projet'!$B$11,Paramètres!$A$1:$I$89,3,0)*0.475*44/12</f>
        <v>4.0994845424971183E-10</v>
      </c>
      <c r="BS134" s="24">
        <f t="shared" si="117"/>
        <v>47.741134010333575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8.0699999999999985</v>
      </c>
      <c r="BY134" s="13">
        <f>IF('Données projet'!$A$114&gt;35,BY133+BX134-CG133,IF(A134&lt;'Données projet'!$A$114,$BV$205^A134,IF(A134='Données projet'!$A$114,'Données projet'!$B$114,BY133+BX134-CG133)))</f>
        <v>412.38000000000068</v>
      </c>
      <c r="BZ134" s="14">
        <f>BY134*VLOOKUP('Données projet'!$B$12,Paramètres!$A$1:$I$89,3,0)*VLOOKUP('Données projet'!$B$12,Paramètres!$A$1:$I$89,5,0)</f>
        <v>398.85393600000066</v>
      </c>
      <c r="CA134" s="14">
        <f t="shared" si="147"/>
        <v>91.54427954759349</v>
      </c>
      <c r="CB134" s="22">
        <f t="shared" si="118"/>
        <v>854.11022541205978</v>
      </c>
      <c r="CC134" s="62">
        <f t="shared" si="119"/>
        <v>1147.4435587453931</v>
      </c>
      <c r="CD134" s="62">
        <f ca="1">AVERAGE(OFFSET($CC$3,0,0,'Données projet'!$E$12+1,1))-AVERAGE(OFFSET($H$3,0,0,'Données projet'!$E$12+1,1))</f>
        <v>618.83149423524605</v>
      </c>
      <c r="CE134" s="62">
        <f t="shared" si="148"/>
        <v>285.33582535802435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52.191089011381301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52.191089011381301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349.5718186624772</v>
      </c>
      <c r="CZ134" s="62">
        <f t="shared" si="150"/>
        <v>258.14152930815959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73.523149327709376</v>
      </c>
      <c r="DG134" s="23">
        <f>EXP(-LN(2)/25)*DG133+(1-EXP(-LN(2)/25))/(LN(2)/25)*Calculateur!DB134*Calculateur!DD134*VLOOKUP('Données projet'!$B$13,Paramètres!$A$1:$I$89,3,0)*0.475*44/12</f>
        <v>7.6723414266497691</v>
      </c>
      <c r="DH134" s="23">
        <f>EXP(-LN(2)/2)*DH133+(1-EXP(-LN(2)/2))/(LN(2)/2)*DB134*DE134*VLOOKUP('Données projet'!$B$13,Paramètres!$A$1:$I$89,3,0)*0.475*44/12</f>
        <v>6.7057165605232512E-7</v>
      </c>
      <c r="DI134" s="24">
        <f t="shared" si="123"/>
        <v>81.195491424930793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8.5265128291212022E-14</v>
      </c>
      <c r="DP134" s="18">
        <f>DO134*VLOOKUP('Données projet'!$B$14,Paramètres!$A$1:$I$89,3,0)*VLOOKUP('Données projet'!$B$14,Paramètres!$A$1:$I$89,5,0)</f>
        <v>7.4487616075202836E-14</v>
      </c>
      <c r="DQ134" s="14">
        <f t="shared" si="151"/>
        <v>1.1580453144473142E-12</v>
      </c>
      <c r="DR134" s="22">
        <f t="shared" si="124"/>
        <v>2.1466615206600508E-12</v>
      </c>
      <c r="DS134" s="62">
        <f t="shared" si="125"/>
        <v>293.33333333333547</v>
      </c>
      <c r="DT134" s="62">
        <f ca="1">AVERAGE(OFFSET($DS$3,0,0,'Données projet'!$E$14+1,1))-AVERAGE(OFFSET($H$3,0,0,'Données projet'!$E$14+1,1))</f>
        <v>300.63505444445104</v>
      </c>
      <c r="DU134" s="62">
        <f t="shared" si="152"/>
        <v>266.32508105927997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51.923933495078352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51.923933495078352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353.37024194969638</v>
      </c>
      <c r="EP134" s="62">
        <f t="shared" si="154"/>
        <v>345.4750813433123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56.549664353088872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56.549664353088872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8.5265128291212022E-14</v>
      </c>
      <c r="FF134" s="18">
        <f>FE134*VLOOKUP('Données projet'!$B$16,Paramètres!$A$1:$I$89,3,0)*VLOOKUP('Données projet'!$B$16,Paramètres!$A$1:$I$89,5,0)</f>
        <v>5.5865712056402117E-14</v>
      </c>
      <c r="FG134" s="14">
        <f t="shared" si="155"/>
        <v>8.9811031843713517E-13</v>
      </c>
      <c r="FH134" s="22">
        <f t="shared" si="130"/>
        <v>1.6615082531095774E-12</v>
      </c>
      <c r="FI134" s="62">
        <f t="shared" si="131"/>
        <v>293.33333333333496</v>
      </c>
      <c r="FJ134" s="62">
        <f ca="1">AVERAGE(OFFSET($FI$3,0,0,'Données projet'!$E$16+1,1))-AVERAGE(OFFSET($H$3,0,0,'Données projet'!$E$16+1,1))</f>
        <v>263.30962868541337</v>
      </c>
      <c r="FK134" s="62">
        <f t="shared" si="156"/>
        <v>269.61868559913404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36.56849851017715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36.56849851017715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262.06511368698341</v>
      </c>
      <c r="T135" s="62">
        <f t="shared" si="142"/>
        <v>217.15709240080542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78.886861139485617</v>
      </c>
      <c r="AA135" s="23">
        <f>EXP(-LN(2)/25)*AA134+(1-EXP(-LN(2)/25))/(LN(2)/25)*Calculateur!V135*Calculateur!X135*VLOOKUP('Données projet'!$B$9,Paramètres!$A$1:$I$89,3,0)*0.475*44/12</f>
        <v>9.9741178233018211</v>
      </c>
      <c r="AB135" s="23">
        <f>EXP(-LN(2)/2)*AB134+(1-EXP(-LN(2)/2))/(LN(2)/2)*V135*Y135*VLOOKUP('Données projet'!$B$9,Paramètres!$A$1:$I$89,3,0)*0.475*44/12</f>
        <v>7.3503885763088117E-3</v>
      </c>
      <c r="AC135" s="24">
        <f t="shared" si="111"/>
        <v>88.868329351363755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287.83167869616227</v>
      </c>
      <c r="AO135" s="62">
        <f t="shared" si="144"/>
        <v>233.84231920589906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85.324487596944678</v>
      </c>
      <c r="AV135" s="23">
        <f>EXP(-LN(2)/25)*AV134+(1-EXP(-LN(2)/25))/(LN(2)/25)*Calculateur!AQ135*Calculateur!AS135*VLOOKUP('Données projet'!$B$10,Paramètres!$A$1:$I$89,3,0)*0.475*44/12</f>
        <v>12.359062445587339</v>
      </c>
      <c r="AW135" s="23">
        <f>EXP(-LN(2)/2)*AW134+(1-EXP(-LN(2)/2))/(LN(2)/2)*AQ135*AT135*VLOOKUP('Données projet'!$B$10,Paramètres!$A$1:$I$89,3,0)*0.475*44/12</f>
        <v>2.2760888432792363E-4</v>
      </c>
      <c r="AX135" s="23">
        <f t="shared" si="114"/>
        <v>97.683777651416349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-1.064108801074326E-13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262.36903350767881</v>
      </c>
      <c r="BJ135" s="62">
        <f t="shared" si="146"/>
        <v>331.21009482262417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41.292301627995293</v>
      </c>
      <c r="BQ135" s="23">
        <f>EXP(-LN(2)/25)*BQ134+(1-EXP(-LN(2)/25))/(LN(2)/25)*Calculateur!BL135*Calculateur!BN135*VLOOKUP('Données projet'!$B$11,Paramètres!$A$1:$I$89,3,0)*0.475*44/12</f>
        <v>5.4691608525014574</v>
      </c>
      <c r="BR135" s="23">
        <f>EXP(-LN(2)/2)*BR134+(1-EXP(-LN(2)/2))/(LN(2)/2)*BL135*BO135*VLOOKUP('Données projet'!$B$11,Paramètres!$A$1:$I$89,3,0)*0.475*44/12</f>
        <v>2.8987733193691437E-10</v>
      </c>
      <c r="BS135" s="24">
        <f t="shared" si="117"/>
        <v>46.761462480786633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8.0699999999999985</v>
      </c>
      <c r="BY135" s="13">
        <f>IF('Données projet'!$A$114&gt;35,BY134+BX135-CG134,IF(A135&lt;'Données projet'!$A$114,$BV$205^A135,IF(A135='Données projet'!$A$114,'Données projet'!$B$114,BY134+BX135-CG134)))</f>
        <v>420.45000000000067</v>
      </c>
      <c r="BZ135" s="14">
        <f>BY135*VLOOKUP('Données projet'!$B$12,Paramètres!$A$1:$I$89,3,0)*VLOOKUP('Données projet'!$B$12,Paramètres!$A$1:$I$89,5,0)</f>
        <v>406.65924000000069</v>
      </c>
      <c r="CA135" s="14">
        <f t="shared" si="147"/>
        <v>93.125423870362923</v>
      </c>
      <c r="CB135" s="22">
        <f t="shared" si="118"/>
        <v>870.45828957421656</v>
      </c>
      <c r="CC135" s="62">
        <f t="shared" si="119"/>
        <v>1163.7916229075499</v>
      </c>
      <c r="CD135" s="62">
        <f ca="1">AVERAGE(OFFSET($CC$3,0,0,'Données projet'!$E$12+1,1))-AVERAGE(OFFSET($H$3,0,0,'Données projet'!$E$12+1,1))</f>
        <v>618.83149423524605</v>
      </c>
      <c r="CE135" s="62">
        <f t="shared" si="148"/>
        <v>285.33582535802435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51.167653589289124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51.167653589289124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349.5718186624772</v>
      </c>
      <c r="CZ135" s="62">
        <f t="shared" si="150"/>
        <v>258.14152930815959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72.081405214086033</v>
      </c>
      <c r="DG135" s="23">
        <f>EXP(-LN(2)/25)*DG134+(1-EXP(-LN(2)/25))/(LN(2)/25)*Calculateur!DB135*Calculateur!DD135*VLOOKUP('Données projet'!$B$13,Paramètres!$A$1:$I$89,3,0)*0.475*44/12</f>
        <v>7.4625408468671308</v>
      </c>
      <c r="DH135" s="23">
        <f>EXP(-LN(2)/2)*DH134+(1-EXP(-LN(2)/2))/(LN(2)/2)*DB135*DE135*VLOOKUP('Données projet'!$B$13,Paramètres!$A$1:$I$89,3,0)*0.475*44/12</f>
        <v>4.7416576526609228E-7</v>
      </c>
      <c r="DI135" s="24">
        <f t="shared" si="123"/>
        <v>79.54394653511892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8.5265128291212022E-14</v>
      </c>
      <c r="DP135" s="18">
        <f>DO135*VLOOKUP('Données projet'!$B$14,Paramètres!$A$1:$I$89,3,0)*VLOOKUP('Données projet'!$B$14,Paramètres!$A$1:$I$89,5,0)</f>
        <v>7.4487616075202836E-14</v>
      </c>
      <c r="DQ135" s="14">
        <f t="shared" si="151"/>
        <v>1.1580453144473142E-12</v>
      </c>
      <c r="DR135" s="22">
        <f t="shared" si="124"/>
        <v>2.1466615206600508E-12</v>
      </c>
      <c r="DS135" s="62">
        <f t="shared" si="125"/>
        <v>293.33333333333547</v>
      </c>
      <c r="DT135" s="62">
        <f ca="1">AVERAGE(OFFSET($DS$3,0,0,'Données projet'!$E$14+1,1))-AVERAGE(OFFSET($H$3,0,0,'Données projet'!$E$14+1,1))</f>
        <v>300.63505444445104</v>
      </c>
      <c r="DU135" s="62">
        <f t="shared" si="152"/>
        <v>266.32508105927997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50.905736829712097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50.905736829712097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353.37024194969638</v>
      </c>
      <c r="EP135" s="62">
        <f t="shared" si="154"/>
        <v>345.4750813433123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55.440759927014263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55.440759927014263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8.5265128291212022E-14</v>
      </c>
      <c r="FF135" s="18">
        <f>FE135*VLOOKUP('Données projet'!$B$16,Paramètres!$A$1:$I$89,3,0)*VLOOKUP('Données projet'!$B$16,Paramètres!$A$1:$I$89,5,0)</f>
        <v>5.5865712056402117E-14</v>
      </c>
      <c r="FG135" s="14">
        <f t="shared" si="155"/>
        <v>8.9811031843713517E-13</v>
      </c>
      <c r="FH135" s="22">
        <f t="shared" si="130"/>
        <v>1.6615082531095774E-12</v>
      </c>
      <c r="FI135" s="62">
        <f t="shared" si="131"/>
        <v>293.33333333333496</v>
      </c>
      <c r="FJ135" s="62">
        <f ca="1">AVERAGE(OFFSET($FI$3,0,0,'Données projet'!$E$16+1,1))-AVERAGE(OFFSET($H$3,0,0,'Données projet'!$E$16+1,1))</f>
        <v>263.30962868541337</v>
      </c>
      <c r="FK135" s="62">
        <f t="shared" si="156"/>
        <v>269.61868559913404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35.851412558974275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35.851412558974275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262.06511368698341</v>
      </c>
      <c r="T136" s="62">
        <f t="shared" si="142"/>
        <v>217.15709240080542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77.339937908774516</v>
      </c>
      <c r="AA136" s="23">
        <f>EXP(-LN(2)/25)*AA135+(1-EXP(-LN(2)/25))/(LN(2)/25)*Calculateur!V136*Calculateur!X136*VLOOKUP('Données projet'!$B$9,Paramètres!$A$1:$I$89,3,0)*0.475*44/12</f>
        <v>9.7013750469075735</v>
      </c>
      <c r="AB136" s="23">
        <f>EXP(-LN(2)/2)*AB135+(1-EXP(-LN(2)/2))/(LN(2)/2)*V136*Y136*VLOOKUP('Données projet'!$B$9,Paramètres!$A$1:$I$89,3,0)*0.475*44/12</f>
        <v>5.1975096066640934E-3</v>
      </c>
      <c r="AC136" s="24">
        <f t="shared" si="111"/>
        <v>87.046510465288748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287.83167869616227</v>
      </c>
      <c r="AO136" s="62">
        <f t="shared" si="144"/>
        <v>233.84231920589906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83.651326437967228</v>
      </c>
      <c r="AV136" s="23">
        <f>EXP(-LN(2)/25)*AV135+(1-EXP(-LN(2)/25))/(LN(2)/25)*Calculateur!AQ136*Calculateur!AS136*VLOOKUP('Données projet'!$B$10,Paramètres!$A$1:$I$89,3,0)*0.475*44/12</f>
        <v>12.021103233077907</v>
      </c>
      <c r="AW136" s="23">
        <f>EXP(-LN(2)/2)*AW135+(1-EXP(-LN(2)/2))/(LN(2)/2)*AQ136*AT136*VLOOKUP('Données projet'!$B$10,Paramètres!$A$1:$I$89,3,0)*0.475*44/12</f>
        <v>1.609437855665793E-4</v>
      </c>
      <c r="AX136" s="23">
        <f t="shared" si="114"/>
        <v>95.67259061483071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-1.064108801074326E-13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262.36903350767881</v>
      </c>
      <c r="BJ136" s="62">
        <f t="shared" si="146"/>
        <v>331.21009482262417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40.482584778887407</v>
      </c>
      <c r="BQ136" s="23">
        <f>EXP(-LN(2)/25)*BQ135+(1-EXP(-LN(2)/25))/(LN(2)/25)*Calculateur!BL136*Calculateur!BN136*VLOOKUP('Données projet'!$B$11,Paramètres!$A$1:$I$89,3,0)*0.475*44/12</f>
        <v>5.3196063613791358</v>
      </c>
      <c r="BR136" s="23">
        <f>EXP(-LN(2)/2)*BR135+(1-EXP(-LN(2)/2))/(LN(2)/2)*BL136*BO136*VLOOKUP('Données projet'!$B$11,Paramètres!$A$1:$I$89,3,0)*0.475*44/12</f>
        <v>2.0497422712485592E-10</v>
      </c>
      <c r="BS136" s="24">
        <f t="shared" si="117"/>
        <v>45.802191140471521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8.0699999999999985</v>
      </c>
      <c r="BY136" s="13">
        <f>IF('Données projet'!$A$114&gt;35,BY135+BX136-CG135,IF(A136&lt;'Données projet'!$A$114,$BV$205^A136,IF(A136='Données projet'!$A$114,'Données projet'!$B$114,BY135+BX136-CG135)))</f>
        <v>428.52000000000066</v>
      </c>
      <c r="BZ136" s="14">
        <f>BY136*VLOOKUP('Données projet'!$B$12,Paramètres!$A$1:$I$89,3,0)*VLOOKUP('Données projet'!$B$12,Paramètres!$A$1:$I$89,5,0)</f>
        <v>414.46454400000067</v>
      </c>
      <c r="CA136" s="14">
        <f t="shared" si="147"/>
        <v>94.703039395025982</v>
      </c>
      <c r="CB136" s="22">
        <f t="shared" si="118"/>
        <v>886.80020774633806</v>
      </c>
      <c r="CC136" s="62">
        <f t="shared" si="119"/>
        <v>1180.1335410796714</v>
      </c>
      <c r="CD136" s="62">
        <f ca="1">AVERAGE(OFFSET($CC$3,0,0,'Données projet'!$E$12+1,1))-AVERAGE(OFFSET($H$3,0,0,'Données projet'!$E$12+1,1))</f>
        <v>618.83149423524605</v>
      </c>
      <c r="CE136" s="62">
        <f t="shared" si="148"/>
        <v>285.33582535802435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50.164287111590205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50.164287111590205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349.5718186624772</v>
      </c>
      <c r="CZ136" s="62">
        <f t="shared" si="150"/>
        <v>258.14152930815959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70.667932823153777</v>
      </c>
      <c r="DG136" s="23">
        <f>EXP(-LN(2)/25)*DG135+(1-EXP(-LN(2)/25))/(LN(2)/25)*Calculateur!DB136*Calculateur!DD136*VLOOKUP('Données projet'!$B$13,Paramètres!$A$1:$I$89,3,0)*0.475*44/12</f>
        <v>7.2584772749715816</v>
      </c>
      <c r="DH136" s="23">
        <f>EXP(-LN(2)/2)*DH135+(1-EXP(-LN(2)/2))/(LN(2)/2)*DB136*DE136*VLOOKUP('Données projet'!$B$13,Paramètres!$A$1:$I$89,3,0)*0.475*44/12</f>
        <v>3.3528582802616261E-7</v>
      </c>
      <c r="DI136" s="24">
        <f t="shared" si="123"/>
        <v>77.926410433411192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8.5265128291212022E-14</v>
      </c>
      <c r="DP136" s="18">
        <f>DO136*VLOOKUP('Données projet'!$B$14,Paramètres!$A$1:$I$89,3,0)*VLOOKUP('Données projet'!$B$14,Paramètres!$A$1:$I$89,5,0)</f>
        <v>7.4487616075202836E-14</v>
      </c>
      <c r="DQ136" s="14">
        <f t="shared" si="151"/>
        <v>1.1580453144473142E-12</v>
      </c>
      <c r="DR136" s="22">
        <f t="shared" si="124"/>
        <v>2.1466615206600508E-12</v>
      </c>
      <c r="DS136" s="62">
        <f t="shared" si="125"/>
        <v>293.33333333333547</v>
      </c>
      <c r="DT136" s="62">
        <f ca="1">AVERAGE(OFFSET($DS$3,0,0,'Données projet'!$E$14+1,1))-AVERAGE(OFFSET($H$3,0,0,'Données projet'!$E$14+1,1))</f>
        <v>300.63505444445104</v>
      </c>
      <c r="DU136" s="62">
        <f t="shared" si="152"/>
        <v>266.32508105927997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49.907506379915034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49.907506379915034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353.37024194969638</v>
      </c>
      <c r="EP136" s="62">
        <f t="shared" si="154"/>
        <v>345.4750813433123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54.353600440370066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54.353600440370066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8.5265128291212022E-14</v>
      </c>
      <c r="FF136" s="18">
        <f>FE136*VLOOKUP('Données projet'!$B$16,Paramètres!$A$1:$I$89,3,0)*VLOOKUP('Données projet'!$B$16,Paramètres!$A$1:$I$89,5,0)</f>
        <v>5.5865712056402117E-14</v>
      </c>
      <c r="FG136" s="14">
        <f t="shared" si="155"/>
        <v>8.9811031843713517E-13</v>
      </c>
      <c r="FH136" s="22">
        <f t="shared" si="130"/>
        <v>1.6615082531095774E-12</v>
      </c>
      <c r="FI136" s="62">
        <f t="shared" si="131"/>
        <v>293.33333333333496</v>
      </c>
      <c r="FJ136" s="62">
        <f ca="1">AVERAGE(OFFSET($FI$3,0,0,'Données projet'!$E$16+1,1))-AVERAGE(OFFSET($H$3,0,0,'Données projet'!$E$16+1,1))</f>
        <v>263.30962868541337</v>
      </c>
      <c r="FK136" s="62">
        <f t="shared" si="156"/>
        <v>269.61868559913404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35.148388225895246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35.148388225895246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262.06511368698341</v>
      </c>
      <c r="T137" s="62">
        <f t="shared" si="142"/>
        <v>217.15709240080542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75.823348899087648</v>
      </c>
      <c r="AA137" s="23">
        <f>EXP(-LN(2)/25)*AA136+(1-EXP(-LN(2)/25))/(LN(2)/25)*Calculateur!V137*Calculateur!X137*VLOOKUP('Données projet'!$B$9,Paramètres!$A$1:$I$89,3,0)*0.475*44/12</f>
        <v>9.4360904360767446</v>
      </c>
      <c r="AB137" s="23">
        <f>EXP(-LN(2)/2)*AB136+(1-EXP(-LN(2)/2))/(LN(2)/2)*V137*Y137*VLOOKUP('Données projet'!$B$9,Paramètres!$A$1:$I$89,3,0)*0.475*44/12</f>
        <v>3.6751942881544058E-3</v>
      </c>
      <c r="AC137" s="24">
        <f t="shared" si="111"/>
        <v>85.263114529452537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287.83167869616227</v>
      </c>
      <c r="AO137" s="62">
        <f t="shared" si="144"/>
        <v>233.84231920589906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82.01097494878978</v>
      </c>
      <c r="AV137" s="23">
        <f>EXP(-LN(2)/25)*AV136+(1-EXP(-LN(2)/25))/(LN(2)/25)*Calculateur!AQ137*Calculateur!AS137*VLOOKUP('Données projet'!$B$10,Paramètres!$A$1:$I$89,3,0)*0.475*44/12</f>
        <v>11.692385533007048</v>
      </c>
      <c r="AW137" s="23">
        <f>EXP(-LN(2)/2)*AW136+(1-EXP(-LN(2)/2))/(LN(2)/2)*AQ137*AT137*VLOOKUP('Données projet'!$B$10,Paramètres!$A$1:$I$89,3,0)*0.475*44/12</f>
        <v>1.1380444216396181E-4</v>
      </c>
      <c r="AX137" s="23">
        <f t="shared" si="114"/>
        <v>93.703474286239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-1.064108801074326E-13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262.36903350767881</v>
      </c>
      <c r="BJ137" s="62">
        <f t="shared" si="146"/>
        <v>331.21009482262417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39.68874598331201</v>
      </c>
      <c r="BQ137" s="23">
        <f>EXP(-LN(2)/25)*BQ136+(1-EXP(-LN(2)/25))/(LN(2)/25)*Calculateur!BL137*Calculateur!BN137*VLOOKUP('Données projet'!$B$11,Paramètres!$A$1:$I$89,3,0)*0.475*44/12</f>
        <v>5.1741414456812826</v>
      </c>
      <c r="BR137" s="23">
        <f>EXP(-LN(2)/2)*BR136+(1-EXP(-LN(2)/2))/(LN(2)/2)*BL137*BO137*VLOOKUP('Données projet'!$B$11,Paramètres!$A$1:$I$89,3,0)*0.475*44/12</f>
        <v>1.4493866596845718E-10</v>
      </c>
      <c r="BS137" s="24">
        <f t="shared" si="117"/>
        <v>44.862887429138226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>
        <f>VLOOKUP(A137,'Données projet'!$A$113:$I$133,2,0)</f>
        <v>436.59</v>
      </c>
      <c r="BW137" s="13">
        <f>VLOOKUP(A137,'Données projet'!$A$113:$I$133,9,0)</f>
        <v>8.0699999999999985</v>
      </c>
      <c r="BX137" s="13">
        <f t="array" ref="BX137">INDEX(BW:BW,MIN(IF(ISNUMBER(BW137:BW333),ROW(BW137:BW333),"")))</f>
        <v>8.0699999999999985</v>
      </c>
      <c r="BY137" s="13">
        <f>IF('Données projet'!$A$114&gt;35,BY136+BX137-CG136,IF(A137&lt;'Données projet'!$A$114,$BV$205^A137,IF(A137='Données projet'!$A$114,'Données projet'!$B$114,BY136+BX137-CG136)))</f>
        <v>436.59000000000066</v>
      </c>
      <c r="BZ137" s="14">
        <f>BY137*VLOOKUP('Données projet'!$B$12,Paramètres!$A$1:$I$89,3,0)*VLOOKUP('Données projet'!$B$12,Paramètres!$A$1:$I$89,5,0)</f>
        <v>422.26984800000071</v>
      </c>
      <c r="CA137" s="14">
        <f t="shared" si="147"/>
        <v>96.277200239796969</v>
      </c>
      <c r="CB137" s="22">
        <f t="shared" si="118"/>
        <v>903.13610901764775</v>
      </c>
      <c r="CC137" s="62">
        <f t="shared" si="119"/>
        <v>1196.4694423509811</v>
      </c>
      <c r="CD137" s="62">
        <f ca="1">AVERAGE(OFFSET($CC$3,0,0,'Données projet'!$E$12+1,1))-AVERAGE(OFFSET($H$3,0,0,'Données projet'!$E$12+1,1))</f>
        <v>618.83149423524605</v>
      </c>
      <c r="CE137" s="62">
        <f t="shared" si="148"/>
        <v>285.33582535802435</v>
      </c>
      <c r="CF137" s="16">
        <f>IF(ISNA(VLOOKUP(A137,'Données projet'!$A$113:$I$133,3,0)),0,VLOOKUP(A137,'Données projet'!$A$113:$I$133,3,0))</f>
        <v>11</v>
      </c>
      <c r="CG137" s="16">
        <f>IF(ISNA(VLOOKUP(A137,'Données projet'!$A$113:$I$133,4,0)),0,VLOOKUP(A137,'Données projet'!$A$113:$I$133,4,0))</f>
        <v>54.95</v>
      </c>
      <c r="CH137" s="17">
        <f>IF(ISNA(VLOOKUP(A137,'Données projet'!$A$113:$I$133,5,0)),0%,VLOOKUP(A137,'Données projet'!$A$113:$I$133,5,0)*VLOOKUP('Données projet'!$B$12,Paramètres!$A$1:$I$89,7,0))</f>
        <v>0.30099999999999999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66.865291708912096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66.865291708912096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349.5718186624772</v>
      </c>
      <c r="CZ137" s="62">
        <f t="shared" si="150"/>
        <v>258.14152930815959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69.282177763674667</v>
      </c>
      <c r="DG137" s="23">
        <f>EXP(-LN(2)/25)*DG136+(1-EXP(-LN(2)/25))/(LN(2)/25)*Calculateur!DB137*Calculateur!DD137*VLOOKUP('Données projet'!$B$13,Paramètres!$A$1:$I$89,3,0)*0.475*44/12</f>
        <v>7.0599938321807532</v>
      </c>
      <c r="DH137" s="23">
        <f>EXP(-LN(2)/2)*DH136+(1-EXP(-LN(2)/2))/(LN(2)/2)*DB137*DE137*VLOOKUP('Données projet'!$B$13,Paramètres!$A$1:$I$89,3,0)*0.475*44/12</f>
        <v>2.3708288263304619E-7</v>
      </c>
      <c r="DI137" s="24">
        <f t="shared" si="123"/>
        <v>76.342171832938305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8.5265128291212022E-14</v>
      </c>
      <c r="DP137" s="18">
        <f>DO137*VLOOKUP('Données projet'!$B$14,Paramètres!$A$1:$I$89,3,0)*VLOOKUP('Données projet'!$B$14,Paramètres!$A$1:$I$89,5,0)</f>
        <v>7.4487616075202836E-14</v>
      </c>
      <c r="DQ137" s="14">
        <f t="shared" si="151"/>
        <v>1.1580453144473142E-12</v>
      </c>
      <c r="DR137" s="22">
        <f t="shared" si="124"/>
        <v>2.1466615206600508E-12</v>
      </c>
      <c r="DS137" s="62">
        <f t="shared" si="125"/>
        <v>293.33333333333547</v>
      </c>
      <c r="DT137" s="62">
        <f ca="1">AVERAGE(OFFSET($DS$3,0,0,'Données projet'!$E$14+1,1))-AVERAGE(OFFSET($H$3,0,0,'Données projet'!$E$14+1,1))</f>
        <v>300.63505444445104</v>
      </c>
      <c r="DU137" s="62">
        <f t="shared" si="152"/>
        <v>266.32508105927997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48.928850620378036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48.928850620378036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353.37024194969638</v>
      </c>
      <c r="EP137" s="62">
        <f t="shared" si="154"/>
        <v>345.4750813433123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53.28775948815715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53.28775948815715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8.5265128291212022E-14</v>
      </c>
      <c r="FF137" s="18">
        <f>FE137*VLOOKUP('Données projet'!$B$16,Paramètres!$A$1:$I$89,3,0)*VLOOKUP('Données projet'!$B$16,Paramètres!$A$1:$I$89,5,0)</f>
        <v>5.5865712056402117E-14</v>
      </c>
      <c r="FG137" s="14">
        <f t="shared" si="155"/>
        <v>8.9811031843713517E-13</v>
      </c>
      <c r="FH137" s="22">
        <f t="shared" si="130"/>
        <v>1.6615082531095774E-12</v>
      </c>
      <c r="FI137" s="62">
        <f t="shared" si="131"/>
        <v>293.33333333333496</v>
      </c>
      <c r="FJ137" s="62">
        <f ca="1">AVERAGE(OFFSET($FI$3,0,0,'Données projet'!$E$16+1,1))-AVERAGE(OFFSET($H$3,0,0,'Données projet'!$E$16+1,1))</f>
        <v>263.30962868541337</v>
      </c>
      <c r="FK137" s="62">
        <f t="shared" si="156"/>
        <v>269.61868559913404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34.459149771185395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34.459149771185395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262.06511368698341</v>
      </c>
      <c r="T138" s="62">
        <f t="shared" si="142"/>
        <v>217.15709240080542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74.336499274852784</v>
      </c>
      <c r="AA138" s="23">
        <f>EXP(-LN(2)/25)*AA137+(1-EXP(-LN(2)/25))/(LN(2)/25)*Calculateur!V138*Calculateur!X138*VLOOKUP('Données projet'!$B$9,Paramètres!$A$1:$I$89,3,0)*0.475*44/12</f>
        <v>9.1780600468797964</v>
      </c>
      <c r="AB138" s="23">
        <f>EXP(-LN(2)/2)*AB137+(1-EXP(-LN(2)/2))/(LN(2)/2)*V138*Y138*VLOOKUP('Données projet'!$B$9,Paramètres!$A$1:$I$89,3,0)*0.475*44/12</f>
        <v>2.5987548033320467E-3</v>
      </c>
      <c r="AC138" s="24">
        <f t="shared" si="111"/>
        <v>83.517158076535907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287.83167869616227</v>
      </c>
      <c r="AO138" s="62">
        <f t="shared" si="144"/>
        <v>233.84231920589906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80.402789751799489</v>
      </c>
      <c r="AV138" s="23">
        <f>EXP(-LN(2)/25)*AV137+(1-EXP(-LN(2)/25))/(LN(2)/25)*Calculateur!AQ138*Calculateur!AS138*VLOOKUP('Données projet'!$B$10,Paramètres!$A$1:$I$89,3,0)*0.475*44/12</f>
        <v>11.372656635731138</v>
      </c>
      <c r="AW138" s="23">
        <f>EXP(-LN(2)/2)*AW137+(1-EXP(-LN(2)/2))/(LN(2)/2)*AQ138*AT138*VLOOKUP('Données projet'!$B$10,Paramètres!$A$1:$I$89,3,0)*0.475*44/12</f>
        <v>8.0471892783289648E-5</v>
      </c>
      <c r="AX138" s="23">
        <f t="shared" si="114"/>
        <v>91.775526859423408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-1.064108801074326E-13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262.36903350767881</v>
      </c>
      <c r="BJ138" s="62">
        <f t="shared" si="146"/>
        <v>331.21009482262417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38.910473882323998</v>
      </c>
      <c r="BQ138" s="23">
        <f>EXP(-LN(2)/25)*BQ137+(1-EXP(-LN(2)/25))/(LN(2)/25)*Calculateur!BL138*Calculateur!BN138*VLOOKUP('Données projet'!$B$11,Paramètres!$A$1:$I$89,3,0)*0.475*44/12</f>
        <v>5.0326542757528552</v>
      </c>
      <c r="BR138" s="23">
        <f>EXP(-LN(2)/2)*BR137+(1-EXP(-LN(2)/2))/(LN(2)/2)*BL138*BO138*VLOOKUP('Données projet'!$B$11,Paramètres!$A$1:$I$89,3,0)*0.475*44/12</f>
        <v>1.0248711356242796E-10</v>
      </c>
      <c r="BS138" s="24">
        <f t="shared" si="117"/>
        <v>43.943128158179341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8.1590000000000025</v>
      </c>
      <c r="BY138" s="13">
        <f>IF('Données projet'!$A$114&gt;35,BY137+BX138-CG137,IF(A138&lt;'Données projet'!$A$114,$BV$205^A138,IF(A138='Données projet'!$A$114,'Données projet'!$B$114,BY137+BX138-CG137)))</f>
        <v>389.79900000000066</v>
      </c>
      <c r="BZ138" s="14">
        <f>BY138*VLOOKUP('Données projet'!$B$12,Paramètres!$A$1:$I$89,3,0)*VLOOKUP('Données projet'!$B$12,Paramètres!$A$1:$I$89,5,0)</f>
        <v>377.01359280000065</v>
      </c>
      <c r="CA138" s="14">
        <f t="shared" si="147"/>
        <v>87.100594158738531</v>
      </c>
      <c r="CB138" s="22">
        <f t="shared" si="118"/>
        <v>808.33220895313741</v>
      </c>
      <c r="CC138" s="62">
        <f t="shared" si="119"/>
        <v>1101.6655422864708</v>
      </c>
      <c r="CD138" s="62">
        <f ca="1">AVERAGE(OFFSET($CC$3,0,0,'Données projet'!$E$12+1,1))-AVERAGE(OFFSET($H$3,0,0,'Données projet'!$E$12+1,1))</f>
        <v>618.83149423524605</v>
      </c>
      <c r="CE138" s="62">
        <f t="shared" si="148"/>
        <v>285.33582535802435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65.554104122301212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65.554104122301212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349.5718186624772</v>
      </c>
      <c r="CZ138" s="62">
        <f t="shared" si="150"/>
        <v>258.14152930815959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67.923596515684821</v>
      </c>
      <c r="DG138" s="23">
        <f>EXP(-LN(2)/25)*DG137+(1-EXP(-LN(2)/25))/(LN(2)/25)*Calculateur!DB138*Calculateur!DD138*VLOOKUP('Données projet'!$B$13,Paramètres!$A$1:$I$89,3,0)*0.475*44/12</f>
        <v>6.866937929570831</v>
      </c>
      <c r="DH138" s="23">
        <f>EXP(-LN(2)/2)*DH137+(1-EXP(-LN(2)/2))/(LN(2)/2)*DB138*DE138*VLOOKUP('Données projet'!$B$13,Paramètres!$A$1:$I$89,3,0)*0.475*44/12</f>
        <v>1.6764291401308133E-7</v>
      </c>
      <c r="DI138" s="24">
        <f t="shared" si="123"/>
        <v>74.790534612898554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8.5265128291212022E-14</v>
      </c>
      <c r="DP138" s="18">
        <f>DO138*VLOOKUP('Données projet'!$B$14,Paramètres!$A$1:$I$89,3,0)*VLOOKUP('Données projet'!$B$14,Paramètres!$A$1:$I$89,5,0)</f>
        <v>7.4487616075202836E-14</v>
      </c>
      <c r="DQ138" s="14">
        <f t="shared" si="151"/>
        <v>1.1580453144473142E-12</v>
      </c>
      <c r="DR138" s="22">
        <f t="shared" si="124"/>
        <v>2.1466615206600508E-12</v>
      </c>
      <c r="DS138" s="62">
        <f t="shared" si="125"/>
        <v>293.33333333333547</v>
      </c>
      <c r="DT138" s="62">
        <f ca="1">AVERAGE(OFFSET($DS$3,0,0,'Données projet'!$E$14+1,1))-AVERAGE(OFFSET($H$3,0,0,'Données projet'!$E$14+1,1))</f>
        <v>300.63505444445104</v>
      </c>
      <c r="DU138" s="62">
        <f t="shared" si="152"/>
        <v>266.32508105927997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47.969385703364487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47.969385703364487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353.37024194969638</v>
      </c>
      <c r="EP138" s="62">
        <f t="shared" si="154"/>
        <v>345.4750813433123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52.24281902691834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52.24281902691834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8.5265128291212022E-14</v>
      </c>
      <c r="FF138" s="18">
        <f>FE138*VLOOKUP('Données projet'!$B$16,Paramètres!$A$1:$I$89,3,0)*VLOOKUP('Données projet'!$B$16,Paramètres!$A$1:$I$89,5,0)</f>
        <v>5.5865712056402117E-14</v>
      </c>
      <c r="FG138" s="14">
        <f t="shared" si="155"/>
        <v>8.9811031843713517E-13</v>
      </c>
      <c r="FH138" s="22">
        <f t="shared" si="130"/>
        <v>1.6615082531095774E-12</v>
      </c>
      <c r="FI138" s="62">
        <f t="shared" si="131"/>
        <v>293.33333333333496</v>
      </c>
      <c r="FJ138" s="62">
        <f ca="1">AVERAGE(OFFSET($FI$3,0,0,'Données projet'!$E$16+1,1))-AVERAGE(OFFSET($H$3,0,0,'Données projet'!$E$16+1,1))</f>
        <v>263.30962868541337</v>
      </c>
      <c r="FK138" s="62">
        <f t="shared" si="156"/>
        <v>269.61868559913404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33.783426862178452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33.783426862178452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262.06511368698341</v>
      </c>
      <c r="T139" s="62">
        <f t="shared" si="142"/>
        <v>217.15709240080542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72.878805864860453</v>
      </c>
      <c r="AA139" s="23">
        <f>EXP(-LN(2)/25)*AA138+(1-EXP(-LN(2)/25))/(LN(2)/25)*Calculateur!V139*Calculateur!X139*VLOOKUP('Données projet'!$B$9,Paramètres!$A$1:$I$89,3,0)*0.475*44/12</f>
        <v>8.927085512244668</v>
      </c>
      <c r="AB139" s="23">
        <f>EXP(-LN(2)/2)*AB138+(1-EXP(-LN(2)/2))/(LN(2)/2)*V139*Y139*VLOOKUP('Données projet'!$B$9,Paramètres!$A$1:$I$89,3,0)*0.475*44/12</f>
        <v>1.8375971440772029E-3</v>
      </c>
      <c r="AC139" s="24">
        <f t="shared" si="111"/>
        <v>81.807728974249201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287.83167869616227</v>
      </c>
      <c r="AO139" s="62">
        <f t="shared" si="144"/>
        <v>233.84231920589906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78.826140085626065</v>
      </c>
      <c r="AV139" s="23">
        <f>EXP(-LN(2)/25)*AV138+(1-EXP(-LN(2)/25))/(LN(2)/25)*Calculateur!AQ139*Calculateur!AS139*VLOOKUP('Données projet'!$B$10,Paramètres!$A$1:$I$89,3,0)*0.475*44/12</f>
        <v>11.061670741965051</v>
      </c>
      <c r="AW139" s="23">
        <f>EXP(-LN(2)/2)*AW138+(1-EXP(-LN(2)/2))/(LN(2)/2)*AQ139*AT139*VLOOKUP('Données projet'!$B$10,Paramètres!$A$1:$I$89,3,0)*0.475*44/12</f>
        <v>5.6902221081980907E-5</v>
      </c>
      <c r="AX139" s="23">
        <f t="shared" si="114"/>
        <v>89.887867729812186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-1.064108801074326E-13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262.36903350767881</v>
      </c>
      <c r="BJ139" s="62">
        <f t="shared" si="146"/>
        <v>331.21009482262417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38.147463222537247</v>
      </c>
      <c r="BQ139" s="23">
        <f>EXP(-LN(2)/25)*BQ138+(1-EXP(-LN(2)/25))/(LN(2)/25)*Calculateur!BL139*Calculateur!BN139*VLOOKUP('Données projet'!$B$11,Paramètres!$A$1:$I$89,3,0)*0.475*44/12</f>
        <v>4.8950360799266077</v>
      </c>
      <c r="BR139" s="23">
        <f>EXP(-LN(2)/2)*BR138+(1-EXP(-LN(2)/2))/(LN(2)/2)*BL139*BO139*VLOOKUP('Données projet'!$B$11,Paramètres!$A$1:$I$89,3,0)*0.475*44/12</f>
        <v>7.2469332984228592E-11</v>
      </c>
      <c r="BS139" s="24">
        <f t="shared" si="117"/>
        <v>43.042499302536321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8.1590000000000025</v>
      </c>
      <c r="BY139" s="13">
        <f>IF('Données projet'!$A$114&gt;35,BY138+BX139-CG138,IF(A139&lt;'Données projet'!$A$114,$BV$205^A139,IF(A139='Données projet'!$A$114,'Données projet'!$B$114,BY138+BX139-CG138)))</f>
        <v>397.95800000000065</v>
      </c>
      <c r="BZ139" s="14">
        <f>BY139*VLOOKUP('Données projet'!$B$12,Paramètres!$A$1:$I$89,3,0)*VLOOKUP('Données projet'!$B$12,Paramètres!$A$1:$I$89,5,0)</f>
        <v>384.90497760000062</v>
      </c>
      <c r="CA139" s="14">
        <f t="shared" si="147"/>
        <v>88.709563383658136</v>
      </c>
      <c r="CB139" s="22">
        <f t="shared" si="118"/>
        <v>824.87865887987221</v>
      </c>
      <c r="CC139" s="62">
        <f t="shared" si="119"/>
        <v>1118.2119922132056</v>
      </c>
      <c r="CD139" s="62">
        <f ca="1">AVERAGE(OFFSET($CC$3,0,0,'Données projet'!$E$12+1,1))-AVERAGE(OFFSET($H$3,0,0,'Données projet'!$E$12+1,1))</f>
        <v>618.83149423524605</v>
      </c>
      <c r="CE139" s="62">
        <f t="shared" si="148"/>
        <v>285.33582535802435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64.268628124518301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64.268628124518301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349.5718186624772</v>
      </c>
      <c r="CZ139" s="62">
        <f t="shared" si="150"/>
        <v>258.14152930815959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66.591656217315318</v>
      </c>
      <c r="DG139" s="23">
        <f>EXP(-LN(2)/25)*DG138+(1-EXP(-LN(2)/25))/(LN(2)/25)*Calculateur!DB139*Calculateur!DD139*VLOOKUP('Données projet'!$B$13,Paramètres!$A$1:$I$89,3,0)*0.475*44/12</f>
        <v>6.6791611507701454</v>
      </c>
      <c r="DH139" s="23">
        <f>EXP(-LN(2)/2)*DH138+(1-EXP(-LN(2)/2))/(LN(2)/2)*DB139*DE139*VLOOKUP('Données projet'!$B$13,Paramètres!$A$1:$I$89,3,0)*0.475*44/12</f>
        <v>1.1854144131652311E-7</v>
      </c>
      <c r="DI139" s="24">
        <f t="shared" si="123"/>
        <v>73.270817486626896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8.5265128291212022E-14</v>
      </c>
      <c r="DP139" s="18">
        <f>DO139*VLOOKUP('Données projet'!$B$14,Paramètres!$A$1:$I$89,3,0)*VLOOKUP('Données projet'!$B$14,Paramètres!$A$1:$I$89,5,0)</f>
        <v>7.4487616075202836E-14</v>
      </c>
      <c r="DQ139" s="14">
        <f t="shared" si="151"/>
        <v>1.1580453144473142E-12</v>
      </c>
      <c r="DR139" s="22">
        <f t="shared" si="124"/>
        <v>2.1466615206600508E-12</v>
      </c>
      <c r="DS139" s="62">
        <f t="shared" si="125"/>
        <v>293.33333333333547</v>
      </c>
      <c r="DT139" s="62">
        <f ca="1">AVERAGE(OFFSET($DS$3,0,0,'Données projet'!$E$14+1,1))-AVERAGE(OFFSET($H$3,0,0,'Données projet'!$E$14+1,1))</f>
        <v>300.63505444445104</v>
      </c>
      <c r="DU139" s="62">
        <f t="shared" si="152"/>
        <v>266.32508105927997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47.028735308157756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47.028735308157756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353.37024194969638</v>
      </c>
      <c r="EP139" s="62">
        <f t="shared" si="154"/>
        <v>345.4750813433123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51.218369210773673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51.218369210773673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8.5265128291212022E-14</v>
      </c>
      <c r="FF139" s="18">
        <f>FE139*VLOOKUP('Données projet'!$B$16,Paramètres!$A$1:$I$89,3,0)*VLOOKUP('Données projet'!$B$16,Paramètres!$A$1:$I$89,5,0)</f>
        <v>5.5865712056402117E-14</v>
      </c>
      <c r="FG139" s="14">
        <f t="shared" si="155"/>
        <v>8.9811031843713517E-13</v>
      </c>
      <c r="FH139" s="22">
        <f t="shared" si="130"/>
        <v>1.6615082531095774E-12</v>
      </c>
      <c r="FI139" s="62">
        <f t="shared" si="131"/>
        <v>293.33333333333496</v>
      </c>
      <c r="FJ139" s="62">
        <f ca="1">AVERAGE(OFFSET($FI$3,0,0,'Données projet'!$E$16+1,1))-AVERAGE(OFFSET($H$3,0,0,'Données projet'!$E$16+1,1))</f>
        <v>263.30962868541337</v>
      </c>
      <c r="FK139" s="62">
        <f t="shared" si="156"/>
        <v>269.61868559913404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33.120954467266856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33.120954467266856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262.06511368698341</v>
      </c>
      <c r="T140" s="62">
        <f t="shared" si="142"/>
        <v>217.15709240080542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71.449696933532877</v>
      </c>
      <c r="AA140" s="23">
        <f>EXP(-LN(2)/25)*AA139+(1-EXP(-LN(2)/25))/(LN(2)/25)*Calculateur!V140*Calculateur!X140*VLOOKUP('Données projet'!$B$9,Paramètres!$A$1:$I$89,3,0)*0.475*44/12</f>
        <v>8.6829738894573136</v>
      </c>
      <c r="AB140" s="23">
        <f>EXP(-LN(2)/2)*AB139+(1-EXP(-LN(2)/2))/(LN(2)/2)*V140*Y140*VLOOKUP('Données projet'!$B$9,Paramètres!$A$1:$I$89,3,0)*0.475*44/12</f>
        <v>1.2993774016660234E-3</v>
      </c>
      <c r="AC140" s="24">
        <f t="shared" si="111"/>
        <v>80.133970200391857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287.83167869616227</v>
      </c>
      <c r="AO140" s="62">
        <f t="shared" si="144"/>
        <v>233.84231920589906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77.280407557744965</v>
      </c>
      <c r="AV140" s="23">
        <f>EXP(-LN(2)/25)*AV139+(1-EXP(-LN(2)/25))/(LN(2)/25)*Calculateur!AQ140*Calculateur!AS140*VLOOKUP('Données projet'!$B$10,Paramètres!$A$1:$I$89,3,0)*0.475*44/12</f>
        <v>10.759188773818034</v>
      </c>
      <c r="AW140" s="23">
        <f>EXP(-LN(2)/2)*AW139+(1-EXP(-LN(2)/2))/(LN(2)/2)*AQ140*AT140*VLOOKUP('Données projet'!$B$10,Paramètres!$A$1:$I$89,3,0)*0.475*44/12</f>
        <v>4.0235946391644824E-5</v>
      </c>
      <c r="AX140" s="23">
        <f t="shared" si="114"/>
        <v>88.03963656750939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-1.064108801074326E-13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262.36903350767881</v>
      </c>
      <c r="BJ140" s="62">
        <f t="shared" si="146"/>
        <v>331.21009482262417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37.39941473639837</v>
      </c>
      <c r="BQ140" s="23">
        <f>EXP(-LN(2)/25)*BQ139+(1-EXP(-LN(2)/25))/(LN(2)/25)*Calculateur!BL140*Calculateur!BN140*VLOOKUP('Données projet'!$B$11,Paramètres!$A$1:$I$89,3,0)*0.475*44/12</f>
        <v>4.7611810609022553</v>
      </c>
      <c r="BR140" s="23">
        <f>EXP(-LN(2)/2)*BR139+(1-EXP(-LN(2)/2))/(LN(2)/2)*BL140*BO140*VLOOKUP('Données projet'!$B$11,Paramètres!$A$1:$I$89,3,0)*0.475*44/12</f>
        <v>5.1243556781213979E-11</v>
      </c>
      <c r="BS140" s="24">
        <f t="shared" si="117"/>
        <v>42.160595797351867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8.1590000000000025</v>
      </c>
      <c r="BY140" s="13">
        <f>IF('Données projet'!$A$114&gt;35,BY139+BX140-CG139,IF(A140&lt;'Données projet'!$A$114,$BV$205^A140,IF(A140='Données projet'!$A$114,'Données projet'!$B$114,BY139+BX140-CG139)))</f>
        <v>406.11700000000064</v>
      </c>
      <c r="BZ140" s="14">
        <f>BY140*VLOOKUP('Données projet'!$B$12,Paramètres!$A$1:$I$89,3,0)*VLOOKUP('Données projet'!$B$12,Paramètres!$A$1:$I$89,5,0)</f>
        <v>392.79636240000065</v>
      </c>
      <c r="CA140" s="14">
        <f t="shared" si="147"/>
        <v>90.314697175011091</v>
      </c>
      <c r="CB140" s="22">
        <f t="shared" si="118"/>
        <v>841.41842875981195</v>
      </c>
      <c r="CC140" s="62">
        <f t="shared" si="119"/>
        <v>1134.7517620931453</v>
      </c>
      <c r="CD140" s="62">
        <f ca="1">AVERAGE(OFFSET($CC$3,0,0,'Données projet'!$E$12+1,1))-AVERAGE(OFFSET($H$3,0,0,'Données projet'!$E$12+1,1))</f>
        <v>618.83149423524605</v>
      </c>
      <c r="CE140" s="62">
        <f t="shared" si="148"/>
        <v>285.33582535802435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63.008359526988976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63.008359526988976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349.5718186624772</v>
      </c>
      <c r="CZ140" s="62">
        <f t="shared" si="150"/>
        <v>258.14152930815959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65.285834455793477</v>
      </c>
      <c r="DG140" s="23">
        <f>EXP(-LN(2)/25)*DG139+(1-EXP(-LN(2)/25))/(LN(2)/25)*Calculateur!DB140*Calculateur!DD140*VLOOKUP('Données projet'!$B$13,Paramètres!$A$1:$I$89,3,0)*0.475*44/12</f>
        <v>6.496519137860516</v>
      </c>
      <c r="DH140" s="23">
        <f>EXP(-LN(2)/2)*DH139+(1-EXP(-LN(2)/2))/(LN(2)/2)*DB140*DE140*VLOOKUP('Données projet'!$B$13,Paramètres!$A$1:$I$89,3,0)*0.475*44/12</f>
        <v>8.3821457006540679E-8</v>
      </c>
      <c r="DI140" s="24">
        <f t="shared" si="123"/>
        <v>71.782353677475456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8.5265128291212022E-14</v>
      </c>
      <c r="DP140" s="18">
        <f>DO140*VLOOKUP('Données projet'!$B$14,Paramètres!$A$1:$I$89,3,0)*VLOOKUP('Données projet'!$B$14,Paramètres!$A$1:$I$89,5,0)</f>
        <v>7.4487616075202836E-14</v>
      </c>
      <c r="DQ140" s="14">
        <f t="shared" si="151"/>
        <v>1.1580453144473142E-12</v>
      </c>
      <c r="DR140" s="22">
        <f t="shared" si="124"/>
        <v>2.1466615206600508E-12</v>
      </c>
      <c r="DS140" s="62">
        <f t="shared" si="125"/>
        <v>293.33333333333547</v>
      </c>
      <c r="DT140" s="62">
        <f ca="1">AVERAGE(OFFSET($DS$3,0,0,'Données projet'!$E$14+1,1))-AVERAGE(OFFSET($H$3,0,0,'Données projet'!$E$14+1,1))</f>
        <v>300.63505444445104</v>
      </c>
      <c r="DU140" s="62">
        <f t="shared" si="152"/>
        <v>266.32508105927997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46.106530493460944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46.106530493460944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353.37024194969638</v>
      </c>
      <c r="EP140" s="62">
        <f t="shared" si="154"/>
        <v>345.4750813433123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50.214008230670913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50.214008230670913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8.5265128291212022E-14</v>
      </c>
      <c r="FF140" s="18">
        <f>FE140*VLOOKUP('Données projet'!$B$16,Paramètres!$A$1:$I$89,3,0)*VLOOKUP('Données projet'!$B$16,Paramètres!$A$1:$I$89,5,0)</f>
        <v>5.5865712056402117E-14</v>
      </c>
      <c r="FG140" s="14">
        <f t="shared" si="155"/>
        <v>8.9811031843713517E-13</v>
      </c>
      <c r="FH140" s="22">
        <f t="shared" si="130"/>
        <v>1.6615082531095774E-12</v>
      </c>
      <c r="FI140" s="62">
        <f t="shared" si="131"/>
        <v>293.33333333333496</v>
      </c>
      <c r="FJ140" s="62">
        <f ca="1">AVERAGE(OFFSET($FI$3,0,0,'Données projet'!$E$16+1,1))-AVERAGE(OFFSET($H$3,0,0,'Données projet'!$E$16+1,1))</f>
        <v>263.30962868541337</v>
      </c>
      <c r="FK140" s="62">
        <f t="shared" si="156"/>
        <v>269.61868559913404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32.471472751951218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32.471472751951218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262.06511368698341</v>
      </c>
      <c r="T141" s="62">
        <f t="shared" si="142"/>
        <v>217.15709240080542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70.048611956678258</v>
      </c>
      <c r="AA141" s="23">
        <f>EXP(-LN(2)/25)*AA140+(1-EXP(-LN(2)/25))/(LN(2)/25)*Calculateur!V141*Calculateur!X141*VLOOKUP('Données projet'!$B$9,Paramètres!$A$1:$I$89,3,0)*0.475*44/12</f>
        <v>8.4455375118323524</v>
      </c>
      <c r="AB141" s="23">
        <f>EXP(-LN(2)/2)*AB140+(1-EXP(-LN(2)/2))/(LN(2)/2)*V141*Y141*VLOOKUP('Données projet'!$B$9,Paramètres!$A$1:$I$89,3,0)*0.475*44/12</f>
        <v>9.1879857203860146E-4</v>
      </c>
      <c r="AC141" s="24">
        <f t="shared" si="111"/>
        <v>78.495068267082658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287.83167869616227</v>
      </c>
      <c r="AO141" s="62">
        <f t="shared" si="144"/>
        <v>233.84231920589906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75.764985901931865</v>
      </c>
      <c r="AV141" s="23">
        <f>EXP(-LN(2)/25)*AV140+(1-EXP(-LN(2)/25))/(LN(2)/25)*Calculateur!AQ141*Calculateur!AS141*VLOOKUP('Données projet'!$B$10,Paramètres!$A$1:$I$89,3,0)*0.475*44/12</f>
        <v>10.464978190996833</v>
      </c>
      <c r="AW141" s="23">
        <f>EXP(-LN(2)/2)*AW140+(1-EXP(-LN(2)/2))/(LN(2)/2)*AQ141*AT141*VLOOKUP('Données projet'!$B$10,Paramètres!$A$1:$I$89,3,0)*0.475*44/12</f>
        <v>2.8451110540990453E-5</v>
      </c>
      <c r="AX141" s="23">
        <f t="shared" si="114"/>
        <v>86.229992544039234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-1.064108801074326E-13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262.36903350767881</v>
      </c>
      <c r="BJ141" s="62">
        <f t="shared" si="146"/>
        <v>331.21009482262417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36.666035024808153</v>
      </c>
      <c r="BQ141" s="23">
        <f>EXP(-LN(2)/25)*BQ140+(1-EXP(-LN(2)/25))/(LN(2)/25)*Calculateur!BL141*Calculateur!BN141*VLOOKUP('Données projet'!$B$11,Paramètres!$A$1:$I$89,3,0)*0.475*44/12</f>
        <v>4.6309863144122527</v>
      </c>
      <c r="BR141" s="23">
        <f>EXP(-LN(2)/2)*BR140+(1-EXP(-LN(2)/2))/(LN(2)/2)*BL141*BO141*VLOOKUP('Données projet'!$B$11,Paramètres!$A$1:$I$89,3,0)*0.475*44/12</f>
        <v>3.6234666492114296E-11</v>
      </c>
      <c r="BS141" s="24">
        <f t="shared" si="117"/>
        <v>41.297021339256645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8.1590000000000025</v>
      </c>
      <c r="BY141" s="13">
        <f>IF('Données projet'!$A$114&gt;35,BY140+BX141-CG140,IF(A141&lt;'Données projet'!$A$114,$BV$205^A141,IF(A141='Données projet'!$A$114,'Données projet'!$B$114,BY140+BX141-CG140)))</f>
        <v>414.27600000000064</v>
      </c>
      <c r="BZ141" s="14">
        <f>BY141*VLOOKUP('Données projet'!$B$12,Paramètres!$A$1:$I$89,3,0)*VLOOKUP('Données projet'!$B$12,Paramètres!$A$1:$I$89,5,0)</f>
        <v>400.68774720000062</v>
      </c>
      <c r="CA141" s="14">
        <f t="shared" si="147"/>
        <v>91.916081468043174</v>
      </c>
      <c r="CB141" s="22">
        <f t="shared" si="118"/>
        <v>857.95166826350953</v>
      </c>
      <c r="CC141" s="62">
        <f t="shared" si="119"/>
        <v>1151.2850015968429</v>
      </c>
      <c r="CD141" s="62">
        <f ca="1">AVERAGE(OFFSET($CC$3,0,0,'Données projet'!$E$12+1,1))-AVERAGE(OFFSET($H$3,0,0,'Données projet'!$E$12+1,1))</f>
        <v>618.83149423524605</v>
      </c>
      <c r="CE141" s="62">
        <f t="shared" si="148"/>
        <v>285.33582535802435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61.772804027969258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61.772804027969258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349.5718186624772</v>
      </c>
      <c r="CZ141" s="62">
        <f t="shared" si="150"/>
        <v>258.14152930815959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64.005619062542451</v>
      </c>
      <c r="DG141" s="23">
        <f>EXP(-LN(2)/25)*DG140+(1-EXP(-LN(2)/25))/(LN(2)/25)*Calculateur!DB141*Calculateur!DD141*VLOOKUP('Données projet'!$B$13,Paramètres!$A$1:$I$89,3,0)*0.475*44/12</f>
        <v>6.3188714803986263</v>
      </c>
      <c r="DH141" s="23">
        <f>EXP(-LN(2)/2)*DH140+(1-EXP(-LN(2)/2))/(LN(2)/2)*DB141*DE141*VLOOKUP('Données projet'!$B$13,Paramètres!$A$1:$I$89,3,0)*0.475*44/12</f>
        <v>5.9270720658261562E-8</v>
      </c>
      <c r="DI141" s="24">
        <f t="shared" si="123"/>
        <v>70.324490602211796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8.5265128291212022E-14</v>
      </c>
      <c r="DP141" s="18">
        <f>DO141*VLOOKUP('Données projet'!$B$14,Paramètres!$A$1:$I$89,3,0)*VLOOKUP('Données projet'!$B$14,Paramètres!$A$1:$I$89,5,0)</f>
        <v>7.4487616075202836E-14</v>
      </c>
      <c r="DQ141" s="14">
        <f t="shared" si="151"/>
        <v>1.1580453144473142E-12</v>
      </c>
      <c r="DR141" s="22">
        <f t="shared" si="124"/>
        <v>2.1466615206600508E-12</v>
      </c>
      <c r="DS141" s="62">
        <f t="shared" si="125"/>
        <v>293.33333333333547</v>
      </c>
      <c r="DT141" s="62">
        <f ca="1">AVERAGE(OFFSET($DS$3,0,0,'Données projet'!$E$14+1,1))-AVERAGE(OFFSET($H$3,0,0,'Données projet'!$E$14+1,1))</f>
        <v>300.63505444445104</v>
      </c>
      <c r="DU141" s="62">
        <f t="shared" si="152"/>
        <v>266.32508105927997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45.202409552690938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45.202409552690938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353.37024194969638</v>
      </c>
      <c r="EP141" s="62">
        <f t="shared" si="154"/>
        <v>345.4750813433123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49.229342156788263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49.229342156788263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8.5265128291212022E-14</v>
      </c>
      <c r="FF141" s="18">
        <f>FE141*VLOOKUP('Données projet'!$B$16,Paramètres!$A$1:$I$89,3,0)*VLOOKUP('Données projet'!$B$16,Paramètres!$A$1:$I$89,5,0)</f>
        <v>5.5865712056402117E-14</v>
      </c>
      <c r="FG141" s="14">
        <f t="shared" si="155"/>
        <v>8.9811031843713517E-13</v>
      </c>
      <c r="FH141" s="22">
        <f t="shared" si="130"/>
        <v>1.6615082531095774E-12</v>
      </c>
      <c r="FI141" s="62">
        <f t="shared" si="131"/>
        <v>293.33333333333496</v>
      </c>
      <c r="FJ141" s="62">
        <f ca="1">AVERAGE(OFFSET($FI$3,0,0,'Données projet'!$E$16+1,1))-AVERAGE(OFFSET($H$3,0,0,'Données projet'!$E$16+1,1))</f>
        <v>263.30962868541337</v>
      </c>
      <c r="FK141" s="62">
        <f t="shared" si="156"/>
        <v>269.61868559913404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31.834726976928188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31.834726976928188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262.06511368698341</v>
      </c>
      <c r="T142" s="62">
        <f t="shared" si="142"/>
        <v>217.15709240080542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68.675001401642305</v>
      </c>
      <c r="AA142" s="23">
        <f>EXP(-LN(2)/25)*AA141+(1-EXP(-LN(2)/25))/(LN(2)/25)*Calculateur!V142*Calculateur!X142*VLOOKUP('Données projet'!$B$9,Paramètres!$A$1:$I$89,3,0)*0.475*44/12</f>
        <v>8.214593844439781</v>
      </c>
      <c r="AB142" s="23">
        <f>EXP(-LN(2)/2)*AB141+(1-EXP(-LN(2)/2))/(LN(2)/2)*V142*Y142*VLOOKUP('Données projet'!$B$9,Paramètres!$A$1:$I$89,3,0)*0.475*44/12</f>
        <v>6.4968870083301168E-4</v>
      </c>
      <c r="AC142" s="24">
        <f t="shared" si="111"/>
        <v>76.890244934782913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287.83167869616227</v>
      </c>
      <c r="AO142" s="62">
        <f t="shared" si="144"/>
        <v>233.84231920589906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74.279280740473311</v>
      </c>
      <c r="AV142" s="23">
        <f>EXP(-LN(2)/25)*AV141+(1-EXP(-LN(2)/25))/(LN(2)/25)*Calculateur!AQ142*Calculateur!AS142*VLOOKUP('Données projet'!$B$10,Paramètres!$A$1:$I$89,3,0)*0.475*44/12</f>
        <v>10.178812812034739</v>
      </c>
      <c r="AW142" s="23">
        <f>EXP(-LN(2)/2)*AW141+(1-EXP(-LN(2)/2))/(LN(2)/2)*AQ142*AT142*VLOOKUP('Données projet'!$B$10,Paramètres!$A$1:$I$89,3,0)*0.475*44/12</f>
        <v>2.0117973195822412E-5</v>
      </c>
      <c r="AX142" s="23">
        <f t="shared" si="114"/>
        <v>84.458113670481239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-1.064108801074326E-13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262.36903350767881</v>
      </c>
      <c r="BJ142" s="62">
        <f t="shared" si="146"/>
        <v>331.21009482262417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35.947036442044762</v>
      </c>
      <c r="BQ142" s="23">
        <f>EXP(-LN(2)/25)*BQ141+(1-EXP(-LN(2)/25))/(LN(2)/25)*Calculateur!BL142*Calculateur!BN142*VLOOKUP('Données projet'!$B$11,Paramètres!$A$1:$I$89,3,0)*0.475*44/12</f>
        <v>4.5043517501116632</v>
      </c>
      <c r="BR142" s="23">
        <f>EXP(-LN(2)/2)*BR141+(1-EXP(-LN(2)/2))/(LN(2)/2)*BL142*BO142*VLOOKUP('Données projet'!$B$11,Paramètres!$A$1:$I$89,3,0)*0.475*44/12</f>
        <v>2.562177839060699E-11</v>
      </c>
      <c r="BS142" s="24">
        <f t="shared" si="117"/>
        <v>40.451388192182051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8.1590000000000025</v>
      </c>
      <c r="BY142" s="13">
        <f>IF('Données projet'!$A$114&gt;35,BY141+BX142-CG141,IF(A142&lt;'Données projet'!$A$114,$BV$205^A142,IF(A142='Données projet'!$A$114,'Données projet'!$B$114,BY141+BX142-CG141)))</f>
        <v>422.43500000000063</v>
      </c>
      <c r="BZ142" s="14">
        <f>BY142*VLOOKUP('Données projet'!$B$12,Paramètres!$A$1:$I$89,3,0)*VLOOKUP('Données projet'!$B$12,Paramètres!$A$1:$I$89,5,0)</f>
        <v>408.57913200000064</v>
      </c>
      <c r="CA142" s="14">
        <f t="shared" si="147"/>
        <v>93.513798619486451</v>
      </c>
      <c r="CB142" s="22">
        <f t="shared" si="118"/>
        <v>874.47852082893996</v>
      </c>
      <c r="CC142" s="62">
        <f t="shared" si="119"/>
        <v>1167.8118541622732</v>
      </c>
      <c r="CD142" s="62">
        <f ca="1">AVERAGE(OFFSET($CC$3,0,0,'Données projet'!$E$12+1,1))-AVERAGE(OFFSET($H$3,0,0,'Données projet'!$E$12+1,1))</f>
        <v>618.83149423524605</v>
      </c>
      <c r="CE142" s="62">
        <f t="shared" si="148"/>
        <v>285.33582535802435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60.561477018670878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60.561477018670878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349.5718186624772</v>
      </c>
      <c r="CZ142" s="62">
        <f t="shared" si="150"/>
        <v>258.14152930815959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62.750507912298787</v>
      </c>
      <c r="DG142" s="23">
        <f>EXP(-LN(2)/25)*DG141+(1-EXP(-LN(2)/25))/(LN(2)/25)*Calculateur!DB142*Calculateur!DD142*VLOOKUP('Données projet'!$B$13,Paramètres!$A$1:$I$89,3,0)*0.475*44/12</f>
        <v>6.1460816074721167</v>
      </c>
      <c r="DH142" s="23">
        <f>EXP(-LN(2)/2)*DH141+(1-EXP(-LN(2)/2))/(LN(2)/2)*DB142*DE142*VLOOKUP('Données projet'!$B$13,Paramètres!$A$1:$I$89,3,0)*0.475*44/12</f>
        <v>4.1910728503270346E-8</v>
      </c>
      <c r="DI142" s="24">
        <f t="shared" si="123"/>
        <v>68.896589561681623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8.5265128291212022E-14</v>
      </c>
      <c r="DP142" s="18">
        <f>DO142*VLOOKUP('Données projet'!$B$14,Paramètres!$A$1:$I$89,3,0)*VLOOKUP('Données projet'!$B$14,Paramètres!$A$1:$I$89,5,0)</f>
        <v>7.4487616075202836E-14</v>
      </c>
      <c r="DQ142" s="14">
        <f t="shared" si="151"/>
        <v>1.1580453144473142E-12</v>
      </c>
      <c r="DR142" s="22">
        <f t="shared" si="124"/>
        <v>2.1466615206600508E-12</v>
      </c>
      <c r="DS142" s="62">
        <f t="shared" si="125"/>
        <v>293.33333333333547</v>
      </c>
      <c r="DT142" s="62">
        <f ca="1">AVERAGE(OFFSET($DS$3,0,0,'Données projet'!$E$14+1,1))-AVERAGE(OFFSET($H$3,0,0,'Données projet'!$E$14+1,1))</f>
        <v>300.63505444445104</v>
      </c>
      <c r="DU142" s="62">
        <f t="shared" si="152"/>
        <v>266.32508105927997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44.316017872110109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44.316017872110109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353.37024194969638</v>
      </c>
      <c r="EP142" s="62">
        <f t="shared" si="154"/>
        <v>345.4750813433123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48.26398478402745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48.26398478402745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8.5265128291212022E-14</v>
      </c>
      <c r="FF142" s="18">
        <f>FE142*VLOOKUP('Données projet'!$B$16,Paramètres!$A$1:$I$89,3,0)*VLOOKUP('Données projet'!$B$16,Paramètres!$A$1:$I$89,5,0)</f>
        <v>5.5865712056402117E-14</v>
      </c>
      <c r="FG142" s="14">
        <f t="shared" si="155"/>
        <v>8.9811031843713517E-13</v>
      </c>
      <c r="FH142" s="22">
        <f t="shared" si="130"/>
        <v>1.6615082531095774E-12</v>
      </c>
      <c r="FI142" s="62">
        <f t="shared" si="131"/>
        <v>293.33333333333496</v>
      </c>
      <c r="FJ142" s="62">
        <f ca="1">AVERAGE(OFFSET($FI$3,0,0,'Données projet'!$E$16+1,1))-AVERAGE(OFFSET($H$3,0,0,'Données projet'!$E$16+1,1))</f>
        <v>263.30962868541337</v>
      </c>
      <c r="FK142" s="62">
        <f t="shared" si="156"/>
        <v>269.61868559913404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31.210467398176785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31.210467398176785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262.06511368698341</v>
      </c>
      <c r="T143" s="62">
        <f t="shared" si="142"/>
        <v>217.15709240080542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67.328326511770896</v>
      </c>
      <c r="AA143" s="23">
        <f>EXP(-LN(2)/25)*AA142+(1-EXP(-LN(2)/25))/(LN(2)/25)*Calculateur!V143*Calculateur!X143*VLOOKUP('Données projet'!$B$9,Paramètres!$A$1:$I$89,3,0)*0.475*44/12</f>
        <v>7.9899653437768601</v>
      </c>
      <c r="AB143" s="23">
        <f>EXP(-LN(2)/2)*AB142+(1-EXP(-LN(2)/2))/(LN(2)/2)*V143*Y143*VLOOKUP('Données projet'!$B$9,Paramètres!$A$1:$I$89,3,0)*0.475*44/12</f>
        <v>4.5939928601930073E-4</v>
      </c>
      <c r="AC143" s="24">
        <f t="shared" si="111"/>
        <v>75.318751254833771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287.83167869616227</v>
      </c>
      <c r="AO143" s="62">
        <f t="shared" si="144"/>
        <v>233.84231920589906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72.822709351040302</v>
      </c>
      <c r="AV143" s="23">
        <f>EXP(-LN(2)/25)*AV142+(1-EXP(-LN(2)/25))/(LN(2)/25)*Calculateur!AQ143*Calculateur!AS143*VLOOKUP('Données projet'!$B$10,Paramètres!$A$1:$I$89,3,0)*0.475*44/12</f>
        <v>9.9004726404091468</v>
      </c>
      <c r="AW143" s="23">
        <f>EXP(-LN(2)/2)*AW142+(1-EXP(-LN(2)/2))/(LN(2)/2)*AQ143*AT143*VLOOKUP('Données projet'!$B$10,Paramètres!$A$1:$I$89,3,0)*0.475*44/12</f>
        <v>1.4225555270495227E-5</v>
      </c>
      <c r="AX143" s="23">
        <f t="shared" si="114"/>
        <v>82.723196217004727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-1.064108801074326E-13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262.36903350767881</v>
      </c>
      <c r="BJ143" s="62">
        <f t="shared" si="146"/>
        <v>331.21009482262417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35.242136982943528</v>
      </c>
      <c r="BQ143" s="23">
        <f>EXP(-LN(2)/25)*BQ142+(1-EXP(-LN(2)/25))/(LN(2)/25)*Calculateur!BL143*Calculateur!BN143*VLOOKUP('Données projet'!$B$11,Paramètres!$A$1:$I$89,3,0)*0.475*44/12</f>
        <v>4.3811800146312958</v>
      </c>
      <c r="BR143" s="23">
        <f>EXP(-LN(2)/2)*BR142+(1-EXP(-LN(2)/2))/(LN(2)/2)*BL143*BO143*VLOOKUP('Données projet'!$B$11,Paramètres!$A$1:$I$89,3,0)*0.475*44/12</f>
        <v>1.8117333246057148E-11</v>
      </c>
      <c r="BS143" s="24">
        <f t="shared" si="117"/>
        <v>39.623316997592944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8.1590000000000025</v>
      </c>
      <c r="BY143" s="13">
        <f>IF('Données projet'!$A$114&gt;35,BY142+BX143-CG142,IF(A143&lt;'Données projet'!$A$114,$BV$205^A143,IF(A143='Données projet'!$A$114,'Données projet'!$B$114,BY142+BX143-CG142)))</f>
        <v>430.59400000000062</v>
      </c>
      <c r="BZ143" s="14">
        <f>BY143*VLOOKUP('Données projet'!$B$12,Paramètres!$A$1:$I$89,3,0)*VLOOKUP('Données projet'!$B$12,Paramètres!$A$1:$I$89,5,0)</f>
        <v>416.47051680000061</v>
      </c>
      <c r="CA143" s="14">
        <f t="shared" si="147"/>
        <v>95.107927622763967</v>
      </c>
      <c r="CB143" s="22">
        <f t="shared" si="118"/>
        <v>890.99912403631481</v>
      </c>
      <c r="CC143" s="62">
        <f t="shared" si="119"/>
        <v>1184.3324573696482</v>
      </c>
      <c r="CD143" s="62">
        <f ca="1">AVERAGE(OFFSET($CC$3,0,0,'Données projet'!$E$12+1,1))-AVERAGE(OFFSET($H$3,0,0,'Données projet'!$E$12+1,1))</f>
        <v>618.83149423524605</v>
      </c>
      <c r="CE143" s="62">
        <f t="shared" si="148"/>
        <v>285.33582535802435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59.373903393188314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59.373903393188314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349.5718186624772</v>
      </c>
      <c r="CZ143" s="62">
        <f t="shared" si="150"/>
        <v>258.14152930815959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61.520008726169188</v>
      </c>
      <c r="DG143" s="23">
        <f>EXP(-LN(2)/25)*DG142+(1-EXP(-LN(2)/25))/(LN(2)/25)*Calculateur!DB143*Calculateur!DD143*VLOOKUP('Données projet'!$B$13,Paramètres!$A$1:$I$89,3,0)*0.475*44/12</f>
        <v>5.9780166827074073</v>
      </c>
      <c r="DH143" s="23">
        <f>EXP(-LN(2)/2)*DH142+(1-EXP(-LN(2)/2))/(LN(2)/2)*DB143*DE143*VLOOKUP('Données projet'!$B$13,Paramètres!$A$1:$I$89,3,0)*0.475*44/12</f>
        <v>2.9635360329130788E-8</v>
      </c>
      <c r="DI143" s="24">
        <f t="shared" si="123"/>
        <v>67.498025438511959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8.5265128291212022E-14</v>
      </c>
      <c r="DP143" s="18">
        <f>DO143*VLOOKUP('Données projet'!$B$14,Paramètres!$A$1:$I$89,3,0)*VLOOKUP('Données projet'!$B$14,Paramètres!$A$1:$I$89,5,0)</f>
        <v>7.4487616075202836E-14</v>
      </c>
      <c r="DQ143" s="14">
        <f t="shared" si="151"/>
        <v>1.1580453144473142E-12</v>
      </c>
      <c r="DR143" s="22">
        <f t="shared" si="124"/>
        <v>2.1466615206600508E-12</v>
      </c>
      <c r="DS143" s="62">
        <f t="shared" si="125"/>
        <v>293.33333333333547</v>
      </c>
      <c r="DT143" s="62">
        <f ca="1">AVERAGE(OFFSET($DS$3,0,0,'Données projet'!$E$14+1,1))-AVERAGE(OFFSET($H$3,0,0,'Données projet'!$E$14+1,1))</f>
        <v>300.63505444445104</v>
      </c>
      <c r="DU143" s="62">
        <f t="shared" si="152"/>
        <v>266.32508105927997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43.447007791739928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43.447007791739928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353.37024194969638</v>
      </c>
      <c r="EP143" s="62">
        <f t="shared" si="154"/>
        <v>345.4750813433123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47.317557480536614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47.317557480536614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8.5265128291212022E-14</v>
      </c>
      <c r="FF143" s="18">
        <f>FE143*VLOOKUP('Données projet'!$B$16,Paramètres!$A$1:$I$89,3,0)*VLOOKUP('Données projet'!$B$16,Paramètres!$A$1:$I$89,5,0)</f>
        <v>5.5865712056402117E-14</v>
      </c>
      <c r="FG143" s="14">
        <f t="shared" si="155"/>
        <v>8.9811031843713517E-13</v>
      </c>
      <c r="FH143" s="22">
        <f t="shared" si="130"/>
        <v>1.6615082531095774E-12</v>
      </c>
      <c r="FI143" s="62">
        <f t="shared" si="131"/>
        <v>293.33333333333496</v>
      </c>
      <c r="FJ143" s="62">
        <f ca="1">AVERAGE(OFFSET($FI$3,0,0,'Données projet'!$E$16+1,1))-AVERAGE(OFFSET($H$3,0,0,'Données projet'!$E$16+1,1))</f>
        <v>263.30962868541337</v>
      </c>
      <c r="FK143" s="62">
        <f t="shared" si="156"/>
        <v>269.61868559913404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30.598449169003953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30.598449169003953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262.06511368698341</v>
      </c>
      <c r="T144" s="62">
        <f t="shared" si="142"/>
        <v>217.15709240080542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66.008059095099284</v>
      </c>
      <c r="AA144" s="23">
        <f>EXP(-LN(2)/25)*AA143+(1-EXP(-LN(2)/25))/(LN(2)/25)*Calculateur!V144*Calculateur!X144*VLOOKUP('Données projet'!$B$9,Paramètres!$A$1:$I$89,3,0)*0.475*44/12</f>
        <v>7.7714793212772655</v>
      </c>
      <c r="AB144" s="23">
        <f>EXP(-LN(2)/2)*AB143+(1-EXP(-LN(2)/2))/(LN(2)/2)*V144*Y144*VLOOKUP('Données projet'!$B$9,Paramètres!$A$1:$I$89,3,0)*0.475*44/12</f>
        <v>3.2484435041650584E-4</v>
      </c>
      <c r="AC144" s="24">
        <f t="shared" si="111"/>
        <v>73.77986326072697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287.83167869616227</v>
      </c>
      <c r="AO144" s="62">
        <f t="shared" si="144"/>
        <v>233.84231920589906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71.394700438133242</v>
      </c>
      <c r="AV144" s="23">
        <f>EXP(-LN(2)/25)*AV143+(1-EXP(-LN(2)/25))/(LN(2)/25)*Calculateur!AQ144*Calculateur!AS144*VLOOKUP('Données projet'!$B$10,Paramètres!$A$1:$I$89,3,0)*0.475*44/12</f>
        <v>9.6297436954139304</v>
      </c>
      <c r="AW144" s="23">
        <f>EXP(-LN(2)/2)*AW143+(1-EXP(-LN(2)/2))/(LN(2)/2)*AQ144*AT144*VLOOKUP('Données projet'!$B$10,Paramètres!$A$1:$I$89,3,0)*0.475*44/12</f>
        <v>1.0058986597911206E-5</v>
      </c>
      <c r="AX144" s="23">
        <f t="shared" si="114"/>
        <v>81.024454192533781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-1.064108801074326E-13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262.36903350767881</v>
      </c>
      <c r="BJ144" s="62">
        <f t="shared" si="146"/>
        <v>331.21009482262417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34.551060172289056</v>
      </c>
      <c r="BQ144" s="23">
        <f>EXP(-LN(2)/25)*BQ143+(1-EXP(-LN(2)/25))/(LN(2)/25)*Calculateur!BL144*Calculateur!BN144*VLOOKUP('Données projet'!$B$11,Paramètres!$A$1:$I$89,3,0)*0.475*44/12</f>
        <v>4.2613764167349597</v>
      </c>
      <c r="BR144" s="23">
        <f>EXP(-LN(2)/2)*BR143+(1-EXP(-LN(2)/2))/(LN(2)/2)*BL144*BO144*VLOOKUP('Données projet'!$B$11,Paramètres!$A$1:$I$89,3,0)*0.475*44/12</f>
        <v>1.2810889195303495E-11</v>
      </c>
      <c r="BS144" s="24">
        <f t="shared" si="117"/>
        <v>38.812436589036828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8.1590000000000025</v>
      </c>
      <c r="BY144" s="13">
        <f>IF('Données projet'!$A$114&gt;35,BY143+BX144-CG143,IF(A144&lt;'Données projet'!$A$114,$BV$205^A144,IF(A144='Données projet'!$A$114,'Données projet'!$B$114,BY143+BX144-CG143)))</f>
        <v>438.75300000000061</v>
      </c>
      <c r="BZ144" s="14">
        <f>BY144*VLOOKUP('Données projet'!$B$12,Paramètres!$A$1:$I$89,3,0)*VLOOKUP('Données projet'!$B$12,Paramètres!$A$1:$I$89,5,0)</f>
        <v>424.36190160000064</v>
      </c>
      <c r="CA144" s="14">
        <f t="shared" si="147"/>
        <v>96.698544306422932</v>
      </c>
      <c r="CB144" s="22">
        <f t="shared" si="118"/>
        <v>907.51360995368759</v>
      </c>
      <c r="CC144" s="62">
        <f t="shared" si="119"/>
        <v>1200.8469432870208</v>
      </c>
      <c r="CD144" s="62">
        <f ca="1">AVERAGE(OFFSET($CC$3,0,0,'Données projet'!$E$12+1,1))-AVERAGE(OFFSET($H$3,0,0,'Données projet'!$E$12+1,1))</f>
        <v>618.83149423524605</v>
      </c>
      <c r="CE144" s="62">
        <f t="shared" si="148"/>
        <v>285.33582535802435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58.209617362153075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58.209617362153075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349.5718186624772</v>
      </c>
      <c r="CZ144" s="62">
        <f t="shared" si="150"/>
        <v>258.14152930815959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60.313638878549192</v>
      </c>
      <c r="DG144" s="23">
        <f>EXP(-LN(2)/25)*DG143+(1-EXP(-LN(2)/25))/(LN(2)/25)*Calculateur!DB144*Calculateur!DD144*VLOOKUP('Données projet'!$B$13,Paramètres!$A$1:$I$89,3,0)*0.475*44/12</f>
        <v>5.8145475021485389</v>
      </c>
      <c r="DH144" s="23">
        <f>EXP(-LN(2)/2)*DH143+(1-EXP(-LN(2)/2))/(LN(2)/2)*DB144*DE144*VLOOKUP('Données projet'!$B$13,Paramètres!$A$1:$I$89,3,0)*0.475*44/12</f>
        <v>2.0955364251635176E-8</v>
      </c>
      <c r="DI144" s="24">
        <f t="shared" si="123"/>
        <v>66.128186401653096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8.5265128291212022E-14</v>
      </c>
      <c r="DP144" s="18">
        <f>DO144*VLOOKUP('Données projet'!$B$14,Paramètres!$A$1:$I$89,3,0)*VLOOKUP('Données projet'!$B$14,Paramètres!$A$1:$I$89,5,0)</f>
        <v>7.4487616075202836E-14</v>
      </c>
      <c r="DQ144" s="14">
        <f t="shared" si="151"/>
        <v>1.1580453144473142E-12</v>
      </c>
      <c r="DR144" s="22">
        <f t="shared" si="124"/>
        <v>2.1466615206600508E-12</v>
      </c>
      <c r="DS144" s="62">
        <f t="shared" si="125"/>
        <v>293.33333333333547</v>
      </c>
      <c r="DT144" s="62">
        <f ca="1">AVERAGE(OFFSET($DS$3,0,0,'Données projet'!$E$14+1,1))-AVERAGE(OFFSET($H$3,0,0,'Données projet'!$E$14+1,1))</f>
        <v>300.63505444445104</v>
      </c>
      <c r="DU144" s="62">
        <f t="shared" si="152"/>
        <v>266.32508105927997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42.595038469001999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42.595038469001999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353.37024194969638</v>
      </c>
      <c r="EP144" s="62">
        <f t="shared" si="154"/>
        <v>345.4750813433123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46.389689039203581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46.389689039203581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8.5265128291212022E-14</v>
      </c>
      <c r="FF144" s="18">
        <f>FE144*VLOOKUP('Données projet'!$B$16,Paramètres!$A$1:$I$89,3,0)*VLOOKUP('Données projet'!$B$16,Paramètres!$A$1:$I$89,5,0)</f>
        <v>5.5865712056402117E-14</v>
      </c>
      <c r="FG144" s="14">
        <f t="shared" si="155"/>
        <v>8.9811031843713517E-13</v>
      </c>
      <c r="FH144" s="22">
        <f t="shared" si="130"/>
        <v>1.6615082531095774E-12</v>
      </c>
      <c r="FI144" s="62">
        <f t="shared" si="131"/>
        <v>293.33333333333496</v>
      </c>
      <c r="FJ144" s="62">
        <f ca="1">AVERAGE(OFFSET($FI$3,0,0,'Données projet'!$E$16+1,1))-AVERAGE(OFFSET($H$3,0,0,'Données projet'!$E$16+1,1))</f>
        <v>263.30962868541337</v>
      </c>
      <c r="FK144" s="62">
        <f t="shared" si="156"/>
        <v>269.61868559913404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29.998432244010939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29.998432244010939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262.06511368698341</v>
      </c>
      <c r="T145" s="62">
        <f t="shared" si="142"/>
        <v>217.15709240080542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64.713681317184992</v>
      </c>
      <c r="AA145" s="23">
        <f>EXP(-LN(2)/25)*AA144+(1-EXP(-LN(2)/25))/(LN(2)/25)*Calculateur!V145*Calculateur!X145*VLOOKUP('Données projet'!$B$9,Paramètres!$A$1:$I$89,3,0)*0.475*44/12</f>
        <v>7.5589678105526028</v>
      </c>
      <c r="AB145" s="23">
        <f>EXP(-LN(2)/2)*AB144+(1-EXP(-LN(2)/2))/(LN(2)/2)*V145*Y145*VLOOKUP('Données projet'!$B$9,Paramètres!$A$1:$I$89,3,0)*0.475*44/12</f>
        <v>2.2969964300965036E-4</v>
      </c>
      <c r="AC145" s="24">
        <f t="shared" si="111"/>
        <v>72.272878827380609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287.83167869616227</v>
      </c>
      <c r="AO145" s="62">
        <f t="shared" si="144"/>
        <v>233.84231920589906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69.994693909008859</v>
      </c>
      <c r="AV145" s="23">
        <f>EXP(-LN(2)/25)*AV144+(1-EXP(-LN(2)/25))/(LN(2)/25)*Calculateur!AQ145*Calculateur!AS145*VLOOKUP('Données projet'!$B$10,Paramètres!$A$1:$I$89,3,0)*0.475*44/12</f>
        <v>9.3664178476566242</v>
      </c>
      <c r="AW145" s="23">
        <f>EXP(-LN(2)/2)*AW144+(1-EXP(-LN(2)/2))/(LN(2)/2)*AQ145*AT145*VLOOKUP('Données projet'!$B$10,Paramètres!$A$1:$I$89,3,0)*0.475*44/12</f>
        <v>7.1127776352476133E-6</v>
      </c>
      <c r="AX145" s="23">
        <f t="shared" si="114"/>
        <v>79.361118869443118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-1.064108801074326E-13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262.36903350767881</v>
      </c>
      <c r="BJ145" s="62">
        <f t="shared" si="146"/>
        <v>331.21009482262417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33.873534956376282</v>
      </c>
      <c r="BQ145" s="23">
        <f>EXP(-LN(2)/25)*BQ144+(1-EXP(-LN(2)/25))/(LN(2)/25)*Calculateur!BL145*Calculateur!BN145*VLOOKUP('Données projet'!$B$11,Paramètres!$A$1:$I$89,3,0)*0.475*44/12</f>
        <v>4.1448488545232962</v>
      </c>
      <c r="BR145" s="23">
        <f>EXP(-LN(2)/2)*BR144+(1-EXP(-LN(2)/2))/(LN(2)/2)*BL145*BO145*VLOOKUP('Données projet'!$B$11,Paramètres!$A$1:$I$89,3,0)*0.475*44/12</f>
        <v>9.058666623028574E-12</v>
      </c>
      <c r="BS145" s="24">
        <f t="shared" si="117"/>
        <v>38.018383810908638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8.1590000000000025</v>
      </c>
      <c r="BY145" s="13">
        <f>IF('Données projet'!$A$114&gt;35,BY144+BX145-CG144,IF(A145&lt;'Données projet'!$A$114,$BV$205^A145,IF(A145='Données projet'!$A$114,'Données projet'!$B$114,BY144+BX145-CG144)))</f>
        <v>446.9120000000006</v>
      </c>
      <c r="BZ145" s="14">
        <f>BY145*VLOOKUP('Données projet'!$B$12,Paramètres!$A$1:$I$89,3,0)*VLOOKUP('Données projet'!$B$12,Paramètres!$A$1:$I$89,5,0)</f>
        <v>432.25328640000055</v>
      </c>
      <c r="CA145" s="14">
        <f t="shared" si="147"/>
        <v>98.2857215173903</v>
      </c>
      <c r="CB145" s="22">
        <f t="shared" si="118"/>
        <v>924.02210545612218</v>
      </c>
      <c r="CC145" s="62">
        <f t="shared" si="119"/>
        <v>1217.3554387894555</v>
      </c>
      <c r="CD145" s="62">
        <f ca="1">AVERAGE(OFFSET($CC$3,0,0,'Données projet'!$E$12+1,1))-AVERAGE(OFFSET($H$3,0,0,'Données projet'!$E$12+1,1))</f>
        <v>618.83149423524605</v>
      </c>
      <c r="CE145" s="62">
        <f t="shared" si="148"/>
        <v>285.33582535802435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57.06816227004208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57.06816227004208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349.5718186624772</v>
      </c>
      <c r="CZ145" s="62">
        <f t="shared" si="150"/>
        <v>258.14152930815959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59.130925207828078</v>
      </c>
      <c r="DG145" s="23">
        <f>EXP(-LN(2)/25)*DG144+(1-EXP(-LN(2)/25))/(LN(2)/25)*Calculateur!DB145*Calculateur!DD145*VLOOKUP('Données projet'!$B$13,Paramètres!$A$1:$I$89,3,0)*0.475*44/12</f>
        <v>5.6555483949285232</v>
      </c>
      <c r="DH145" s="23">
        <f>EXP(-LN(2)/2)*DH144+(1-EXP(-LN(2)/2))/(LN(2)/2)*DB145*DE145*VLOOKUP('Données projet'!$B$13,Paramètres!$A$1:$I$89,3,0)*0.475*44/12</f>
        <v>1.4817680164565395E-8</v>
      </c>
      <c r="DI145" s="24">
        <f t="shared" si="123"/>
        <v>64.786473617574288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8.5265128291212022E-14</v>
      </c>
      <c r="DP145" s="18">
        <f>DO145*VLOOKUP('Données projet'!$B$14,Paramètres!$A$1:$I$89,3,0)*VLOOKUP('Données projet'!$B$14,Paramètres!$A$1:$I$89,5,0)</f>
        <v>7.4487616075202836E-14</v>
      </c>
      <c r="DQ145" s="14">
        <f t="shared" si="151"/>
        <v>1.1580453144473142E-12</v>
      </c>
      <c r="DR145" s="22">
        <f t="shared" si="124"/>
        <v>2.1466615206600508E-12</v>
      </c>
      <c r="DS145" s="62">
        <f t="shared" si="125"/>
        <v>293.33333333333547</v>
      </c>
      <c r="DT145" s="62">
        <f ca="1">AVERAGE(OFFSET($DS$3,0,0,'Données projet'!$E$14+1,1))-AVERAGE(OFFSET($H$3,0,0,'Données projet'!$E$14+1,1))</f>
        <v>300.63505444445104</v>
      </c>
      <c r="DU145" s="62">
        <f t="shared" si="152"/>
        <v>266.32508105927997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41.759775745032982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41.759775745032982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353.37024194969638</v>
      </c>
      <c r="EP145" s="62">
        <f t="shared" si="154"/>
        <v>345.4750813433123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45.480015532061223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45.480015532061223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8.5265128291212022E-14</v>
      </c>
      <c r="FF145" s="18">
        <f>FE145*VLOOKUP('Données projet'!$B$16,Paramètres!$A$1:$I$89,3,0)*VLOOKUP('Données projet'!$B$16,Paramètres!$A$1:$I$89,5,0)</f>
        <v>5.5865712056402117E-14</v>
      </c>
      <c r="FG145" s="14">
        <f t="shared" si="155"/>
        <v>8.9811031843713517E-13</v>
      </c>
      <c r="FH145" s="22">
        <f t="shared" si="130"/>
        <v>1.6615082531095774E-12</v>
      </c>
      <c r="FI145" s="62">
        <f t="shared" si="131"/>
        <v>293.33333333333496</v>
      </c>
      <c r="FJ145" s="62">
        <f ca="1">AVERAGE(OFFSET($FI$3,0,0,'Données projet'!$E$16+1,1))-AVERAGE(OFFSET($H$3,0,0,'Données projet'!$E$16+1,1))</f>
        <v>263.30962868541337</v>
      </c>
      <c r="FK145" s="62">
        <f t="shared" si="156"/>
        <v>269.61868559913404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29.410181284942851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29.410181284942851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262.06511368698341</v>
      </c>
      <c r="T146" s="62">
        <f t="shared" si="142"/>
        <v>217.15709240080542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63.444685498003118</v>
      </c>
      <c r="AA146" s="23">
        <f>EXP(-LN(2)/25)*AA145+(1-EXP(-LN(2)/25))/(LN(2)/25)*Calculateur!V146*Calculateur!X146*VLOOKUP('Données projet'!$B$9,Paramètres!$A$1:$I$89,3,0)*0.475*44/12</f>
        <v>7.3522674382642013</v>
      </c>
      <c r="AB146" s="23">
        <f>EXP(-LN(2)/2)*AB145+(1-EXP(-LN(2)/2))/(LN(2)/2)*V146*Y146*VLOOKUP('Données projet'!$B$9,Paramètres!$A$1:$I$89,3,0)*0.475*44/12</f>
        <v>1.6242217520825292E-4</v>
      </c>
      <c r="AC146" s="24">
        <f t="shared" si="111"/>
        <v>70.797115358442525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287.83167869616227</v>
      </c>
      <c r="AO146" s="62">
        <f t="shared" si="144"/>
        <v>233.84231920589906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68.622140654000944</v>
      </c>
      <c r="AV146" s="23">
        <f>EXP(-LN(2)/25)*AV145+(1-EXP(-LN(2)/25))/(LN(2)/25)*Calculateur!AQ146*Calculateur!AS146*VLOOKUP('Données projet'!$B$10,Paramètres!$A$1:$I$89,3,0)*0.475*44/12</f>
        <v>9.1102926590539468</v>
      </c>
      <c r="AW146" s="23">
        <f>EXP(-LN(2)/2)*AW145+(1-EXP(-LN(2)/2))/(LN(2)/2)*AQ146*AT146*VLOOKUP('Données projet'!$B$10,Paramètres!$A$1:$I$89,3,0)*0.475*44/12</f>
        <v>5.029493298955603E-6</v>
      </c>
      <c r="AX146" s="23">
        <f t="shared" si="114"/>
        <v>77.732438342548178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-1.064108801074326E-13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262.36903350767881</v>
      </c>
      <c r="BJ146" s="62">
        <f t="shared" si="146"/>
        <v>331.21009482262417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33.209295596697977</v>
      </c>
      <c r="BQ146" s="23">
        <f>EXP(-LN(2)/25)*BQ145+(1-EXP(-LN(2)/25))/(LN(2)/25)*Calculateur!BL146*Calculateur!BN146*VLOOKUP('Données projet'!$B$11,Paramètres!$A$1:$I$89,3,0)*0.475*44/12</f>
        <v>4.0315077446282288</v>
      </c>
      <c r="BR146" s="23">
        <f>EXP(-LN(2)/2)*BR145+(1-EXP(-LN(2)/2))/(LN(2)/2)*BL146*BO146*VLOOKUP('Données projet'!$B$11,Paramètres!$A$1:$I$89,3,0)*0.475*44/12</f>
        <v>6.4054445976517474E-12</v>
      </c>
      <c r="BS146" s="24">
        <f t="shared" si="117"/>
        <v>37.240803341332608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8.1590000000000025</v>
      </c>
      <c r="BY146" s="13">
        <f>IF('Données projet'!$A$114&gt;35,BY145+BX146-CG145,IF(A146&lt;'Données projet'!$A$114,$BV$205^A146,IF(A146='Données projet'!$A$114,'Données projet'!$B$114,BY145+BX146-CG145)))</f>
        <v>455.07100000000059</v>
      </c>
      <c r="BZ146" s="14">
        <f>BY146*VLOOKUP('Données projet'!$B$12,Paramètres!$A$1:$I$89,3,0)*VLOOKUP('Données projet'!$B$12,Paramètres!$A$1:$I$89,5,0)</f>
        <v>440.14467120000057</v>
      </c>
      <c r="CA146" s="14">
        <f t="shared" si="147"/>
        <v>99.869529290466829</v>
      </c>
      <c r="CB146" s="22">
        <f t="shared" si="118"/>
        <v>940.52473252089715</v>
      </c>
      <c r="CC146" s="62">
        <f t="shared" si="119"/>
        <v>1233.8580658542305</v>
      </c>
      <c r="CD146" s="62">
        <f ca="1">AVERAGE(OFFSET($CC$3,0,0,'Données projet'!$E$12+1,1))-AVERAGE(OFFSET($H$3,0,0,'Données projet'!$E$12+1,1))</f>
        <v>618.83149423524605</v>
      </c>
      <c r="CE146" s="62">
        <f t="shared" si="148"/>
        <v>285.33582535802435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55.949090416068522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55.949090416068522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349.5718186624772</v>
      </c>
      <c r="CZ146" s="62">
        <f t="shared" si="150"/>
        <v>258.14152930815959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57.971403830805691</v>
      </c>
      <c r="DG146" s="23">
        <f>EXP(-LN(2)/25)*DG145+(1-EXP(-LN(2)/25))/(LN(2)/25)*Calculateur!DB146*Calculateur!DD146*VLOOKUP('Données projet'!$B$13,Paramètres!$A$1:$I$89,3,0)*0.475*44/12</f>
        <v>5.5008971266568389</v>
      </c>
      <c r="DH146" s="23">
        <f>EXP(-LN(2)/2)*DH145+(1-EXP(-LN(2)/2))/(LN(2)/2)*DB146*DE146*VLOOKUP('Données projet'!$B$13,Paramètres!$A$1:$I$89,3,0)*0.475*44/12</f>
        <v>1.047768212581759E-8</v>
      </c>
      <c r="DI146" s="24">
        <f t="shared" si="123"/>
        <v>63.472300967940214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8.5265128291212022E-14</v>
      </c>
      <c r="DP146" s="18">
        <f>DO146*VLOOKUP('Données projet'!$B$14,Paramètres!$A$1:$I$89,3,0)*VLOOKUP('Données projet'!$B$14,Paramètres!$A$1:$I$89,5,0)</f>
        <v>7.4487616075202836E-14</v>
      </c>
      <c r="DQ146" s="14">
        <f t="shared" si="151"/>
        <v>1.1580453144473142E-12</v>
      </c>
      <c r="DR146" s="22">
        <f t="shared" si="124"/>
        <v>2.1466615206600508E-12</v>
      </c>
      <c r="DS146" s="62">
        <f t="shared" si="125"/>
        <v>293.33333333333547</v>
      </c>
      <c r="DT146" s="62">
        <f ca="1">AVERAGE(OFFSET($DS$3,0,0,'Données projet'!$E$14+1,1))-AVERAGE(OFFSET($H$3,0,0,'Données projet'!$E$14+1,1))</f>
        <v>300.63505444445104</v>
      </c>
      <c r="DU146" s="62">
        <f t="shared" si="152"/>
        <v>266.32508105927997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40.940892013621045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40.940892013621045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353.37024194969638</v>
      </c>
      <c r="EP146" s="62">
        <f t="shared" si="154"/>
        <v>345.4750813433123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44.588180167547875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44.588180167547875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8.5265128291212022E-14</v>
      </c>
      <c r="FF146" s="18">
        <f>FE146*VLOOKUP('Données projet'!$B$16,Paramètres!$A$1:$I$89,3,0)*VLOOKUP('Données projet'!$B$16,Paramètres!$A$1:$I$89,5,0)</f>
        <v>5.5865712056402117E-14</v>
      </c>
      <c r="FG146" s="14">
        <f t="shared" si="155"/>
        <v>8.9811031843713517E-13</v>
      </c>
      <c r="FH146" s="22">
        <f t="shared" si="130"/>
        <v>1.6615082531095774E-12</v>
      </c>
      <c r="FI146" s="62">
        <f t="shared" si="131"/>
        <v>293.33333333333496</v>
      </c>
      <c r="FJ146" s="62">
        <f ca="1">AVERAGE(OFFSET($FI$3,0,0,'Données projet'!$E$16+1,1))-AVERAGE(OFFSET($H$3,0,0,'Données projet'!$E$16+1,1))</f>
        <v>263.30962868541337</v>
      </c>
      <c r="FK146" s="62">
        <f t="shared" si="156"/>
        <v>269.61868559913404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28.833465568384433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28.833465568384433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262.06511368698341</v>
      </c>
      <c r="T147" s="62">
        <f t="shared" si="142"/>
        <v>217.15709240080542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62.200573912824375</v>
      </c>
      <c r="AA147" s="23">
        <f>EXP(-LN(2)/25)*AA146+(1-EXP(-LN(2)/25))/(LN(2)/25)*Calculateur!V147*Calculateur!X147*VLOOKUP('Données projet'!$B$9,Paramètres!$A$1:$I$89,3,0)*0.475*44/12</f>
        <v>7.151219298525926</v>
      </c>
      <c r="AB147" s="23">
        <f>EXP(-LN(2)/2)*AB146+(1-EXP(-LN(2)/2))/(LN(2)/2)*V147*Y147*VLOOKUP('Données projet'!$B$9,Paramètres!$A$1:$I$89,3,0)*0.475*44/12</f>
        <v>1.1484982150482518E-4</v>
      </c>
      <c r="AC147" s="24">
        <f t="shared" si="111"/>
        <v>69.351908061171798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287.83167869616227</v>
      </c>
      <c r="AO147" s="62">
        <f t="shared" si="144"/>
        <v>233.84231920589906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67.276502331148905</v>
      </c>
      <c r="AV147" s="23">
        <f>EXP(-LN(2)/25)*AV146+(1-EXP(-LN(2)/25))/(LN(2)/25)*Calculateur!AQ147*Calculateur!AS147*VLOOKUP('Données projet'!$B$10,Paramètres!$A$1:$I$89,3,0)*0.475*44/12</f>
        <v>8.8611712272026484</v>
      </c>
      <c r="AW147" s="23">
        <f>EXP(-LN(2)/2)*AW146+(1-EXP(-LN(2)/2))/(LN(2)/2)*AQ147*AT147*VLOOKUP('Données projet'!$B$10,Paramètres!$A$1:$I$89,3,0)*0.475*44/12</f>
        <v>3.5563888176238067E-6</v>
      </c>
      <c r="AX147" s="23">
        <f t="shared" si="114"/>
        <v>76.13767711474037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-1.064108801074326E-13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262.36903350767881</v>
      </c>
      <c r="BJ147" s="62">
        <f t="shared" si="146"/>
        <v>331.21009482262417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32.558081565716961</v>
      </c>
      <c r="BQ147" s="23">
        <f>EXP(-LN(2)/25)*BQ146+(1-EXP(-LN(2)/25))/(LN(2)/25)*Calculateur!BL147*Calculateur!BN147*VLOOKUP('Données projet'!$B$11,Paramètres!$A$1:$I$89,3,0)*0.475*44/12</f>
        <v>3.9212659533435916</v>
      </c>
      <c r="BR147" s="23">
        <f>EXP(-LN(2)/2)*BR146+(1-EXP(-LN(2)/2))/(LN(2)/2)*BL147*BO147*VLOOKUP('Données projet'!$B$11,Paramètres!$A$1:$I$89,3,0)*0.475*44/12</f>
        <v>4.529333311514287E-12</v>
      </c>
      <c r="BS147" s="24">
        <f t="shared" si="117"/>
        <v>36.47934751906508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>
        <f>VLOOKUP(A147,'Données projet'!$A$113:$I$133,2,0)</f>
        <v>463.23</v>
      </c>
      <c r="BW147" s="13">
        <f>VLOOKUP(A147,'Données projet'!$A$113:$I$133,9,0)</f>
        <v>8.1590000000000025</v>
      </c>
      <c r="BX147" s="13">
        <f t="array" ref="BX147">INDEX(BW:BW,MIN(IF(ISNUMBER(BW147:BW343),ROW(BW147:BW343),"")))</f>
        <v>8.1590000000000025</v>
      </c>
      <c r="BY147" s="13">
        <f>IF('Données projet'!$A$114&gt;35,BY146+BX147-CG146,IF(A147&lt;'Données projet'!$A$114,$BV$205^A147,IF(A147='Données projet'!$A$114,'Données projet'!$B$114,BY146+BX147-CG146)))</f>
        <v>463.23000000000059</v>
      </c>
      <c r="BZ147" s="14">
        <f>BY147*VLOOKUP('Données projet'!$B$12,Paramètres!$A$1:$I$89,3,0)*VLOOKUP('Données projet'!$B$12,Paramètres!$A$1:$I$89,5,0)</f>
        <v>448.0360560000006</v>
      </c>
      <c r="CA147" s="14">
        <f t="shared" si="147"/>
        <v>101.45003500532212</v>
      </c>
      <c r="CB147" s="22">
        <f t="shared" si="118"/>
        <v>957.02160850093696</v>
      </c>
      <c r="CC147" s="62">
        <f t="shared" si="119"/>
        <v>1250.3549418342702</v>
      </c>
      <c r="CD147" s="62">
        <f ca="1">AVERAGE(OFFSET($CC$3,0,0,'Données projet'!$E$12+1,1))-AVERAGE(OFFSET($H$3,0,0,'Données projet'!$E$12+1,1))</f>
        <v>618.83149423524605</v>
      </c>
      <c r="CE147" s="62">
        <f t="shared" si="148"/>
        <v>285.33582535802435</v>
      </c>
      <c r="CF147" s="16">
        <f>IF(ISNA(VLOOKUP(A147,'Données projet'!$A$113:$I$133,3,0)),0,VLOOKUP(A147,'Données projet'!$A$113:$I$133,3,0))</f>
        <v>12</v>
      </c>
      <c r="CG147" s="16">
        <f>IF(ISNA(VLOOKUP(A147,'Données projet'!$A$113:$I$133,4,0)),0,VLOOKUP(A147,'Données projet'!$A$113:$I$133,4,0))</f>
        <v>56.01</v>
      </c>
      <c r="CH147" s="17">
        <f>IF(ISNA(VLOOKUP(A147,'Données projet'!$A$113:$I$133,5,0)),0%,VLOOKUP(A147,'Données projet'!$A$113:$I$133,5,0)*VLOOKUP('Données projet'!$B$12,Paramètres!$A$1:$I$89,7,0))</f>
        <v>0.30099999999999999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72.87780099502416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72.87780099502416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349.5718186624772</v>
      </c>
      <c r="CZ147" s="62">
        <f t="shared" si="150"/>
        <v>258.14152930815959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56.834619960748512</v>
      </c>
      <c r="DG147" s="23">
        <f>EXP(-LN(2)/25)*DG146+(1-EXP(-LN(2)/25))/(LN(2)/25)*Calculateur!DB147*Calculateur!DD147*VLOOKUP('Données projet'!$B$13,Paramètres!$A$1:$I$89,3,0)*0.475*44/12</f>
        <v>5.3504748054488003</v>
      </c>
      <c r="DH147" s="23">
        <f>EXP(-LN(2)/2)*DH146+(1-EXP(-LN(2)/2))/(LN(2)/2)*DB147*DE147*VLOOKUP('Données projet'!$B$13,Paramètres!$A$1:$I$89,3,0)*0.475*44/12</f>
        <v>7.4088400822826994E-9</v>
      </c>
      <c r="DI147" s="24">
        <f t="shared" si="123"/>
        <v>62.185094773606153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8.5265128291212022E-14</v>
      </c>
      <c r="DP147" s="18">
        <f>DO147*VLOOKUP('Données projet'!$B$14,Paramètres!$A$1:$I$89,3,0)*VLOOKUP('Données projet'!$B$14,Paramètres!$A$1:$I$89,5,0)</f>
        <v>7.4487616075202836E-14</v>
      </c>
      <c r="DQ147" s="14">
        <f t="shared" si="151"/>
        <v>1.1580453144473142E-12</v>
      </c>
      <c r="DR147" s="22">
        <f t="shared" si="124"/>
        <v>2.1466615206600508E-12</v>
      </c>
      <c r="DS147" s="62">
        <f t="shared" si="125"/>
        <v>293.33333333333547</v>
      </c>
      <c r="DT147" s="62">
        <f ca="1">AVERAGE(OFFSET($DS$3,0,0,'Données projet'!$E$14+1,1))-AVERAGE(OFFSET($H$3,0,0,'Données projet'!$E$14+1,1))</f>
        <v>300.63505444445104</v>
      </c>
      <c r="DU147" s="62">
        <f t="shared" si="152"/>
        <v>266.32508105927997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40.138066092712336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40.138066092712336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353.37024194969638</v>
      </c>
      <c r="EP147" s="62">
        <f t="shared" si="154"/>
        <v>345.4750813433123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43.713833150566771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43.713833150566771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8.5265128291212022E-14</v>
      </c>
      <c r="FF147" s="18">
        <f>FE147*VLOOKUP('Données projet'!$B$16,Paramètres!$A$1:$I$89,3,0)*VLOOKUP('Données projet'!$B$16,Paramètres!$A$1:$I$89,5,0)</f>
        <v>5.5865712056402117E-14</v>
      </c>
      <c r="FG147" s="14">
        <f t="shared" si="155"/>
        <v>8.9811031843713517E-13</v>
      </c>
      <c r="FH147" s="22">
        <f t="shared" si="130"/>
        <v>1.6615082531095774E-12</v>
      </c>
      <c r="FI147" s="62">
        <f t="shared" si="131"/>
        <v>293.33333333333496</v>
      </c>
      <c r="FJ147" s="62">
        <f ca="1">AVERAGE(OFFSET($FI$3,0,0,'Données projet'!$E$16+1,1))-AVERAGE(OFFSET($H$3,0,0,'Données projet'!$E$16+1,1))</f>
        <v>263.30962868541337</v>
      </c>
      <c r="FK147" s="62">
        <f t="shared" si="156"/>
        <v>269.61868559913404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28.26805889526587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28.26805889526587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262.06511368698341</v>
      </c>
      <c r="T148" s="62">
        <f t="shared" si="142"/>
        <v>217.15709240080542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60.980858596997848</v>
      </c>
      <c r="AA148" s="23">
        <f>EXP(-LN(2)/25)*AA147+(1-EXP(-LN(2)/25))/(LN(2)/25)*Calculateur!V148*Calculateur!X148*VLOOKUP('Données projet'!$B$9,Paramètres!$A$1:$I$89,3,0)*0.475*44/12</f>
        <v>6.9556688307414563</v>
      </c>
      <c r="AB148" s="23">
        <f>EXP(-LN(2)/2)*AB147+(1-EXP(-LN(2)/2))/(LN(2)/2)*V148*Y148*VLOOKUP('Données projet'!$B$9,Paramètres!$A$1:$I$89,3,0)*0.475*44/12</f>
        <v>8.121108760412646E-5</v>
      </c>
      <c r="AC148" s="24">
        <f t="shared" si="111"/>
        <v>67.936608638826911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287.83167869616227</v>
      </c>
      <c r="AO148" s="62">
        <f t="shared" si="144"/>
        <v>233.84231920589906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65.957251155049661</v>
      </c>
      <c r="AV148" s="23">
        <f>EXP(-LN(2)/25)*AV147+(1-EXP(-LN(2)/25))/(LN(2)/25)*Calculateur!AQ148*Calculateur!AS148*VLOOKUP('Données projet'!$B$10,Paramètres!$A$1:$I$89,3,0)*0.475*44/12</f>
        <v>8.6188620340060496</v>
      </c>
      <c r="AW148" s="23">
        <f>EXP(-LN(2)/2)*AW147+(1-EXP(-LN(2)/2))/(LN(2)/2)*AQ148*AT148*VLOOKUP('Données projet'!$B$10,Paramètres!$A$1:$I$89,3,0)*0.475*44/12</f>
        <v>2.5147466494778015E-6</v>
      </c>
      <c r="AX148" s="23">
        <f t="shared" si="114"/>
        <v>74.576115703802373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-1.064108801074326E-13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262.36903350767881</v>
      </c>
      <c r="BJ148" s="62">
        <f t="shared" si="146"/>
        <v>331.21009482262417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31.919637444682145</v>
      </c>
      <c r="BQ148" s="23">
        <f>EXP(-LN(2)/25)*BQ147+(1-EXP(-LN(2)/25))/(LN(2)/25)*Calculateur!BL148*Calculateur!BN148*VLOOKUP('Données projet'!$B$11,Paramètres!$A$1:$I$89,3,0)*0.475*44/12</f>
        <v>3.8140387296389968</v>
      </c>
      <c r="BR148" s="23">
        <f>EXP(-LN(2)/2)*BR147+(1-EXP(-LN(2)/2))/(LN(2)/2)*BL148*BO148*VLOOKUP('Données projet'!$B$11,Paramètres!$A$1:$I$89,3,0)*0.475*44/12</f>
        <v>3.2027222988258737E-12</v>
      </c>
      <c r="BS148" s="24">
        <f t="shared" si="117"/>
        <v>35.733676174324344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8.3249999999999993</v>
      </c>
      <c r="BY148" s="13">
        <f>IF('Données projet'!$A$114&gt;35,BY147+BX148-CG147,IF(A148&lt;'Données projet'!$A$114,$BV$205^A148,IF(A148='Données projet'!$A$114,'Données projet'!$B$114,BY147+BX148-CG147)))</f>
        <v>415.54500000000058</v>
      </c>
      <c r="BZ148" s="14">
        <f>BY148*VLOOKUP('Données projet'!$B$12,Paramètres!$A$1:$I$89,3,0)*VLOOKUP('Données projet'!$B$12,Paramètres!$A$1:$I$89,5,0)</f>
        <v>401.91512400000056</v>
      </c>
      <c r="CA148" s="14">
        <f t="shared" si="147"/>
        <v>92.164819224602709</v>
      </c>
      <c r="CB148" s="22">
        <f t="shared" si="118"/>
        <v>860.52256778285062</v>
      </c>
      <c r="CC148" s="62">
        <f t="shared" si="119"/>
        <v>1153.855901116184</v>
      </c>
      <c r="CD148" s="62">
        <f ca="1">AVERAGE(OFFSET($CC$3,0,0,'Données projet'!$E$12+1,1))-AVERAGE(OFFSET($H$3,0,0,'Données projet'!$E$12+1,1))</f>
        <v>618.83149423524605</v>
      </c>
      <c r="CE148" s="62">
        <f t="shared" si="148"/>
        <v>285.33582535802435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71.448711768581163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71.448711768581163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349.5718186624772</v>
      </c>
      <c r="CZ148" s="62">
        <f t="shared" si="150"/>
        <v>258.14152930815959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55.720127729013456</v>
      </c>
      <c r="DG148" s="23">
        <f>EXP(-LN(2)/25)*DG147+(1-EXP(-LN(2)/25))/(LN(2)/25)*Calculateur!DB148*Calculateur!DD148*VLOOKUP('Données projet'!$B$13,Paramètres!$A$1:$I$89,3,0)*0.475*44/12</f>
        <v>5.2041657905245611</v>
      </c>
      <c r="DH148" s="23">
        <f>EXP(-LN(2)/2)*DH147+(1-EXP(-LN(2)/2))/(LN(2)/2)*DB148*DE148*VLOOKUP('Données projet'!$B$13,Paramètres!$A$1:$I$89,3,0)*0.475*44/12</f>
        <v>5.2388410629087958E-9</v>
      </c>
      <c r="DI148" s="24">
        <f t="shared" si="123"/>
        <v>60.924293524776857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8.5265128291212022E-14</v>
      </c>
      <c r="DP148" s="18">
        <f>DO148*VLOOKUP('Données projet'!$B$14,Paramètres!$A$1:$I$89,3,0)*VLOOKUP('Données projet'!$B$14,Paramètres!$A$1:$I$89,5,0)</f>
        <v>7.4487616075202836E-14</v>
      </c>
      <c r="DQ148" s="14">
        <f t="shared" si="151"/>
        <v>1.1580453144473142E-12</v>
      </c>
      <c r="DR148" s="22">
        <f t="shared" si="124"/>
        <v>2.1466615206600508E-12</v>
      </c>
      <c r="DS148" s="62">
        <f t="shared" si="125"/>
        <v>293.33333333333547</v>
      </c>
      <c r="DT148" s="62">
        <f ca="1">AVERAGE(OFFSET($DS$3,0,0,'Données projet'!$E$14+1,1))-AVERAGE(OFFSET($H$3,0,0,'Données projet'!$E$14+1,1))</f>
        <v>300.63505444445104</v>
      </c>
      <c r="DU148" s="62">
        <f t="shared" si="152"/>
        <v>266.32508105927997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39.350983098437183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39.350983098437183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353.37024194969638</v>
      </c>
      <c r="EP148" s="62">
        <f t="shared" si="154"/>
        <v>345.4750813433123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42.856631545289645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42.856631545289645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8.5265128291212022E-14</v>
      </c>
      <c r="FF148" s="18">
        <f>FE148*VLOOKUP('Données projet'!$B$16,Paramètres!$A$1:$I$89,3,0)*VLOOKUP('Données projet'!$B$16,Paramètres!$A$1:$I$89,5,0)</f>
        <v>5.5865712056402117E-14</v>
      </c>
      <c r="FG148" s="14">
        <f t="shared" si="155"/>
        <v>8.9811031843713517E-13</v>
      </c>
      <c r="FH148" s="22">
        <f t="shared" si="130"/>
        <v>1.6615082531095774E-12</v>
      </c>
      <c r="FI148" s="62">
        <f t="shared" si="131"/>
        <v>293.33333333333496</v>
      </c>
      <c r="FJ148" s="62">
        <f ca="1">AVERAGE(OFFSET($FI$3,0,0,'Données projet'!$E$16+1,1))-AVERAGE(OFFSET($H$3,0,0,'Données projet'!$E$16+1,1))</f>
        <v>263.30962868541337</v>
      </c>
      <c r="FK148" s="62">
        <f t="shared" si="156"/>
        <v>269.61868559913404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27.713739502143145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27.713739502143145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262.06511368698341</v>
      </c>
      <c r="T149" s="62">
        <f t="shared" si="142"/>
        <v>217.15709240080542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59.785061154561795</v>
      </c>
      <c r="AA149" s="23">
        <f>EXP(-LN(2)/25)*AA148+(1-EXP(-LN(2)/25))/(LN(2)/25)*Calculateur!V149*Calculateur!X149*VLOOKUP('Données projet'!$B$9,Paramètres!$A$1:$I$89,3,0)*0.475*44/12</f>
        <v>6.7654657007821051</v>
      </c>
      <c r="AB149" s="23">
        <f>EXP(-LN(2)/2)*AB148+(1-EXP(-LN(2)/2))/(LN(2)/2)*V149*Y149*VLOOKUP('Données projet'!$B$9,Paramètres!$A$1:$I$89,3,0)*0.475*44/12</f>
        <v>5.7424910752412591E-5</v>
      </c>
      <c r="AC149" s="24">
        <f t="shared" si="111"/>
        <v>66.550584280254654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287.83167869616227</v>
      </c>
      <c r="AO149" s="62">
        <f t="shared" si="144"/>
        <v>233.84231920589906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64.66386968984996</v>
      </c>
      <c r="AV149" s="23">
        <f>EXP(-LN(2)/25)*AV148+(1-EXP(-LN(2)/25))/(LN(2)/25)*Calculateur!AQ149*Calculateur!AS149*VLOOKUP('Données projet'!$B$10,Paramètres!$A$1:$I$89,3,0)*0.475*44/12</f>
        <v>8.3831787984398982</v>
      </c>
      <c r="AW149" s="23">
        <f>EXP(-LN(2)/2)*AW148+(1-EXP(-LN(2)/2))/(LN(2)/2)*AQ149*AT149*VLOOKUP('Données projet'!$B$10,Paramètres!$A$1:$I$89,3,0)*0.475*44/12</f>
        <v>1.7781944088119033E-6</v>
      </c>
      <c r="AX149" s="23">
        <f t="shared" si="114"/>
        <v>73.047050266484263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-1.064108801074326E-13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262.36903350767881</v>
      </c>
      <c r="BJ149" s="62">
        <f t="shared" si="146"/>
        <v>331.21009482262417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31.293712823448359</v>
      </c>
      <c r="BQ149" s="23">
        <f>EXP(-LN(2)/25)*BQ148+(1-EXP(-LN(2)/25))/(LN(2)/25)*Calculateur!BL149*Calculateur!BN149*VLOOKUP('Données projet'!$B$11,Paramètres!$A$1:$I$89,3,0)*0.475*44/12</f>
        <v>3.7097436400054389</v>
      </c>
      <c r="BR149" s="23">
        <f>EXP(-LN(2)/2)*BR148+(1-EXP(-LN(2)/2))/(LN(2)/2)*BL149*BO149*VLOOKUP('Données projet'!$B$11,Paramètres!$A$1:$I$89,3,0)*0.475*44/12</f>
        <v>2.2646666557571435E-12</v>
      </c>
      <c r="BS149" s="24">
        <f t="shared" si="117"/>
        <v>35.003456463456068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8.3249999999999993</v>
      </c>
      <c r="BY149" s="13">
        <f>IF('Données projet'!$A$114&gt;35,BY148+BX149-CG148,IF(A149&lt;'Données projet'!$A$114,$BV$205^A149,IF(A149='Données projet'!$A$114,'Données projet'!$B$114,BY148+BX149-CG148)))</f>
        <v>423.87000000000057</v>
      </c>
      <c r="BZ149" s="14">
        <f>BY149*VLOOKUP('Données projet'!$B$12,Paramètres!$A$1:$I$89,3,0)*VLOOKUP('Données projet'!$B$12,Paramètres!$A$1:$I$89,5,0)</f>
        <v>409.96706400000051</v>
      </c>
      <c r="CA149" s="14">
        <f t="shared" si="147"/>
        <v>93.79443091691617</v>
      </c>
      <c r="CB149" s="22">
        <f t="shared" si="118"/>
        <v>877.38460364696311</v>
      </c>
      <c r="CC149" s="62">
        <f t="shared" si="119"/>
        <v>1170.7179369802964</v>
      </c>
      <c r="CD149" s="62">
        <f ca="1">AVERAGE(OFFSET($CC$3,0,0,'Données projet'!$E$12+1,1))-AVERAGE(OFFSET($H$3,0,0,'Données projet'!$E$12+1,1))</f>
        <v>618.83149423524605</v>
      </c>
      <c r="CE149" s="62">
        <f t="shared" si="148"/>
        <v>285.33582535802435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70.047646110210351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70.047646110210351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349.5718186624772</v>
      </c>
      <c r="CZ149" s="62">
        <f t="shared" si="150"/>
        <v>258.14152930815959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54.627490010169588</v>
      </c>
      <c r="DG149" s="23">
        <f>EXP(-LN(2)/25)*DG148+(1-EXP(-LN(2)/25))/(LN(2)/25)*Calculateur!DB149*Calculateur!DD149*VLOOKUP('Données projet'!$B$13,Paramètres!$A$1:$I$89,3,0)*0.475*44/12</f>
        <v>5.061857603307482</v>
      </c>
      <c r="DH149" s="23">
        <f>EXP(-LN(2)/2)*DH148+(1-EXP(-LN(2)/2))/(LN(2)/2)*DB149*DE149*VLOOKUP('Données projet'!$B$13,Paramètres!$A$1:$I$89,3,0)*0.475*44/12</f>
        <v>3.7044200411413501E-9</v>
      </c>
      <c r="DI149" s="24">
        <f t="shared" si="123"/>
        <v>59.68934761718149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8.5265128291212022E-14</v>
      </c>
      <c r="DP149" s="18">
        <f>DO149*VLOOKUP('Données projet'!$B$14,Paramètres!$A$1:$I$89,3,0)*VLOOKUP('Données projet'!$B$14,Paramètres!$A$1:$I$89,5,0)</f>
        <v>7.4487616075202836E-14</v>
      </c>
      <c r="DQ149" s="14">
        <f t="shared" si="151"/>
        <v>1.1580453144473142E-12</v>
      </c>
      <c r="DR149" s="22">
        <f t="shared" si="124"/>
        <v>2.1466615206600508E-12</v>
      </c>
      <c r="DS149" s="62">
        <f t="shared" si="125"/>
        <v>293.33333333333547</v>
      </c>
      <c r="DT149" s="62">
        <f ca="1">AVERAGE(OFFSET($DS$3,0,0,'Données projet'!$E$14+1,1))-AVERAGE(OFFSET($H$3,0,0,'Données projet'!$E$14+1,1))</f>
        <v>300.63505444445104</v>
      </c>
      <c r="DU149" s="62">
        <f t="shared" si="152"/>
        <v>266.32508105927997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38.579334321606545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38.579334321606545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353.37024194969638</v>
      </c>
      <c r="EP149" s="62">
        <f t="shared" si="154"/>
        <v>345.4750813433123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42.016239140650647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42.016239140650647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8.5265128291212022E-14</v>
      </c>
      <c r="FF149" s="18">
        <f>FE149*VLOOKUP('Données projet'!$B$16,Paramètres!$A$1:$I$89,3,0)*VLOOKUP('Données projet'!$B$16,Paramètres!$A$1:$I$89,5,0)</f>
        <v>5.5865712056402117E-14</v>
      </c>
      <c r="FG149" s="14">
        <f t="shared" si="155"/>
        <v>8.9811031843713517E-13</v>
      </c>
      <c r="FH149" s="22">
        <f t="shared" si="130"/>
        <v>1.6615082531095774E-12</v>
      </c>
      <c r="FI149" s="62">
        <f t="shared" si="131"/>
        <v>293.33333333333496</v>
      </c>
      <c r="FJ149" s="62">
        <f ca="1">AVERAGE(OFFSET($FI$3,0,0,'Données projet'!$E$16+1,1))-AVERAGE(OFFSET($H$3,0,0,'Données projet'!$E$16+1,1))</f>
        <v>263.30962868541337</v>
      </c>
      <c r="FK149" s="62">
        <f t="shared" si="156"/>
        <v>269.61868559913404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27.170289974218111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27.170289974218111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262.06511368698341</v>
      </c>
      <c r="T150" s="62">
        <f t="shared" si="142"/>
        <v>217.15709240080542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58.612712570607492</v>
      </c>
      <c r="AA150" s="23">
        <f>EXP(-LN(2)/25)*AA149+(1-EXP(-LN(2)/25))/(LN(2)/25)*Calculateur!V150*Calculateur!X150*VLOOKUP('Données projet'!$B$9,Paramètres!$A$1:$I$89,3,0)*0.475*44/12</f>
        <v>6.5804636854138403</v>
      </c>
      <c r="AB150" s="23">
        <f>EXP(-LN(2)/2)*AB149+(1-EXP(-LN(2)/2))/(LN(2)/2)*V150*Y150*VLOOKUP('Données projet'!$B$9,Paramètres!$A$1:$I$89,3,0)*0.475*44/12</f>
        <v>4.060554380206323E-5</v>
      </c>
      <c r="AC150" s="24">
        <f t="shared" si="111"/>
        <v>65.193216861565134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287.83167869616227</v>
      </c>
      <c r="AO150" s="62">
        <f t="shared" si="144"/>
        <v>233.84231920589906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63.39585064629803</v>
      </c>
      <c r="AV150" s="23">
        <f>EXP(-LN(2)/25)*AV149+(1-EXP(-LN(2)/25))/(LN(2)/25)*Calculateur!AQ150*Calculateur!AS150*VLOOKUP('Données projet'!$B$10,Paramètres!$A$1:$I$89,3,0)*0.475*44/12</f>
        <v>8.1539403333443463</v>
      </c>
      <c r="AW150" s="23">
        <f>EXP(-LN(2)/2)*AW149+(1-EXP(-LN(2)/2))/(LN(2)/2)*AQ150*AT150*VLOOKUP('Données projet'!$B$10,Paramètres!$A$1:$I$89,3,0)*0.475*44/12</f>
        <v>1.2573733247389008E-6</v>
      </c>
      <c r="AX150" s="23">
        <f t="shared" si="114"/>
        <v>71.549792237015708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-1.064108801074326E-13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262.36903350767881</v>
      </c>
      <c r="BJ150" s="62">
        <f t="shared" si="146"/>
        <v>331.21009482262417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30.680062202260647</v>
      </c>
      <c r="BQ150" s="23">
        <f>EXP(-LN(2)/25)*BQ149+(1-EXP(-LN(2)/25))/(LN(2)/25)*Calculateur!BL150*Calculateur!BN150*VLOOKUP('Données projet'!$B$11,Paramètres!$A$1:$I$89,3,0)*0.475*44/12</f>
        <v>3.6083005050825507</v>
      </c>
      <c r="BR150" s="23">
        <f>EXP(-LN(2)/2)*BR149+(1-EXP(-LN(2)/2))/(LN(2)/2)*BL150*BO150*VLOOKUP('Données projet'!$B$11,Paramètres!$A$1:$I$89,3,0)*0.475*44/12</f>
        <v>1.6013611494129368E-12</v>
      </c>
      <c r="BS150" s="24">
        <f t="shared" si="117"/>
        <v>34.288362707344795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8.3249999999999993</v>
      </c>
      <c r="BY150" s="13">
        <f>IF('Données projet'!$A$114&gt;35,BY149+BX150-CG149,IF(A150&lt;'Données projet'!$A$114,$BV$205^A150,IF(A150='Données projet'!$A$114,'Données projet'!$B$114,BY149+BX150-CG149)))</f>
        <v>432.19500000000056</v>
      </c>
      <c r="BZ150" s="14">
        <f>BY150*VLOOKUP('Données projet'!$B$12,Paramètres!$A$1:$I$89,3,0)*VLOOKUP('Données projet'!$B$12,Paramètres!$A$1:$I$89,5,0)</f>
        <v>418.01900400000051</v>
      </c>
      <c r="CA150" s="14">
        <f t="shared" si="147"/>
        <v>95.420321076398807</v>
      </c>
      <c r="CB150" s="22">
        <f t="shared" si="118"/>
        <v>894.24015784139544</v>
      </c>
      <c r="CC150" s="62">
        <f t="shared" si="119"/>
        <v>1187.5734911747288</v>
      </c>
      <c r="CD150" s="62">
        <f ca="1">AVERAGE(OFFSET($CC$3,0,0,'Données projet'!$E$12+1,1))-AVERAGE(OFFSET($H$3,0,0,'Données projet'!$E$12+1,1))</f>
        <v>618.83149423524605</v>
      </c>
      <c r="CE150" s="62">
        <f t="shared" si="148"/>
        <v>285.33582535802435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68.674054494834522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68.674054494834522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349.5718186624772</v>
      </c>
      <c r="CZ150" s="62">
        <f t="shared" si="150"/>
        <v>258.14152930815959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53.556278250549042</v>
      </c>
      <c r="DG150" s="23">
        <f>EXP(-LN(2)/25)*DG149+(1-EXP(-LN(2)/25))/(LN(2)/25)*Calculateur!DB150*Calculateur!DD150*VLOOKUP('Données projet'!$B$13,Paramètres!$A$1:$I$89,3,0)*0.475*44/12</f>
        <v>4.9234408409535169</v>
      </c>
      <c r="DH150" s="23">
        <f>EXP(-LN(2)/2)*DH149+(1-EXP(-LN(2)/2))/(LN(2)/2)*DB150*DE150*VLOOKUP('Données projet'!$B$13,Paramètres!$A$1:$I$89,3,0)*0.475*44/12</f>
        <v>2.6194205314543983E-9</v>
      </c>
      <c r="DI150" s="24">
        <f t="shared" si="123"/>
        <v>58.479719094121982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8.5265128291212022E-14</v>
      </c>
      <c r="DP150" s="18">
        <f>DO150*VLOOKUP('Données projet'!$B$14,Paramètres!$A$1:$I$89,3,0)*VLOOKUP('Données projet'!$B$14,Paramètres!$A$1:$I$89,5,0)</f>
        <v>7.4487616075202836E-14</v>
      </c>
      <c r="DQ150" s="14">
        <f t="shared" si="151"/>
        <v>1.1580453144473142E-12</v>
      </c>
      <c r="DR150" s="22">
        <f t="shared" si="124"/>
        <v>2.1466615206600508E-12</v>
      </c>
      <c r="DS150" s="62">
        <f t="shared" si="125"/>
        <v>293.33333333333547</v>
      </c>
      <c r="DT150" s="62">
        <f ca="1">AVERAGE(OFFSET($DS$3,0,0,'Données projet'!$E$14+1,1))-AVERAGE(OFFSET($H$3,0,0,'Données projet'!$E$14+1,1))</f>
        <v>300.63505444445104</v>
      </c>
      <c r="DU150" s="62">
        <f t="shared" si="152"/>
        <v>266.32508105927997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37.822817106630275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37.822817106630275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353.37024194969638</v>
      </c>
      <c r="EP150" s="62">
        <f t="shared" si="154"/>
        <v>345.4750813433123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41.192326318477868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41.192326318477868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8.5265128291212022E-14</v>
      </c>
      <c r="FF150" s="18">
        <f>FE150*VLOOKUP('Données projet'!$B$16,Paramètres!$A$1:$I$89,3,0)*VLOOKUP('Données projet'!$B$16,Paramètres!$A$1:$I$89,5,0)</f>
        <v>5.5865712056402117E-14</v>
      </c>
      <c r="FG150" s="14">
        <f t="shared" si="155"/>
        <v>8.9811031843713517E-13</v>
      </c>
      <c r="FH150" s="22">
        <f t="shared" si="130"/>
        <v>1.6615082531095774E-12</v>
      </c>
      <c r="FI150" s="62">
        <f t="shared" si="131"/>
        <v>293.33333333333496</v>
      </c>
      <c r="FJ150" s="62">
        <f ca="1">AVERAGE(OFFSET($FI$3,0,0,'Données projet'!$E$16+1,1))-AVERAGE(OFFSET($H$3,0,0,'Données projet'!$E$16+1,1))</f>
        <v>263.30962868541337</v>
      </c>
      <c r="FK150" s="62">
        <f t="shared" si="156"/>
        <v>269.61868559913404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26.637497160064207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26.637497160064207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262.06511368698341</v>
      </c>
      <c r="T151" s="62">
        <f t="shared" si="142"/>
        <v>217.15709240080542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57.463353027322505</v>
      </c>
      <c r="AA151" s="23">
        <f>EXP(-LN(2)/25)*AA150+(1-EXP(-LN(2)/25))/(LN(2)/25)*Calculateur!V151*Calculateur!X151*VLOOKUP('Données projet'!$B$9,Paramètres!$A$1:$I$89,3,0)*0.475*44/12</f>
        <v>6.4005205598846535</v>
      </c>
      <c r="AB151" s="23">
        <f>EXP(-LN(2)/2)*AB150+(1-EXP(-LN(2)/2))/(LN(2)/2)*V151*Y151*VLOOKUP('Données projet'!$B$9,Paramètres!$A$1:$I$89,3,0)*0.475*44/12</f>
        <v>2.8712455376206296E-5</v>
      </c>
      <c r="AC151" s="24">
        <f t="shared" si="111"/>
        <v>63.863902299662534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287.83167869616227</v>
      </c>
      <c r="AO151" s="62">
        <f t="shared" si="144"/>
        <v>233.84231920589906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62.152696682774909</v>
      </c>
      <c r="AV151" s="23">
        <f>EXP(-LN(2)/25)*AV150+(1-EXP(-LN(2)/25))/(LN(2)/25)*Calculateur!AQ151*Calculateur!AS151*VLOOKUP('Données projet'!$B$10,Paramètres!$A$1:$I$89,3,0)*0.475*44/12</f>
        <v>7.9309704061319595</v>
      </c>
      <c r="AW151" s="23">
        <f>EXP(-LN(2)/2)*AW150+(1-EXP(-LN(2)/2))/(LN(2)/2)*AQ151*AT151*VLOOKUP('Données projet'!$B$10,Paramètres!$A$1:$I$89,3,0)*0.475*44/12</f>
        <v>8.8909720440595167E-7</v>
      </c>
      <c r="AX151" s="23">
        <f t="shared" si="114"/>
        <v>70.083667978004073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-1.064108801074326E-13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262.36903350767881</v>
      </c>
      <c r="BJ151" s="62">
        <f t="shared" si="146"/>
        <v>331.21009482262417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30.078444895464504</v>
      </c>
      <c r="BQ151" s="23">
        <f>EXP(-LN(2)/25)*BQ150+(1-EXP(-LN(2)/25))/(LN(2)/25)*Calculateur!BL151*Calculateur!BN151*VLOOKUP('Données projet'!$B$11,Paramètres!$A$1:$I$89,3,0)*0.475*44/12</f>
        <v>3.5096313380187918</v>
      </c>
      <c r="BR151" s="23">
        <f>EXP(-LN(2)/2)*BR150+(1-EXP(-LN(2)/2))/(LN(2)/2)*BL151*BO151*VLOOKUP('Données projet'!$B$11,Paramètres!$A$1:$I$89,3,0)*0.475*44/12</f>
        <v>1.1323333278785718E-12</v>
      </c>
      <c r="BS151" s="24">
        <f t="shared" si="117"/>
        <v>33.588076233484422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8.3249999999999993</v>
      </c>
      <c r="BY151" s="13">
        <f>IF('Données projet'!$A$114&gt;35,BY150+BX151-CG150,IF(A151&lt;'Données projet'!$A$114,$BV$205^A151,IF(A151='Données projet'!$A$114,'Données projet'!$B$114,BY150+BX151-CG150)))</f>
        <v>440.52000000000055</v>
      </c>
      <c r="BZ151" s="14">
        <f>BY151*VLOOKUP('Données projet'!$B$12,Paramètres!$A$1:$I$89,3,0)*VLOOKUP('Données projet'!$B$12,Paramètres!$A$1:$I$89,5,0)</f>
        <v>426.07094400000051</v>
      </c>
      <c r="CA151" s="14">
        <f t="shared" si="147"/>
        <v>97.042569652153361</v>
      </c>
      <c r="CB151" s="22">
        <f t="shared" si="118"/>
        <v>911.08936961083464</v>
      </c>
      <c r="CC151" s="62">
        <f t="shared" si="119"/>
        <v>1204.4227029441679</v>
      </c>
      <c r="CD151" s="62">
        <f ca="1">AVERAGE(OFFSET($CC$3,0,0,'Données projet'!$E$12+1,1))-AVERAGE(OFFSET($H$3,0,0,'Données projet'!$E$12+1,1))</f>
        <v>618.83149423524605</v>
      </c>
      <c r="CE151" s="62">
        <f t="shared" si="148"/>
        <v>285.33582535802435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67.327398173228062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67.327398173228062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349.5718186624772</v>
      </c>
      <c r="CZ151" s="62">
        <f t="shared" si="150"/>
        <v>258.14152930815959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52.50607230016</v>
      </c>
      <c r="DG151" s="23">
        <f>EXP(-LN(2)/25)*DG150+(1-EXP(-LN(2)/25))/(LN(2)/25)*Calculateur!DB151*Calculateur!DD151*VLOOKUP('Données projet'!$B$13,Paramètres!$A$1:$I$89,3,0)*0.475*44/12</f>
        <v>4.7888090922451418</v>
      </c>
      <c r="DH151" s="23">
        <f>EXP(-LN(2)/2)*DH150+(1-EXP(-LN(2)/2))/(LN(2)/2)*DB151*DE151*VLOOKUP('Données projet'!$B$13,Paramètres!$A$1:$I$89,3,0)*0.475*44/12</f>
        <v>1.8522100205706755E-9</v>
      </c>
      <c r="DI151" s="24">
        <f t="shared" si="123"/>
        <v>57.294881394257352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8.5265128291212022E-14</v>
      </c>
      <c r="DP151" s="18">
        <f>DO151*VLOOKUP('Données projet'!$B$14,Paramètres!$A$1:$I$89,3,0)*VLOOKUP('Données projet'!$B$14,Paramètres!$A$1:$I$89,5,0)</f>
        <v>7.4487616075202836E-14</v>
      </c>
      <c r="DQ151" s="14">
        <f t="shared" si="151"/>
        <v>1.1580453144473142E-12</v>
      </c>
      <c r="DR151" s="22">
        <f t="shared" si="124"/>
        <v>2.1466615206600508E-12</v>
      </c>
      <c r="DS151" s="62">
        <f t="shared" si="125"/>
        <v>293.33333333333547</v>
      </c>
      <c r="DT151" s="62">
        <f ca="1">AVERAGE(OFFSET($DS$3,0,0,'Données projet'!$E$14+1,1))-AVERAGE(OFFSET($H$3,0,0,'Données projet'!$E$14+1,1))</f>
        <v>300.63505444445104</v>
      </c>
      <c r="DU151" s="62">
        <f t="shared" si="152"/>
        <v>266.32508105927997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37.081134732809751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37.081134732809751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353.37024194969638</v>
      </c>
      <c r="EP151" s="62">
        <f t="shared" si="154"/>
        <v>345.4750813433123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40.384569924210702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40.384569924210702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8.5265128291212022E-14</v>
      </c>
      <c r="FF151" s="18">
        <f>FE151*VLOOKUP('Données projet'!$B$16,Paramètres!$A$1:$I$89,3,0)*VLOOKUP('Données projet'!$B$16,Paramètres!$A$1:$I$89,5,0)</f>
        <v>5.5865712056402117E-14</v>
      </c>
      <c r="FG151" s="14">
        <f t="shared" si="155"/>
        <v>8.9811031843713517E-13</v>
      </c>
      <c r="FH151" s="22">
        <f t="shared" si="130"/>
        <v>1.6615082531095774E-12</v>
      </c>
      <c r="FI151" s="62">
        <f t="shared" si="131"/>
        <v>293.33333333333496</v>
      </c>
      <c r="FJ151" s="62">
        <f ca="1">AVERAGE(OFFSET($FI$3,0,0,'Données projet'!$E$16+1,1))-AVERAGE(OFFSET($H$3,0,0,'Données projet'!$E$16+1,1))</f>
        <v>263.30962868541337</v>
      </c>
      <c r="FK151" s="62">
        <f t="shared" si="156"/>
        <v>269.61868559913404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26.115152088024331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26.115152088024331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262.06511368698341</v>
      </c>
      <c r="T152" s="62">
        <f t="shared" si="142"/>
        <v>217.15709240080542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56.336531723641237</v>
      </c>
      <c r="AA152" s="23">
        <f>EXP(-LN(2)/25)*AA151+(1-EXP(-LN(2)/25))/(LN(2)/25)*Calculateur!V152*Calculateur!X152*VLOOKUP('Données projet'!$B$9,Paramètres!$A$1:$I$89,3,0)*0.475*44/12</f>
        <v>6.2254979885858601</v>
      </c>
      <c r="AB152" s="23">
        <f>EXP(-LN(2)/2)*AB151+(1-EXP(-LN(2)/2))/(LN(2)/2)*V152*Y152*VLOOKUP('Données projet'!$B$9,Paramètres!$A$1:$I$89,3,0)*0.475*44/12</f>
        <v>2.0302771901031615E-5</v>
      </c>
      <c r="AC152" s="24">
        <f t="shared" si="111"/>
        <v>62.562050014998995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287.83167869616227</v>
      </c>
      <c r="AO152" s="62">
        <f t="shared" si="144"/>
        <v>233.84231920589906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60.933920210227427</v>
      </c>
      <c r="AV152" s="23">
        <f>EXP(-LN(2)/25)*AV151+(1-EXP(-LN(2)/25))/(LN(2)/25)*Calculateur!AQ152*Calculateur!AS152*VLOOKUP('Données projet'!$B$10,Paramètres!$A$1:$I$89,3,0)*0.475*44/12</f>
        <v>7.7140976033046735</v>
      </c>
      <c r="AW152" s="23">
        <f>EXP(-LN(2)/2)*AW151+(1-EXP(-LN(2)/2))/(LN(2)/2)*AQ152*AT152*VLOOKUP('Données projet'!$B$10,Paramètres!$A$1:$I$89,3,0)*0.475*44/12</f>
        <v>6.2868666236945038E-7</v>
      </c>
      <c r="AX152" s="23">
        <f t="shared" si="114"/>
        <v>68.64801844221877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-1.064108801074326E-13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262.36903350767881</v>
      </c>
      <c r="BJ152" s="62">
        <f t="shared" si="146"/>
        <v>331.21009482262417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29.488624937104309</v>
      </c>
      <c r="BQ152" s="23">
        <f>EXP(-LN(2)/25)*BQ151+(1-EXP(-LN(2)/25))/(LN(2)/25)*Calculateur!BL152*Calculateur!BN152*VLOOKUP('Données projet'!$B$11,Paramètres!$A$1:$I$89,3,0)*0.475*44/12</f>
        <v>3.4136602845171771</v>
      </c>
      <c r="BR152" s="23">
        <f>EXP(-LN(2)/2)*BR151+(1-EXP(-LN(2)/2))/(LN(2)/2)*BL152*BO152*VLOOKUP('Données projet'!$B$11,Paramètres!$A$1:$I$89,3,0)*0.475*44/12</f>
        <v>8.0068057470646842E-13</v>
      </c>
      <c r="BS152" s="24">
        <f t="shared" si="117"/>
        <v>32.902285221622286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8.3249999999999993</v>
      </c>
      <c r="BY152" s="13">
        <f>IF('Données projet'!$A$114&gt;35,BY151+BX152-CG151,IF(A152&lt;'Données projet'!$A$114,$BV$205^A152,IF(A152='Données projet'!$A$114,'Données projet'!$B$114,BY151+BX152-CG151)))</f>
        <v>448.84500000000054</v>
      </c>
      <c r="BZ152" s="14">
        <f>BY152*VLOOKUP('Données projet'!$B$12,Paramètres!$A$1:$I$89,3,0)*VLOOKUP('Données projet'!$B$12,Paramètres!$A$1:$I$89,5,0)</f>
        <v>434.12288400000057</v>
      </c>
      <c r="CA152" s="14">
        <f t="shared" si="147"/>
        <v>98.661253398584833</v>
      </c>
      <c r="CB152" s="22">
        <f t="shared" si="118"/>
        <v>927.93237263586946</v>
      </c>
      <c r="CC152" s="62">
        <f t="shared" si="119"/>
        <v>1221.2657059692028</v>
      </c>
      <c r="CD152" s="62">
        <f ca="1">AVERAGE(OFFSET($CC$3,0,0,'Données projet'!$E$12+1,1))-AVERAGE(OFFSET($H$3,0,0,'Données projet'!$E$12+1,1))</f>
        <v>618.83149423524605</v>
      </c>
      <c r="CE152" s="62">
        <f t="shared" si="148"/>
        <v>285.33582535802435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66.007148960709046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66.007148960709046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349.5718186624772</v>
      </c>
      <c r="CZ152" s="62">
        <f t="shared" si="150"/>
        <v>258.14152930815959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51.476460247895709</v>
      </c>
      <c r="DG152" s="23">
        <f>EXP(-LN(2)/25)*DG151+(1-EXP(-LN(2)/25))/(LN(2)/25)*Calculateur!DB152*Calculateur!DD152*VLOOKUP('Données projet'!$B$13,Paramètres!$A$1:$I$89,3,0)*0.475*44/12</f>
        <v>4.6578588557851734</v>
      </c>
      <c r="DH152" s="23">
        <f>EXP(-LN(2)/2)*DH151+(1-EXP(-LN(2)/2))/(LN(2)/2)*DB152*DE152*VLOOKUP('Données projet'!$B$13,Paramètres!$A$1:$I$89,3,0)*0.475*44/12</f>
        <v>1.3097102657271994E-9</v>
      </c>
      <c r="DI152" s="24">
        <f t="shared" si="123"/>
        <v>56.134319104990588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8.5265128291212022E-14</v>
      </c>
      <c r="DP152" s="18">
        <f>DO152*VLOOKUP('Données projet'!$B$14,Paramètres!$A$1:$I$89,3,0)*VLOOKUP('Données projet'!$B$14,Paramètres!$A$1:$I$89,5,0)</f>
        <v>7.4487616075202836E-14</v>
      </c>
      <c r="DQ152" s="14">
        <f t="shared" si="151"/>
        <v>1.1580453144473142E-12</v>
      </c>
      <c r="DR152" s="22">
        <f t="shared" si="124"/>
        <v>2.1466615206600508E-12</v>
      </c>
      <c r="DS152" s="62">
        <f t="shared" si="125"/>
        <v>293.33333333333547</v>
      </c>
      <c r="DT152" s="62">
        <f ca="1">AVERAGE(OFFSET($DS$3,0,0,'Données projet'!$E$14+1,1))-AVERAGE(OFFSET($H$3,0,0,'Données projet'!$E$14+1,1))</f>
        <v>300.63505444445104</v>
      </c>
      <c r="DU152" s="62">
        <f t="shared" si="152"/>
        <v>266.32508105927997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36.353996297958268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36.353996297958268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353.37024194969638</v>
      </c>
      <c r="EP152" s="62">
        <f t="shared" si="154"/>
        <v>345.4750813433123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39.592653140152358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39.592653140152358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8.5265128291212022E-14</v>
      </c>
      <c r="FF152" s="18">
        <f>FE152*VLOOKUP('Données projet'!$B$16,Paramètres!$A$1:$I$89,3,0)*VLOOKUP('Données projet'!$B$16,Paramètres!$A$1:$I$89,5,0)</f>
        <v>5.5865712056402117E-14</v>
      </c>
      <c r="FG152" s="14">
        <f t="shared" si="155"/>
        <v>8.9811031843713517E-13</v>
      </c>
      <c r="FH152" s="22">
        <f t="shared" si="130"/>
        <v>1.6615082531095774E-12</v>
      </c>
      <c r="FI152" s="62">
        <f t="shared" si="131"/>
        <v>293.33333333333496</v>
      </c>
      <c r="FJ152" s="62">
        <f ca="1">AVERAGE(OFFSET($FI$3,0,0,'Données projet'!$E$16+1,1))-AVERAGE(OFFSET($H$3,0,0,'Données projet'!$E$16+1,1))</f>
        <v>263.30962868541337</v>
      </c>
      <c r="FK152" s="62">
        <f t="shared" si="156"/>
        <v>269.61868559913404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25.603049884248122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25.603049884248122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262.06511368698341</v>
      </c>
      <c r="T153" s="62">
        <f t="shared" si="142"/>
        <v>217.15709240080542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55.231806698432031</v>
      </c>
      <c r="AA153" s="23">
        <f>EXP(-LN(2)/25)*AA152+(1-EXP(-LN(2)/25))/(LN(2)/25)*Calculateur!V153*Calculateur!X153*VLOOKUP('Données projet'!$B$9,Paramètres!$A$1:$I$89,3,0)*0.475*44/12</f>
        <v>6.0552614187032692</v>
      </c>
      <c r="AB153" s="23">
        <f>EXP(-LN(2)/2)*AB152+(1-EXP(-LN(2)/2))/(LN(2)/2)*V153*Y153*VLOOKUP('Données projet'!$B$9,Paramètres!$A$1:$I$89,3,0)*0.475*44/12</f>
        <v>1.4356227688103148E-5</v>
      </c>
      <c r="AC153" s="24">
        <f t="shared" si="111"/>
        <v>61.287082473362986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287.83167869616227</v>
      </c>
      <c r="AO153" s="62">
        <f t="shared" si="144"/>
        <v>233.84231920589906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59.739043200926353</v>
      </c>
      <c r="AV153" s="23">
        <f>EXP(-LN(2)/25)*AV152+(1-EXP(-LN(2)/25))/(LN(2)/25)*Calculateur!AQ153*Calculateur!AS153*VLOOKUP('Données projet'!$B$10,Paramètres!$A$1:$I$89,3,0)*0.475*44/12</f>
        <v>7.5031551986755449</v>
      </c>
      <c r="AW153" s="23">
        <f>EXP(-LN(2)/2)*AW152+(1-EXP(-LN(2)/2))/(LN(2)/2)*AQ153*AT153*VLOOKUP('Données projet'!$B$10,Paramètres!$A$1:$I$89,3,0)*0.475*44/12</f>
        <v>4.4454860220297583E-7</v>
      </c>
      <c r="AX153" s="23">
        <f t="shared" si="114"/>
        <v>67.242198844150508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-1.064108801074326E-13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262.36903350767881</v>
      </c>
      <c r="BJ153" s="62">
        <f t="shared" si="146"/>
        <v>331.21009482262417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28.910370988372907</v>
      </c>
      <c r="BQ153" s="23">
        <f>EXP(-LN(2)/25)*BQ152+(1-EXP(-LN(2)/25))/(LN(2)/25)*Calculateur!BL153*Calculateur!BN153*VLOOKUP('Données projet'!$B$11,Paramètres!$A$1:$I$89,3,0)*0.475*44/12</f>
        <v>3.3203135645204624</v>
      </c>
      <c r="BR153" s="23">
        <f>EXP(-LN(2)/2)*BR152+(1-EXP(-LN(2)/2))/(LN(2)/2)*BL153*BO153*VLOOKUP('Données projet'!$B$11,Paramètres!$A$1:$I$89,3,0)*0.475*44/12</f>
        <v>5.6616666393928588E-13</v>
      </c>
      <c r="BS153" s="24">
        <f t="shared" si="117"/>
        <v>32.230684552893941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8.3249999999999993</v>
      </c>
      <c r="BY153" s="13">
        <f>IF('Données projet'!$A$114&gt;35,BY152+BX153-CG152,IF(A153&lt;'Données projet'!$A$114,$BV$205^A153,IF(A153='Données projet'!$A$114,'Données projet'!$B$114,BY152+BX153-CG152)))</f>
        <v>457.17000000000053</v>
      </c>
      <c r="BZ153" s="14">
        <f>BY153*VLOOKUP('Données projet'!$B$12,Paramètres!$A$1:$I$89,3,0)*VLOOKUP('Données projet'!$B$12,Paramètres!$A$1:$I$89,5,0)</f>
        <v>442.17482400000057</v>
      </c>
      <c r="CA153" s="14">
        <f t="shared" si="147"/>
        <v>100.27644605990184</v>
      </c>
      <c r="CB153" s="22">
        <f t="shared" si="118"/>
        <v>944.76929535432998</v>
      </c>
      <c r="CC153" s="62">
        <f t="shared" si="119"/>
        <v>1238.1026286876634</v>
      </c>
      <c r="CD153" s="62">
        <f ca="1">AVERAGE(OFFSET($CC$3,0,0,'Données projet'!$E$12+1,1))-AVERAGE(OFFSET($H$3,0,0,'Données projet'!$E$12+1,1))</f>
        <v>618.83149423524605</v>
      </c>
      <c r="CE153" s="62">
        <f t="shared" si="148"/>
        <v>285.33582535802435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64.712789029975028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64.712789029975028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349.5718186624772</v>
      </c>
      <c r="CZ153" s="62">
        <f t="shared" si="150"/>
        <v>258.14152930815959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50.467038259974977</v>
      </c>
      <c r="DG153" s="23">
        <f>EXP(-LN(2)/25)*DG152+(1-EXP(-LN(2)/25))/(LN(2)/25)*Calculateur!DB153*Calculateur!DD153*VLOOKUP('Données projet'!$B$13,Paramètres!$A$1:$I$89,3,0)*0.475*44/12</f>
        <v>4.5304894604275763</v>
      </c>
      <c r="DH153" s="23">
        <f>EXP(-LN(2)/2)*DH152+(1-EXP(-LN(2)/2))/(LN(2)/2)*DB153*DE153*VLOOKUP('Données projet'!$B$13,Paramètres!$A$1:$I$89,3,0)*0.475*44/12</f>
        <v>9.2610501028533784E-10</v>
      </c>
      <c r="DI153" s="24">
        <f t="shared" si="123"/>
        <v>54.997527721328659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8.5265128291212022E-14</v>
      </c>
      <c r="DP153" s="18">
        <f>DO153*VLOOKUP('Données projet'!$B$14,Paramètres!$A$1:$I$89,3,0)*VLOOKUP('Données projet'!$B$14,Paramètres!$A$1:$I$89,5,0)</f>
        <v>7.4487616075202836E-14</v>
      </c>
      <c r="DQ153" s="14">
        <f t="shared" si="151"/>
        <v>1.1580453144473142E-12</v>
      </c>
      <c r="DR153" s="22">
        <f t="shared" si="124"/>
        <v>2.1466615206600508E-12</v>
      </c>
      <c r="DS153" s="62">
        <f t="shared" si="125"/>
        <v>293.33333333333547</v>
      </c>
      <c r="DT153" s="62">
        <f ca="1">AVERAGE(OFFSET($DS$3,0,0,'Données projet'!$E$14+1,1))-AVERAGE(OFFSET($H$3,0,0,'Données projet'!$E$14+1,1))</f>
        <v>300.63505444445104</v>
      </c>
      <c r="DU153" s="62">
        <f t="shared" si="152"/>
        <v>266.32508105927997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35.641116604303569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35.641116604303569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353.37024194969638</v>
      </c>
      <c r="EP153" s="62">
        <f t="shared" si="154"/>
        <v>345.4750813433123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38.816265361207854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38.816265361207854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8.5265128291212022E-14</v>
      </c>
      <c r="FF153" s="18">
        <f>FE153*VLOOKUP('Données projet'!$B$16,Paramètres!$A$1:$I$89,3,0)*VLOOKUP('Données projet'!$B$16,Paramètres!$A$1:$I$89,5,0)</f>
        <v>5.5865712056402117E-14</v>
      </c>
      <c r="FG153" s="14">
        <f t="shared" si="155"/>
        <v>8.9811031843713517E-13</v>
      </c>
      <c r="FH153" s="22">
        <f t="shared" si="130"/>
        <v>1.6615082531095774E-12</v>
      </c>
      <c r="FI153" s="62">
        <f t="shared" si="131"/>
        <v>293.33333333333496</v>
      </c>
      <c r="FJ153" s="62">
        <f ca="1">AVERAGE(OFFSET($FI$3,0,0,'Données projet'!$E$16+1,1))-AVERAGE(OFFSET($H$3,0,0,'Données projet'!$E$16+1,1))</f>
        <v>263.30962868541337</v>
      </c>
      <c r="FK153" s="62">
        <f t="shared" si="156"/>
        <v>269.61868559913404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25.100989692336462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25.100989692336462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262.06511368698341</v>
      </c>
      <c r="T154" s="62">
        <f t="shared" si="142"/>
        <v>217.15709240080542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54.148744657151447</v>
      </c>
      <c r="AA154" s="23">
        <f>EXP(-LN(2)/25)*AA153+(1-EXP(-LN(2)/25))/(LN(2)/25)*Calculateur!V154*Calculateur!X154*VLOOKUP('Données projet'!$B$9,Paramètres!$A$1:$I$89,3,0)*0.475*44/12</f>
        <v>5.8896799767764696</v>
      </c>
      <c r="AB154" s="23">
        <f>EXP(-LN(2)/2)*AB153+(1-EXP(-LN(2)/2))/(LN(2)/2)*V154*Y154*VLOOKUP('Données projet'!$B$9,Paramètres!$A$1:$I$89,3,0)*0.475*44/12</f>
        <v>1.0151385950515807E-5</v>
      </c>
      <c r="AC154" s="24">
        <f t="shared" ref="AC154:AC203" si="163">SUM(Z154:AB154)</f>
        <v>60.038434785313868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287.83167869616227</v>
      </c>
      <c r="AO154" s="62">
        <f t="shared" si="144"/>
        <v>233.84231920589906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58.567597000974665</v>
      </c>
      <c r="AV154" s="23">
        <f>EXP(-LN(2)/25)*AV153+(1-EXP(-LN(2)/25))/(LN(2)/25)*Calculateur!AQ154*Calculateur!AS154*VLOOKUP('Données projet'!$B$10,Paramètres!$A$1:$I$89,3,0)*0.475*44/12</f>
        <v>7.2979810251939785</v>
      </c>
      <c r="AW154" s="23">
        <f>EXP(-LN(2)/2)*AW153+(1-EXP(-LN(2)/2))/(LN(2)/2)*AQ154*AT154*VLOOKUP('Données projet'!$B$10,Paramètres!$A$1:$I$89,3,0)*0.475*44/12</f>
        <v>3.1434333118472519E-7</v>
      </c>
      <c r="AX154" s="23">
        <f t="shared" ref="AX154:AX203" si="166">SUM(AU154:AW154)</f>
        <v>65.865578340511973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-1.064108801074326E-13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262.36903350767881</v>
      </c>
      <c r="BJ154" s="62">
        <f t="shared" si="146"/>
        <v>331.21009482262417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28.343456246876045</v>
      </c>
      <c r="BQ154" s="23">
        <f>EXP(-LN(2)/25)*BQ153+(1-EXP(-LN(2)/25))/(LN(2)/25)*Calculateur!BL154*Calculateur!BN154*VLOOKUP('Données projet'!$B$11,Paramètres!$A$1:$I$89,3,0)*0.475*44/12</f>
        <v>3.2295194154909486</v>
      </c>
      <c r="BR154" s="23">
        <f>EXP(-LN(2)/2)*BR153+(1-EXP(-LN(2)/2))/(LN(2)/2)*BL154*BO154*VLOOKUP('Données projet'!$B$11,Paramètres!$A$1:$I$89,3,0)*0.475*44/12</f>
        <v>4.0034028735323421E-13</v>
      </c>
      <c r="BS154" s="24">
        <f t="shared" ref="BS154:BS203" si="169">SUM(BP154:BR154)</f>
        <v>31.572975662367394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8.3249999999999993</v>
      </c>
      <c r="BY154" s="13">
        <f>IF('Données projet'!$A$114&gt;35,BY153+BX154-CG153,IF(A154&lt;'Données projet'!$A$114,$BV$205^A154,IF(A154='Données projet'!$A$114,'Données projet'!$B$114,BY153+BX154-CG153)))</f>
        <v>465.49500000000052</v>
      </c>
      <c r="BZ154" s="14">
        <f>BY154*VLOOKUP('Données projet'!$B$12,Paramètres!$A$1:$I$89,3,0)*VLOOKUP('Données projet'!$B$12,Paramètres!$A$1:$I$89,5,0)</f>
        <v>450.22676400000051</v>
      </c>
      <c r="CA154" s="14">
        <f t="shared" ref="CA154:CA203" si="170">EXP(-1.0587+0.8836*LN(BZ154)+0.284)</f>
        <v>101.88821854080018</v>
      </c>
      <c r="CB154" s="22">
        <f t="shared" ref="CB154:CB203" si="171">(BZ154+CA154)*0.475*44/12</f>
        <v>961.6002612585612</v>
      </c>
      <c r="CC154" s="62">
        <f t="shared" si="119"/>
        <v>1254.9335945918945</v>
      </c>
      <c r="CD154" s="62">
        <f ca="1">AVERAGE(OFFSET($CC$3,0,0,'Données projet'!$E$12+1,1))-AVERAGE(OFFSET($H$3,0,0,'Données projet'!$E$12+1,1))</f>
        <v>618.83149423524605</v>
      </c>
      <c r="CE154" s="62">
        <f t="shared" si="148"/>
        <v>285.33582535802435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63.443810708001095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63.443810708001095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349.5718186624772</v>
      </c>
      <c r="CZ154" s="62">
        <f t="shared" si="150"/>
        <v>258.14152930815959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49.477410421550751</v>
      </c>
      <c r="DG154" s="23">
        <f>EXP(-LN(2)/25)*DG153+(1-EXP(-LN(2)/25))/(LN(2)/25)*Calculateur!DB154*Calculateur!DD154*VLOOKUP('Données projet'!$B$13,Paramètres!$A$1:$I$89,3,0)*0.475*44/12</f>
        <v>4.4066029878840984</v>
      </c>
      <c r="DH154" s="23">
        <f>EXP(-LN(2)/2)*DH153+(1-EXP(-LN(2)/2))/(LN(2)/2)*DB154*DE154*VLOOKUP('Données projet'!$B$13,Paramètres!$A$1:$I$89,3,0)*0.475*44/12</f>
        <v>6.5485513286359978E-10</v>
      </c>
      <c r="DI154" s="24">
        <f t="shared" ref="DI154:DI203" si="175">SUM(DF154:DH154)</f>
        <v>53.884013410089707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8.5265128291212022E-14</v>
      </c>
      <c r="DP154" s="18">
        <f>DO154*VLOOKUP('Données projet'!$B$14,Paramètres!$A$1:$I$89,3,0)*VLOOKUP('Données projet'!$B$14,Paramètres!$A$1:$I$89,5,0)</f>
        <v>7.4487616075202836E-14</v>
      </c>
      <c r="DQ154" s="14">
        <f t="shared" ref="DQ154:DQ203" si="176">EXP(-1.0587+0.8836*LN(DP154)+0.284)</f>
        <v>1.1580453144473142E-12</v>
      </c>
      <c r="DR154" s="22">
        <f t="shared" ref="DR154:DR203" si="177">(DP154+DQ154)*0.475*44/12</f>
        <v>2.1466615206600508E-12</v>
      </c>
      <c r="DS154" s="62">
        <f t="shared" si="125"/>
        <v>293.33333333333547</v>
      </c>
      <c r="DT154" s="62">
        <f ca="1">AVERAGE(OFFSET($DS$3,0,0,'Données projet'!$E$14+1,1))-AVERAGE(OFFSET($H$3,0,0,'Données projet'!$E$14+1,1))</f>
        <v>300.63505444445104</v>
      </c>
      <c r="DU154" s="62">
        <f t="shared" si="152"/>
        <v>266.32508105927997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34.942216046627763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34.942216046627763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353.37024194969638</v>
      </c>
      <c r="EP154" s="62">
        <f t="shared" si="154"/>
        <v>345.4750813433123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38.05510207305867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38.05510207305867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8.5265128291212022E-14</v>
      </c>
      <c r="FF154" s="18">
        <f>FE154*VLOOKUP('Données projet'!$B$16,Paramètres!$A$1:$I$89,3,0)*VLOOKUP('Données projet'!$B$16,Paramètres!$A$1:$I$89,5,0)</f>
        <v>5.5865712056402117E-14</v>
      </c>
      <c r="FG154" s="14">
        <f t="shared" ref="FG154:FG203" si="182">EXP(-1.0587+0.8836*LN(FF154)+0.284)</f>
        <v>8.9811031843713517E-13</v>
      </c>
      <c r="FH154" s="22">
        <f t="shared" ref="FH154:FH203" si="183">(FF154+FG154)*0.475*44/12</f>
        <v>1.6615082531095774E-12</v>
      </c>
      <c r="FI154" s="62">
        <f t="shared" si="131"/>
        <v>293.33333333333496</v>
      </c>
      <c r="FJ154" s="62">
        <f ca="1">AVERAGE(OFFSET($FI$3,0,0,'Données projet'!$E$16+1,1))-AVERAGE(OFFSET($H$3,0,0,'Données projet'!$E$16+1,1))</f>
        <v>263.30962868541337</v>
      </c>
      <c r="FK154" s="62">
        <f t="shared" si="156"/>
        <v>269.61868559913404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24.608774594561709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24.608774594561709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262.06511368698341</v>
      </c>
      <c r="T155" s="62">
        <f t="shared" si="142"/>
        <v>217.15709240080542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53.086920801897755</v>
      </c>
      <c r="AA155" s="23">
        <f>EXP(-LN(2)/25)*AA154+(1-EXP(-LN(2)/25))/(LN(2)/25)*Calculateur!V155*Calculateur!X155*VLOOKUP('Données projet'!$B$9,Paramètres!$A$1:$I$89,3,0)*0.475*44/12</f>
        <v>5.728626368086708</v>
      </c>
      <c r="AB155" s="23">
        <f>EXP(-LN(2)/2)*AB154+(1-EXP(-LN(2)/2))/(LN(2)/2)*V155*Y155*VLOOKUP('Données projet'!$B$9,Paramètres!$A$1:$I$89,3,0)*0.475*44/12</f>
        <v>7.1781138440515739E-6</v>
      </c>
      <c r="AC155" s="24">
        <f t="shared" si="163"/>
        <v>58.81555434809831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287.83167869616227</v>
      </c>
      <c r="AO155" s="62">
        <f t="shared" si="144"/>
        <v>233.84231920589906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57.419122146492398</v>
      </c>
      <c r="AV155" s="23">
        <f>EXP(-LN(2)/25)*AV154+(1-EXP(-LN(2)/25))/(LN(2)/25)*Calculateur!AQ155*Calculateur!AS155*VLOOKUP('Données projet'!$B$10,Paramètres!$A$1:$I$89,3,0)*0.475*44/12</f>
        <v>7.0984173502759065</v>
      </c>
      <c r="AW155" s="23">
        <f>EXP(-LN(2)/2)*AW154+(1-EXP(-LN(2)/2))/(LN(2)/2)*AQ155*AT155*VLOOKUP('Données projet'!$B$10,Paramètres!$A$1:$I$89,3,0)*0.475*44/12</f>
        <v>2.2227430110148792E-7</v>
      </c>
      <c r="AX155" s="23">
        <f t="shared" si="166"/>
        <v>64.517539719042603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-1.064108801074326E-13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262.36903350767881</v>
      </c>
      <c r="BJ155" s="62">
        <f t="shared" si="146"/>
        <v>331.21009482262417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27.787658357676086</v>
      </c>
      <c r="BQ155" s="23">
        <f>EXP(-LN(2)/25)*BQ154+(1-EXP(-LN(2)/25))/(LN(2)/25)*Calculateur!BL155*Calculateur!BN155*VLOOKUP('Données projet'!$B$11,Paramètres!$A$1:$I$89,3,0)*0.475*44/12</f>
        <v>3.1412080372413036</v>
      </c>
      <c r="BR155" s="23">
        <f>EXP(-LN(2)/2)*BR154+(1-EXP(-LN(2)/2))/(LN(2)/2)*BL155*BO155*VLOOKUP('Données projet'!$B$11,Paramètres!$A$1:$I$89,3,0)*0.475*44/12</f>
        <v>2.8308333196964294E-13</v>
      </c>
      <c r="BS155" s="24">
        <f t="shared" si="169"/>
        <v>30.928866394917673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8.3249999999999993</v>
      </c>
      <c r="BY155" s="13">
        <f>IF('Données projet'!$A$114&gt;35,BY154+BX155-CG154,IF(A155&lt;'Données projet'!$A$114,$BV$205^A155,IF(A155='Données projet'!$A$114,'Données projet'!$B$114,BY154+BX155-CG154)))</f>
        <v>473.8200000000005</v>
      </c>
      <c r="BZ155" s="14">
        <f>BY155*VLOOKUP('Données projet'!$B$12,Paramètres!$A$1:$I$89,3,0)*VLOOKUP('Données projet'!$B$12,Paramètres!$A$1:$I$89,5,0)</f>
        <v>458.27870400000052</v>
      </c>
      <c r="CA155" s="14">
        <f t="shared" si="170"/>
        <v>103.49663906458966</v>
      </c>
      <c r="CB155" s="22">
        <f t="shared" si="171"/>
        <v>978.42538917082777</v>
      </c>
      <c r="CC155" s="62">
        <f t="shared" si="119"/>
        <v>1271.7587225041611</v>
      </c>
      <c r="CD155" s="62">
        <f ca="1">AVERAGE(OFFSET($CC$3,0,0,'Données projet'!$E$12+1,1))-AVERAGE(OFFSET($H$3,0,0,'Données projet'!$E$12+1,1))</f>
        <v>618.83149423524605</v>
      </c>
      <c r="CE155" s="62">
        <f t="shared" si="148"/>
        <v>285.33582535802435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62.199716276920725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62.199716276920725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349.5718186624772</v>
      </c>
      <c r="CZ155" s="62">
        <f t="shared" si="150"/>
        <v>258.14152930815959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48.507188581424643</v>
      </c>
      <c r="DG155" s="23">
        <f>EXP(-LN(2)/25)*DG154+(1-EXP(-LN(2)/25))/(LN(2)/25)*Calculateur!DB155*Calculateur!DD155*VLOOKUP('Données projet'!$B$13,Paramètres!$A$1:$I$89,3,0)*0.475*44/12</f>
        <v>4.2861041974472283</v>
      </c>
      <c r="DH155" s="23">
        <f>EXP(-LN(2)/2)*DH154+(1-EXP(-LN(2)/2))/(LN(2)/2)*DB155*DE155*VLOOKUP('Données projet'!$B$13,Paramètres!$A$1:$I$89,3,0)*0.475*44/12</f>
        <v>4.6305250514266897E-10</v>
      </c>
      <c r="DI155" s="24">
        <f t="shared" si="175"/>
        <v>52.793292779334926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8.5265128291212022E-14</v>
      </c>
      <c r="DP155" s="18">
        <f>DO155*VLOOKUP('Données projet'!$B$14,Paramètres!$A$1:$I$89,3,0)*VLOOKUP('Données projet'!$B$14,Paramètres!$A$1:$I$89,5,0)</f>
        <v>7.4487616075202836E-14</v>
      </c>
      <c r="DQ155" s="14">
        <f t="shared" si="176"/>
        <v>1.1580453144473142E-12</v>
      </c>
      <c r="DR155" s="22">
        <f t="shared" si="177"/>
        <v>2.1466615206600508E-12</v>
      </c>
      <c r="DS155" s="62">
        <f t="shared" si="125"/>
        <v>293.33333333333547</v>
      </c>
      <c r="DT155" s="62">
        <f ca="1">AVERAGE(OFFSET($DS$3,0,0,'Données projet'!$E$14+1,1))-AVERAGE(OFFSET($H$3,0,0,'Données projet'!$E$14+1,1))</f>
        <v>300.63505444445104</v>
      </c>
      <c r="DU155" s="62">
        <f t="shared" si="152"/>
        <v>266.32508105927997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34.257020502600732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34.257020502600732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353.37024194969638</v>
      </c>
      <c r="EP155" s="62">
        <f t="shared" si="154"/>
        <v>345.4750813433123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37.308864732726327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37.308864732726327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8.5265128291212022E-14</v>
      </c>
      <c r="FF155" s="18">
        <f>FE155*VLOOKUP('Données projet'!$B$16,Paramètres!$A$1:$I$89,3,0)*VLOOKUP('Données projet'!$B$16,Paramètres!$A$1:$I$89,5,0)</f>
        <v>5.5865712056402117E-14</v>
      </c>
      <c r="FG155" s="14">
        <f t="shared" si="182"/>
        <v>8.9811031843713517E-13</v>
      </c>
      <c r="FH155" s="22">
        <f t="shared" si="183"/>
        <v>1.6615082531095774E-12</v>
      </c>
      <c r="FI155" s="62">
        <f t="shared" si="131"/>
        <v>293.33333333333496</v>
      </c>
      <c r="FJ155" s="62">
        <f ca="1">AVERAGE(OFFSET($FI$3,0,0,'Données projet'!$E$16+1,1))-AVERAGE(OFFSET($H$3,0,0,'Données projet'!$E$16+1,1))</f>
        <v>263.30962868541337</v>
      </c>
      <c r="FK155" s="62">
        <f t="shared" si="156"/>
        <v>269.61868559913404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24.126211534632755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24.126211534632755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262.06511368698341</v>
      </c>
      <c r="T156" s="62">
        <f t="shared" si="142"/>
        <v>217.15709240080542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52.045918664796986</v>
      </c>
      <c r="AA156" s="23">
        <f>EXP(-LN(2)/25)*AA155+(1-EXP(-LN(2)/25))/(LN(2)/25)*Calculateur!V156*Calculateur!X156*VLOOKUP('Données projet'!$B$9,Paramètres!$A$1:$I$89,3,0)*0.475*44/12</f>
        <v>5.5719767787960093</v>
      </c>
      <c r="AB156" s="23">
        <f>EXP(-LN(2)/2)*AB155+(1-EXP(-LN(2)/2))/(LN(2)/2)*V156*Y156*VLOOKUP('Données projet'!$B$9,Paramètres!$A$1:$I$89,3,0)*0.475*44/12</f>
        <v>5.0756929752579037E-6</v>
      </c>
      <c r="AC156" s="24">
        <f t="shared" si="163"/>
        <v>57.617900519285968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287.83167869616227</v>
      </c>
      <c r="AO156" s="62">
        <f t="shared" si="144"/>
        <v>233.84231920589906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56.293168183406038</v>
      </c>
      <c r="AV156" s="23">
        <f>EXP(-LN(2)/25)*AV155+(1-EXP(-LN(2)/25))/(LN(2)/25)*Calculateur!AQ156*Calculateur!AS156*VLOOKUP('Données projet'!$B$10,Paramètres!$A$1:$I$89,3,0)*0.475*44/12</f>
        <v>6.9043107545430669</v>
      </c>
      <c r="AW156" s="23">
        <f>EXP(-LN(2)/2)*AW155+(1-EXP(-LN(2)/2))/(LN(2)/2)*AQ156*AT156*VLOOKUP('Données projet'!$B$10,Paramètres!$A$1:$I$89,3,0)*0.475*44/12</f>
        <v>1.5717166559236259E-7</v>
      </c>
      <c r="AX156" s="23">
        <f t="shared" si="166"/>
        <v>63.197479095120769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-1.064108801074326E-13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262.36903350767881</v>
      </c>
      <c r="BJ156" s="62">
        <f t="shared" si="146"/>
        <v>331.21009482262417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27.242759326080101</v>
      </c>
      <c r="BQ156" s="23">
        <f>EXP(-LN(2)/25)*BQ155+(1-EXP(-LN(2)/25))/(LN(2)/25)*Calculateur!BL156*Calculateur!BN156*VLOOKUP('Données projet'!$B$11,Paramètres!$A$1:$I$89,3,0)*0.475*44/12</f>
        <v>3.0553115382739886</v>
      </c>
      <c r="BR156" s="23">
        <f>EXP(-LN(2)/2)*BR155+(1-EXP(-LN(2)/2))/(LN(2)/2)*BL156*BO156*VLOOKUP('Données projet'!$B$11,Paramètres!$A$1:$I$89,3,0)*0.475*44/12</f>
        <v>2.0017014367661711E-13</v>
      </c>
      <c r="BS156" s="24">
        <f t="shared" si="169"/>
        <v>30.298070864354287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8.3249999999999993</v>
      </c>
      <c r="BY156" s="13">
        <f>IF('Données projet'!$A$114&gt;35,BY155+BX156-CG155,IF(A156&lt;'Données projet'!$A$114,$BV$205^A156,IF(A156='Données projet'!$A$114,'Données projet'!$B$114,BY155+BX156-CG155)))</f>
        <v>482.14500000000049</v>
      </c>
      <c r="BZ156" s="14">
        <f>BY156*VLOOKUP('Données projet'!$B$12,Paramètres!$A$1:$I$89,3,0)*VLOOKUP('Données projet'!$B$12,Paramètres!$A$1:$I$89,5,0)</f>
        <v>466.33064400000052</v>
      </c>
      <c r="CA156" s="14">
        <f t="shared" si="170"/>
        <v>105.10177331989394</v>
      </c>
      <c r="CB156" s="22">
        <f t="shared" si="171"/>
        <v>995.24479349881619</v>
      </c>
      <c r="CC156" s="62">
        <f t="shared" si="119"/>
        <v>1288.5781268321496</v>
      </c>
      <c r="CD156" s="62">
        <f ca="1">AVERAGE(OFFSET($CC$3,0,0,'Données projet'!$E$12+1,1))-AVERAGE(OFFSET($H$3,0,0,'Données projet'!$E$12+1,1))</f>
        <v>618.83149423524605</v>
      </c>
      <c r="CE156" s="62">
        <f t="shared" si="148"/>
        <v>285.33582535802435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60.980017778811167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60.980017778811167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349.5718186624772</v>
      </c>
      <c r="CZ156" s="62">
        <f t="shared" si="150"/>
        <v>258.14152930815959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47.555992199806518</v>
      </c>
      <c r="DG156" s="23">
        <f>EXP(-LN(2)/25)*DG155+(1-EXP(-LN(2)/25))/(LN(2)/25)*Calculateur!DB156*Calculateur!DD156*VLOOKUP('Données projet'!$B$13,Paramètres!$A$1:$I$89,3,0)*0.475*44/12</f>
        <v>4.1689004527716103</v>
      </c>
      <c r="DH156" s="23">
        <f>EXP(-LN(2)/2)*DH155+(1-EXP(-LN(2)/2))/(LN(2)/2)*DB156*DE156*VLOOKUP('Données projet'!$B$13,Paramètres!$A$1:$I$89,3,0)*0.475*44/12</f>
        <v>3.2742756643179994E-10</v>
      </c>
      <c r="DI156" s="24">
        <f t="shared" si="175"/>
        <v>51.724892652905552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8.5265128291212022E-14</v>
      </c>
      <c r="DP156" s="18">
        <f>DO156*VLOOKUP('Données projet'!$B$14,Paramètres!$A$1:$I$89,3,0)*VLOOKUP('Données projet'!$B$14,Paramètres!$A$1:$I$89,5,0)</f>
        <v>7.4487616075202836E-14</v>
      </c>
      <c r="DQ156" s="14">
        <f t="shared" si="176"/>
        <v>1.1580453144473142E-12</v>
      </c>
      <c r="DR156" s="22">
        <f t="shared" si="177"/>
        <v>2.1466615206600508E-12</v>
      </c>
      <c r="DS156" s="62">
        <f t="shared" si="125"/>
        <v>293.33333333333547</v>
      </c>
      <c r="DT156" s="62">
        <f ca="1">AVERAGE(OFFSET($DS$3,0,0,'Données projet'!$E$14+1,1))-AVERAGE(OFFSET($H$3,0,0,'Données projet'!$E$14+1,1))</f>
        <v>300.63505444445104</v>
      </c>
      <c r="DU156" s="62">
        <f t="shared" si="152"/>
        <v>266.32508105927997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33.585261225264055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33.585261225264055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353.37024194969638</v>
      </c>
      <c r="EP156" s="62">
        <f t="shared" si="154"/>
        <v>345.4750813433123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36.577260651478063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36.577260651478063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8.5265128291212022E-14</v>
      </c>
      <c r="FF156" s="18">
        <f>FE156*VLOOKUP('Données projet'!$B$16,Paramètres!$A$1:$I$89,3,0)*VLOOKUP('Données projet'!$B$16,Paramètres!$A$1:$I$89,5,0)</f>
        <v>5.5865712056402117E-14</v>
      </c>
      <c r="FG156" s="14">
        <f t="shared" si="182"/>
        <v>8.9811031843713517E-13</v>
      </c>
      <c r="FH156" s="22">
        <f t="shared" si="183"/>
        <v>1.6615082531095774E-12</v>
      </c>
      <c r="FI156" s="62">
        <f t="shared" si="131"/>
        <v>293.33333333333496</v>
      </c>
      <c r="FJ156" s="62">
        <f ca="1">AVERAGE(OFFSET($FI$3,0,0,'Données projet'!$E$16+1,1))-AVERAGE(OFFSET($H$3,0,0,'Données projet'!$E$16+1,1))</f>
        <v>263.30962868541337</v>
      </c>
      <c r="FK156" s="62">
        <f t="shared" si="156"/>
        <v>269.61868559913404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23.653111241974603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23.653111241974603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262.06511368698341</v>
      </c>
      <c r="T157" s="62">
        <f t="shared" si="142"/>
        <v>217.15709240080542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51.025329944656157</v>
      </c>
      <c r="AA157" s="23">
        <f>EXP(-LN(2)/25)*AA156+(1-EXP(-LN(2)/25))/(LN(2)/25)*Calculateur!V157*Calculateur!X157*VLOOKUP('Données projet'!$B$9,Paramètres!$A$1:$I$89,3,0)*0.475*44/12</f>
        <v>5.4196107807623086</v>
      </c>
      <c r="AB157" s="23">
        <f>EXP(-LN(2)/2)*AB156+(1-EXP(-LN(2)/2))/(LN(2)/2)*V157*Y157*VLOOKUP('Données projet'!$B$9,Paramètres!$A$1:$I$89,3,0)*0.475*44/12</f>
        <v>3.5890569220257869E-6</v>
      </c>
      <c r="AC157" s="24">
        <f t="shared" si="163"/>
        <v>56.444944314475386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287.83167869616227</v>
      </c>
      <c r="AO157" s="62">
        <f t="shared" si="144"/>
        <v>233.84231920589906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55.189293490771696</v>
      </c>
      <c r="AV157" s="23">
        <f>EXP(-LN(2)/25)*AV156+(1-EXP(-LN(2)/25))/(LN(2)/25)*Calculateur!AQ157*Calculateur!AS157*VLOOKUP('Données projet'!$B$10,Paramètres!$A$1:$I$89,3,0)*0.475*44/12</f>
        <v>6.7155120138781639</v>
      </c>
      <c r="AW157" s="23">
        <f>EXP(-LN(2)/2)*AW156+(1-EXP(-LN(2)/2))/(LN(2)/2)*AQ157*AT157*VLOOKUP('Données projet'!$B$10,Paramètres!$A$1:$I$89,3,0)*0.475*44/12</f>
        <v>1.1113715055074396E-7</v>
      </c>
      <c r="AX157" s="23">
        <f t="shared" si="166"/>
        <v>61.904805615787005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-1.064108801074326E-13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262.36903350767881</v>
      </c>
      <c r="BJ157" s="62">
        <f t="shared" si="146"/>
        <v>331.21009482262417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26.708545432138123</v>
      </c>
      <c r="BQ157" s="23">
        <f>EXP(-LN(2)/25)*BQ156+(1-EXP(-LN(2)/25))/(LN(2)/25)*Calculateur!BL157*Calculateur!BN157*VLOOKUP('Données projet'!$B$11,Paramètres!$A$1:$I$89,3,0)*0.475*44/12</f>
        <v>2.9717638835880358</v>
      </c>
      <c r="BR157" s="23">
        <f>EXP(-LN(2)/2)*BR156+(1-EXP(-LN(2)/2))/(LN(2)/2)*BL157*BO157*VLOOKUP('Données projet'!$B$11,Paramètres!$A$1:$I$89,3,0)*0.475*44/12</f>
        <v>1.4154166598482147E-13</v>
      </c>
      <c r="BS157" s="24">
        <f t="shared" si="169"/>
        <v>29.680309315726301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>
        <f>VLOOKUP(A157,'Données projet'!$A$113:$I$133,2,0)</f>
        <v>490.47</v>
      </c>
      <c r="BW157" s="13">
        <f>VLOOKUP(A157,'Données projet'!$A$113:$I$133,9,0)</f>
        <v>8.3249999999999993</v>
      </c>
      <c r="BX157" s="13">
        <f t="array" ref="BX157">INDEX(BW:BW,MIN(IF(ISNUMBER(BW157:BW353),ROW(BW157:BW353),"")))</f>
        <v>8.3249999999999993</v>
      </c>
      <c r="BY157" s="13">
        <f>IF('Données projet'!$A$114&gt;35,BY156+BX157-CG156,IF(A157&lt;'Données projet'!$A$114,$BV$205^A157,IF(A157='Données projet'!$A$114,'Données projet'!$B$114,BY156+BX157-CG156)))</f>
        <v>490.47000000000048</v>
      </c>
      <c r="BZ157" s="14">
        <f>BY157*VLOOKUP('Données projet'!$B$12,Paramètres!$A$1:$I$89,3,0)*VLOOKUP('Données projet'!$B$12,Paramètres!$A$1:$I$89,5,0)</f>
        <v>474.38258400000052</v>
      </c>
      <c r="CA157" s="14">
        <f t="shared" si="170"/>
        <v>106.70368459693037</v>
      </c>
      <c r="CB157" s="22">
        <f t="shared" si="171"/>
        <v>1012.0585844729879</v>
      </c>
      <c r="CC157" s="62">
        <f t="shared" si="119"/>
        <v>1305.3919178063213</v>
      </c>
      <c r="CD157" s="62">
        <f ca="1">AVERAGE(OFFSET($CC$3,0,0,'Données projet'!$E$12+1,1))-AVERAGE(OFFSET($H$3,0,0,'Données projet'!$E$12+1,1))</f>
        <v>618.83149423524605</v>
      </c>
      <c r="CE157" s="62">
        <f t="shared" si="148"/>
        <v>285.33582535802435</v>
      </c>
      <c r="CF157" s="16">
        <f>IF(ISNA(VLOOKUP(A157,'Données projet'!$A$113:$I$133,3,0)),0,VLOOKUP(A157,'Données projet'!$A$113:$I$133,3,0))</f>
        <v>13</v>
      </c>
      <c r="CG157" s="16">
        <f>IF(ISNA(VLOOKUP(A157,'Données projet'!$A$113:$I$133,4,0)),0,VLOOKUP(A157,'Données projet'!$A$113:$I$133,4,0))</f>
        <v>55.13</v>
      </c>
      <c r="CH157" s="17">
        <f>IF(ISNA(VLOOKUP(A157,'Données projet'!$A$113:$I$133,5,0)),0%,VLOOKUP(A157,'Données projet'!$A$113:$I$133,5,0)*VLOOKUP('Données projet'!$B$12,Paramètres!$A$1:$I$89,7,0))</f>
        <v>0.30099999999999999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77.526862344022916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77.526862344022916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349.5718186624772</v>
      </c>
      <c r="CZ157" s="62">
        <f t="shared" si="150"/>
        <v>258.14152930815959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46.623448199059418</v>
      </c>
      <c r="DG157" s="23">
        <f>EXP(-LN(2)/25)*DG156+(1-EXP(-LN(2)/25))/(LN(2)/25)*Calculateur!DB157*Calculateur!DD157*VLOOKUP('Données projet'!$B$13,Paramètres!$A$1:$I$89,3,0)*0.475*44/12</f>
        <v>4.0549016506576239</v>
      </c>
      <c r="DH157" s="23">
        <f>EXP(-LN(2)/2)*DH156+(1-EXP(-LN(2)/2))/(LN(2)/2)*DB157*DE157*VLOOKUP('Données projet'!$B$13,Paramètres!$A$1:$I$89,3,0)*0.475*44/12</f>
        <v>2.3152625257133454E-10</v>
      </c>
      <c r="DI157" s="24">
        <f t="shared" si="175"/>
        <v>50.678349849948567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8.5265128291212022E-14</v>
      </c>
      <c r="DP157" s="18">
        <f>DO157*VLOOKUP('Données projet'!$B$14,Paramètres!$A$1:$I$89,3,0)*VLOOKUP('Données projet'!$B$14,Paramètres!$A$1:$I$89,5,0)</f>
        <v>7.4487616075202836E-14</v>
      </c>
      <c r="DQ157" s="14">
        <f t="shared" si="176"/>
        <v>1.1580453144473142E-12</v>
      </c>
      <c r="DR157" s="22">
        <f t="shared" si="177"/>
        <v>2.1466615206600508E-12</v>
      </c>
      <c r="DS157" s="62">
        <f t="shared" si="125"/>
        <v>293.33333333333547</v>
      </c>
      <c r="DT157" s="62">
        <f ca="1">AVERAGE(OFFSET($DS$3,0,0,'Données projet'!$E$14+1,1))-AVERAGE(OFFSET($H$3,0,0,'Données projet'!$E$14+1,1))</f>
        <v>300.63505444445104</v>
      </c>
      <c r="DU157" s="62">
        <f t="shared" si="152"/>
        <v>266.32508105927997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32.926674737623252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32.926674737623252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353.37024194969638</v>
      </c>
      <c r="EP157" s="62">
        <f t="shared" si="154"/>
        <v>345.4750813433123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35.860002880028652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35.860002880028652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8.5265128291212022E-14</v>
      </c>
      <c r="FF157" s="18">
        <f>FE157*VLOOKUP('Données projet'!$B$16,Paramètres!$A$1:$I$89,3,0)*VLOOKUP('Données projet'!$B$16,Paramètres!$A$1:$I$89,5,0)</f>
        <v>5.5865712056402117E-14</v>
      </c>
      <c r="FG157" s="14">
        <f t="shared" si="182"/>
        <v>8.9811031843713517E-13</v>
      </c>
      <c r="FH157" s="22">
        <f t="shared" si="183"/>
        <v>1.6615082531095774E-12</v>
      </c>
      <c r="FI157" s="62">
        <f t="shared" si="131"/>
        <v>293.33333333333496</v>
      </c>
      <c r="FJ157" s="62">
        <f ca="1">AVERAGE(OFFSET($FI$3,0,0,'Données projet'!$E$16+1,1))-AVERAGE(OFFSET($H$3,0,0,'Données projet'!$E$16+1,1))</f>
        <v>263.30962868541337</v>
      </c>
      <c r="FK157" s="62">
        <f t="shared" si="156"/>
        <v>269.61868559913404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23.189288157492793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23.189288157492793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262.06511368698341</v>
      </c>
      <c r="T158" s="62">
        <f t="shared" si="142"/>
        <v>217.15709240080542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50.024754346819634</v>
      </c>
      <c r="AA158" s="23">
        <f>EXP(-LN(2)/25)*AA157+(1-EXP(-LN(2)/25))/(LN(2)/25)*Calculateur!V158*Calculateur!X158*VLOOKUP('Données projet'!$B$9,Paramètres!$A$1:$I$89,3,0)*0.475*44/12</f>
        <v>5.2714112389574188</v>
      </c>
      <c r="AB158" s="23">
        <f>EXP(-LN(2)/2)*AB157+(1-EXP(-LN(2)/2))/(LN(2)/2)*V158*Y158*VLOOKUP('Données projet'!$B$9,Paramètres!$A$1:$I$89,3,0)*0.475*44/12</f>
        <v>2.5378464876289519E-6</v>
      </c>
      <c r="AC158" s="24">
        <f t="shared" si="163"/>
        <v>55.296168123623545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287.83167869616227</v>
      </c>
      <c r="AO158" s="62">
        <f t="shared" si="144"/>
        <v>233.84231920589906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54.107065107562832</v>
      </c>
      <c r="AV158" s="23">
        <f>EXP(-LN(2)/25)*AV157+(1-EXP(-LN(2)/25))/(LN(2)/25)*Calculateur!AQ158*Calculateur!AS158*VLOOKUP('Données projet'!$B$10,Paramètres!$A$1:$I$89,3,0)*0.475*44/12</f>
        <v>6.5318759847052368</v>
      </c>
      <c r="AW158" s="23">
        <f>EXP(-LN(2)/2)*AW157+(1-EXP(-LN(2)/2))/(LN(2)/2)*AQ158*AT158*VLOOKUP('Données projet'!$B$10,Paramètres!$A$1:$I$89,3,0)*0.475*44/12</f>
        <v>7.8585832796181297E-8</v>
      </c>
      <c r="AX158" s="23">
        <f t="shared" si="166"/>
        <v>60.638941170853904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-1.064108801074326E-13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262.36903350767881</v>
      </c>
      <c r="BJ158" s="62">
        <f t="shared" si="146"/>
        <v>331.21009482262417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26.184807146818045</v>
      </c>
      <c r="BQ158" s="23">
        <f>EXP(-LN(2)/25)*BQ157+(1-EXP(-LN(2)/25))/(LN(2)/25)*Calculateur!BL158*Calculateur!BN158*VLOOKUP('Données projet'!$B$11,Paramètres!$A$1:$I$89,3,0)*0.475*44/12</f>
        <v>2.8905008439130504</v>
      </c>
      <c r="BR158" s="23">
        <f>EXP(-LN(2)/2)*BR157+(1-EXP(-LN(2)/2))/(LN(2)/2)*BL158*BO158*VLOOKUP('Données projet'!$B$11,Paramètres!$A$1:$I$89,3,0)*0.475*44/12</f>
        <v>1.0008507183830855E-13</v>
      </c>
      <c r="BS158" s="24">
        <f t="shared" si="169"/>
        <v>29.075307990731194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8.4429999999999943</v>
      </c>
      <c r="BY158" s="13">
        <f>IF('Données projet'!$A$114&gt;35,BY157+BX158-CG157,IF(A158&lt;'Données projet'!$A$114,$BV$205^A158,IF(A158='Données projet'!$A$114,'Données projet'!$B$114,BY157+BX158-CG157)))</f>
        <v>443.78300000000047</v>
      </c>
      <c r="BZ158" s="14">
        <f>BY158*VLOOKUP('Données projet'!$B$12,Paramètres!$A$1:$I$89,3,0)*VLOOKUP('Données projet'!$B$12,Paramètres!$A$1:$I$89,5,0)</f>
        <v>429.22691760000049</v>
      </c>
      <c r="CA158" s="14">
        <f t="shared" si="170"/>
        <v>97.677436558915673</v>
      </c>
      <c r="CB158" s="22">
        <f t="shared" si="171"/>
        <v>917.69175016011229</v>
      </c>
      <c r="CC158" s="62">
        <f t="shared" si="119"/>
        <v>1211.0250834934457</v>
      </c>
      <c r="CD158" s="62">
        <f ca="1">AVERAGE(OFFSET($CC$3,0,0,'Données projet'!$E$12+1,1))-AVERAGE(OFFSET($H$3,0,0,'Données projet'!$E$12+1,1))</f>
        <v>618.83149423524605</v>
      </c>
      <c r="CE158" s="62">
        <f t="shared" si="148"/>
        <v>285.33582535802435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76.006607860173474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76.006607860173474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349.5718186624772</v>
      </c>
      <c r="CZ158" s="62">
        <f t="shared" si="150"/>
        <v>258.14152930815959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45.709190817371294</v>
      </c>
      <c r="DG158" s="23">
        <f>EXP(-LN(2)/25)*DG157+(1-EXP(-LN(2)/25))/(LN(2)/25)*Calculateur!DB158*Calculateur!DD158*VLOOKUP('Données projet'!$B$13,Paramètres!$A$1:$I$89,3,0)*0.475*44/12</f>
        <v>3.944020151782381</v>
      </c>
      <c r="DH158" s="23">
        <f>EXP(-LN(2)/2)*DH157+(1-EXP(-LN(2)/2))/(LN(2)/2)*DB158*DE158*VLOOKUP('Données projet'!$B$13,Paramètres!$A$1:$I$89,3,0)*0.475*44/12</f>
        <v>1.637137832159E-10</v>
      </c>
      <c r="DI158" s="24">
        <f t="shared" si="175"/>
        <v>49.653210969317392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8.5265128291212022E-14</v>
      </c>
      <c r="DP158" s="18">
        <f>DO158*VLOOKUP('Données projet'!$B$14,Paramètres!$A$1:$I$89,3,0)*VLOOKUP('Données projet'!$B$14,Paramètres!$A$1:$I$89,5,0)</f>
        <v>7.4487616075202836E-14</v>
      </c>
      <c r="DQ158" s="14">
        <f t="shared" si="176"/>
        <v>1.1580453144473142E-12</v>
      </c>
      <c r="DR158" s="22">
        <f t="shared" si="177"/>
        <v>2.1466615206600508E-12</v>
      </c>
      <c r="DS158" s="62">
        <f t="shared" si="125"/>
        <v>293.33333333333547</v>
      </c>
      <c r="DT158" s="62">
        <f ca="1">AVERAGE(OFFSET($DS$3,0,0,'Données projet'!$E$14+1,1))-AVERAGE(OFFSET($H$3,0,0,'Données projet'!$E$14+1,1))</f>
        <v>300.63505444445104</v>
      </c>
      <c r="DU158" s="62">
        <f t="shared" si="152"/>
        <v>266.32508105927997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32.281002729306991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32.281002729306991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353.37024194969638</v>
      </c>
      <c r="EP158" s="62">
        <f t="shared" si="154"/>
        <v>345.4750813433123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35.156810095993322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35.156810095993322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8.5265128291212022E-14</v>
      </c>
      <c r="FF158" s="18">
        <f>FE158*VLOOKUP('Données projet'!$B$16,Paramètres!$A$1:$I$89,3,0)*VLOOKUP('Données projet'!$B$16,Paramètres!$A$1:$I$89,5,0)</f>
        <v>5.5865712056402117E-14</v>
      </c>
      <c r="FG158" s="14">
        <f t="shared" si="182"/>
        <v>8.9811031843713517E-13</v>
      </c>
      <c r="FH158" s="22">
        <f t="shared" si="183"/>
        <v>1.6615082531095774E-12</v>
      </c>
      <c r="FI158" s="62">
        <f t="shared" si="131"/>
        <v>293.33333333333496</v>
      </c>
      <c r="FJ158" s="62">
        <f ca="1">AVERAGE(OFFSET($FI$3,0,0,'Données projet'!$E$16+1,1))-AVERAGE(OFFSET($H$3,0,0,'Données projet'!$E$16+1,1))</f>
        <v>263.30962868541337</v>
      </c>
      <c r="FK158" s="62">
        <f t="shared" si="156"/>
        <v>269.61868559913404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22.734560360793527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22.734560360793527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262.06511368698341</v>
      </c>
      <c r="T159" s="62">
        <f t="shared" si="142"/>
        <v>217.15709240080542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49.043799426165833</v>
      </c>
      <c r="AA159" s="23">
        <f>EXP(-LN(2)/25)*AA158+(1-EXP(-LN(2)/25))/(LN(2)/25)*Calculateur!V159*Calculateur!X159*VLOOKUP('Données projet'!$B$9,Paramètres!$A$1:$I$89,3,0)*0.475*44/12</f>
        <v>5.1272642214166595</v>
      </c>
      <c r="AB159" s="23">
        <f>EXP(-LN(2)/2)*AB158+(1-EXP(-LN(2)/2))/(LN(2)/2)*V159*Y159*VLOOKUP('Données projet'!$B$9,Paramètres!$A$1:$I$89,3,0)*0.475*44/12</f>
        <v>1.7945284610128935E-6</v>
      </c>
      <c r="AC159" s="24">
        <f t="shared" si="163"/>
        <v>54.171065442110951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287.83167869616227</v>
      </c>
      <c r="AO159" s="62">
        <f t="shared" si="144"/>
        <v>233.84231920589906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53.046058562854562</v>
      </c>
      <c r="AV159" s="23">
        <f>EXP(-LN(2)/25)*AV158+(1-EXP(-LN(2)/25))/(LN(2)/25)*Calculateur!AQ159*Calculateur!AS159*VLOOKUP('Données projet'!$B$10,Paramètres!$A$1:$I$89,3,0)*0.475*44/12</f>
        <v>6.353261492407043</v>
      </c>
      <c r="AW159" s="23">
        <f>EXP(-LN(2)/2)*AW158+(1-EXP(-LN(2)/2))/(LN(2)/2)*AQ159*AT159*VLOOKUP('Données projet'!$B$10,Paramètres!$A$1:$I$89,3,0)*0.475*44/12</f>
        <v>5.5568575275371979E-8</v>
      </c>
      <c r="AX159" s="23">
        <f t="shared" si="166"/>
        <v>59.399320110830182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-1.064108801074326E-13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262.36903350767881</v>
      </c>
      <c r="BJ159" s="62">
        <f t="shared" si="146"/>
        <v>331.21009482262417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25.671339049824283</v>
      </c>
      <c r="BQ159" s="23">
        <f>EXP(-LN(2)/25)*BQ158+(1-EXP(-LN(2)/25))/(LN(2)/25)*Calculateur!BL159*Calculateur!BN159*VLOOKUP('Données projet'!$B$11,Paramètres!$A$1:$I$89,3,0)*0.475*44/12</f>
        <v>2.8114599463314152</v>
      </c>
      <c r="BR159" s="23">
        <f>EXP(-LN(2)/2)*BR158+(1-EXP(-LN(2)/2))/(LN(2)/2)*BL159*BO159*VLOOKUP('Données projet'!$B$11,Paramètres!$A$1:$I$89,3,0)*0.475*44/12</f>
        <v>7.0770832992410735E-14</v>
      </c>
      <c r="BS159" s="24">
        <f t="shared" si="169"/>
        <v>28.482798996155768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8.4429999999999943</v>
      </c>
      <c r="BY159" s="13">
        <f>IF('Données projet'!$A$114&gt;35,BY158+BX159-CG158,IF(A159&lt;'Données projet'!$A$114,$BV$205^A159,IF(A159='Données projet'!$A$114,'Données projet'!$B$114,BY158+BX159-CG158)))</f>
        <v>452.22600000000045</v>
      </c>
      <c r="BZ159" s="14">
        <f>BY159*VLOOKUP('Données projet'!$B$12,Paramètres!$A$1:$I$89,3,0)*VLOOKUP('Données projet'!$B$12,Paramètres!$A$1:$I$89,5,0)</f>
        <v>437.39298720000045</v>
      </c>
      <c r="CA159" s="14">
        <f t="shared" si="170"/>
        <v>99.317642270502773</v>
      </c>
      <c r="CB159" s="22">
        <f t="shared" si="171"/>
        <v>934.77101299445985</v>
      </c>
      <c r="CC159" s="62">
        <f t="shared" si="119"/>
        <v>1228.1043463277931</v>
      </c>
      <c r="CD159" s="62">
        <f ca="1">AVERAGE(OFFSET($CC$3,0,0,'Données projet'!$E$12+1,1))-AVERAGE(OFFSET($H$3,0,0,'Données projet'!$E$12+1,1))</f>
        <v>618.83149423524605</v>
      </c>
      <c r="CE159" s="62">
        <f t="shared" si="148"/>
        <v>285.33582535802435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74.51616463948865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74.51616463948865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349.5718186624772</v>
      </c>
      <c r="CZ159" s="62">
        <f t="shared" si="150"/>
        <v>258.14152930815959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44.812861465296137</v>
      </c>
      <c r="DG159" s="23">
        <f>EXP(-LN(2)/25)*DG158+(1-EXP(-LN(2)/25))/(LN(2)/25)*Calculateur!DB159*Calculateur!DD159*VLOOKUP('Données projet'!$B$13,Paramètres!$A$1:$I$89,3,0)*0.475*44/12</f>
        <v>3.8361707133248863</v>
      </c>
      <c r="DH159" s="23">
        <f>EXP(-LN(2)/2)*DH158+(1-EXP(-LN(2)/2))/(LN(2)/2)*DB159*DE159*VLOOKUP('Données projet'!$B$13,Paramètres!$A$1:$I$89,3,0)*0.475*44/12</f>
        <v>1.1576312628566728E-10</v>
      </c>
      <c r="DI159" s="24">
        <f t="shared" si="175"/>
        <v>48.649032178736789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8.5265128291212022E-14</v>
      </c>
      <c r="DP159" s="18">
        <f>DO159*VLOOKUP('Données projet'!$B$14,Paramètres!$A$1:$I$89,3,0)*VLOOKUP('Données projet'!$B$14,Paramètres!$A$1:$I$89,5,0)</f>
        <v>7.4487616075202836E-14</v>
      </c>
      <c r="DQ159" s="14">
        <f t="shared" si="176"/>
        <v>1.1580453144473142E-12</v>
      </c>
      <c r="DR159" s="22">
        <f t="shared" si="177"/>
        <v>2.1466615206600508E-12</v>
      </c>
      <c r="DS159" s="62">
        <f t="shared" si="125"/>
        <v>293.33333333333547</v>
      </c>
      <c r="DT159" s="62">
        <f ca="1">AVERAGE(OFFSET($DS$3,0,0,'Données projet'!$E$14+1,1))-AVERAGE(OFFSET($H$3,0,0,'Données projet'!$E$14+1,1))</f>
        <v>300.63505444445104</v>
      </c>
      <c r="DU159" s="62">
        <f t="shared" si="152"/>
        <v>266.32508105927997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31.64799195525277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31.64799195525277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353.37024194969638</v>
      </c>
      <c r="EP159" s="62">
        <f t="shared" si="154"/>
        <v>345.4750813433123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34.467406493547678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34.467406493547678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8.5265128291212022E-14</v>
      </c>
      <c r="FF159" s="18">
        <f>FE159*VLOOKUP('Données projet'!$B$16,Paramètres!$A$1:$I$89,3,0)*VLOOKUP('Données projet'!$B$16,Paramètres!$A$1:$I$89,5,0)</f>
        <v>5.5865712056402117E-14</v>
      </c>
      <c r="FG159" s="14">
        <f t="shared" si="182"/>
        <v>8.9811031843713517E-13</v>
      </c>
      <c r="FH159" s="22">
        <f t="shared" si="183"/>
        <v>1.6615082531095774E-12</v>
      </c>
      <c r="FI159" s="62">
        <f t="shared" si="131"/>
        <v>293.33333333333496</v>
      </c>
      <c r="FJ159" s="62">
        <f ca="1">AVERAGE(OFFSET($FI$3,0,0,'Données projet'!$E$16+1,1))-AVERAGE(OFFSET($H$3,0,0,'Données projet'!$E$16+1,1))</f>
        <v>263.30962868541337</v>
      </c>
      <c r="FK159" s="62">
        <f t="shared" si="156"/>
        <v>269.61868559913404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22.288749498830963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22.288749498830963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262.06511368698341</v>
      </c>
      <c r="T160" s="62">
        <f t="shared" si="142"/>
        <v>217.15709240080542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48.082080433182632</v>
      </c>
      <c r="AA160" s="23">
        <f>EXP(-LN(2)/25)*AA159+(1-EXP(-LN(2)/25))/(LN(2)/25)*Calculateur!V160*Calculateur!X160*VLOOKUP('Données projet'!$B$9,Paramètres!$A$1:$I$89,3,0)*0.475*44/12</f>
        <v>4.9870589116509141</v>
      </c>
      <c r="AB160" s="23">
        <f>EXP(-LN(2)/2)*AB159+(1-EXP(-LN(2)/2))/(LN(2)/2)*V160*Y160*VLOOKUP('Données projet'!$B$9,Paramètres!$A$1:$I$89,3,0)*0.475*44/12</f>
        <v>1.2689232438144759E-6</v>
      </c>
      <c r="AC160" s="24">
        <f t="shared" si="163"/>
        <v>53.069140613756787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287.83167869616227</v>
      </c>
      <c r="AO160" s="62">
        <f t="shared" si="144"/>
        <v>233.84231920589906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52.005857709337924</v>
      </c>
      <c r="AV160" s="23">
        <f>EXP(-LN(2)/25)*AV159+(1-EXP(-LN(2)/25))/(LN(2)/25)*Calculateur!AQ160*Calculateur!AS160*VLOOKUP('Données projet'!$B$10,Paramètres!$A$1:$I$89,3,0)*0.475*44/12</f>
        <v>6.1795312227936714</v>
      </c>
      <c r="AW160" s="23">
        <f>EXP(-LN(2)/2)*AW159+(1-EXP(-LN(2)/2))/(LN(2)/2)*AQ160*AT160*VLOOKUP('Données projet'!$B$10,Paramètres!$A$1:$I$89,3,0)*0.475*44/12</f>
        <v>3.9292916398090648E-8</v>
      </c>
      <c r="AX160" s="23">
        <f t="shared" si="166"/>
        <v>58.185388971424508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-1.064108801074326E-13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262.36903350767881</v>
      </c>
      <c r="BJ160" s="62">
        <f t="shared" si="146"/>
        <v>331.21009482262417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25.167939749027955</v>
      </c>
      <c r="BQ160" s="23">
        <f>EXP(-LN(2)/25)*BQ159+(1-EXP(-LN(2)/25))/(LN(2)/25)*Calculateur!BL160*Calculateur!BN160*VLOOKUP('Données projet'!$B$11,Paramètres!$A$1:$I$89,3,0)*0.475*44/12</f>
        <v>2.7345804262507296</v>
      </c>
      <c r="BR160" s="23">
        <f>EXP(-LN(2)/2)*BR159+(1-EXP(-LN(2)/2))/(LN(2)/2)*BL160*BO160*VLOOKUP('Données projet'!$B$11,Paramètres!$A$1:$I$89,3,0)*0.475*44/12</f>
        <v>5.0042535919154276E-14</v>
      </c>
      <c r="BS160" s="24">
        <f t="shared" si="169"/>
        <v>27.902520175278735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8.4429999999999943</v>
      </c>
      <c r="BY160" s="13">
        <f>IF('Données projet'!$A$114&gt;35,BY159+BX160-CG159,IF(A160&lt;'Données projet'!$A$114,$BV$205^A160,IF(A160='Données projet'!$A$114,'Données projet'!$B$114,BY159+BX160-CG159)))</f>
        <v>460.66900000000044</v>
      </c>
      <c r="BZ160" s="14">
        <f>BY160*VLOOKUP('Données projet'!$B$12,Paramètres!$A$1:$I$89,3,0)*VLOOKUP('Données projet'!$B$12,Paramètres!$A$1:$I$89,5,0)</f>
        <v>445.55905680000046</v>
      </c>
      <c r="CA160" s="14">
        <f t="shared" si="170"/>
        <v>100.95428718340372</v>
      </c>
      <c r="CB160" s="22">
        <f t="shared" si="171"/>
        <v>951.84407410442907</v>
      </c>
      <c r="CC160" s="62">
        <f t="shared" si="119"/>
        <v>1245.1774074377624</v>
      </c>
      <c r="CD160" s="62">
        <f ca="1">AVERAGE(OFFSET($CC$3,0,0,'Données projet'!$E$12+1,1))-AVERAGE(OFFSET($H$3,0,0,'Données projet'!$E$12+1,1))</f>
        <v>618.83149423524605</v>
      </c>
      <c r="CE160" s="62">
        <f t="shared" si="148"/>
        <v>285.33582535802435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73.054948101280857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73.054948101280857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349.5718186624772</v>
      </c>
      <c r="CZ160" s="62">
        <f t="shared" si="150"/>
        <v>258.14152930815959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43.934108585108248</v>
      </c>
      <c r="DG160" s="23">
        <f>EXP(-LN(2)/25)*DG159+(1-EXP(-LN(2)/25))/(LN(2)/25)*Calculateur!DB160*Calculateur!DD160*VLOOKUP('Données projet'!$B$13,Paramètres!$A$1:$I$89,3,0)*0.475*44/12</f>
        <v>3.7312704234335672</v>
      </c>
      <c r="DH160" s="23">
        <f>EXP(-LN(2)/2)*DH159+(1-EXP(-LN(2)/2))/(LN(2)/2)*DB160*DE160*VLOOKUP('Données projet'!$B$13,Paramètres!$A$1:$I$89,3,0)*0.475*44/12</f>
        <v>8.1856891607950011E-11</v>
      </c>
      <c r="DI160" s="24">
        <f t="shared" si="175"/>
        <v>47.665379008623667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8.5265128291212022E-14</v>
      </c>
      <c r="DP160" s="18">
        <f>DO160*VLOOKUP('Données projet'!$B$14,Paramètres!$A$1:$I$89,3,0)*VLOOKUP('Données projet'!$B$14,Paramètres!$A$1:$I$89,5,0)</f>
        <v>7.4487616075202836E-14</v>
      </c>
      <c r="DQ160" s="14">
        <f t="shared" si="176"/>
        <v>1.1580453144473142E-12</v>
      </c>
      <c r="DR160" s="22">
        <f t="shared" si="177"/>
        <v>2.1466615206600508E-12</v>
      </c>
      <c r="DS160" s="62">
        <f t="shared" si="125"/>
        <v>293.33333333333547</v>
      </c>
      <c r="DT160" s="62">
        <f ca="1">AVERAGE(OFFSET($DS$3,0,0,'Données projet'!$E$14+1,1))-AVERAGE(OFFSET($H$3,0,0,'Données projet'!$E$14+1,1))</f>
        <v>300.63505444445104</v>
      </c>
      <c r="DU160" s="62">
        <f t="shared" si="152"/>
        <v>266.32508105927997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31.027394136379307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31.027394136379307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353.37024194969638</v>
      </c>
      <c r="EP160" s="62">
        <f t="shared" si="154"/>
        <v>345.4750813433123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33.791521675251317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33.791521675251317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8.5265128291212022E-14</v>
      </c>
      <c r="FF160" s="18">
        <f>FE160*VLOOKUP('Données projet'!$B$16,Paramètres!$A$1:$I$89,3,0)*VLOOKUP('Données projet'!$B$16,Paramètres!$A$1:$I$89,5,0)</f>
        <v>5.5865712056402117E-14</v>
      </c>
      <c r="FG160" s="14">
        <f t="shared" si="182"/>
        <v>8.9811031843713517E-13</v>
      </c>
      <c r="FH160" s="22">
        <f t="shared" si="183"/>
        <v>1.6615082531095774E-12</v>
      </c>
      <c r="FI160" s="62">
        <f t="shared" si="131"/>
        <v>293.33333333333496</v>
      </c>
      <c r="FJ160" s="62">
        <f ca="1">AVERAGE(OFFSET($FI$3,0,0,'Données projet'!$E$16+1,1))-AVERAGE(OFFSET($H$3,0,0,'Données projet'!$E$16+1,1))</f>
        <v>263.30962868541337</v>
      </c>
      <c r="FK160" s="62">
        <f t="shared" si="156"/>
        <v>269.61868559913404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21.851680715953709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21.851680715953709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262.06511368698341</v>
      </c>
      <c r="T161" s="62">
        <f t="shared" si="142"/>
        <v>217.15709240080542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47.139220163061168</v>
      </c>
      <c r="AA161" s="23">
        <f>EXP(-LN(2)/25)*AA160+(1-EXP(-LN(2)/25))/(LN(2)/25)*Calculateur!V161*Calculateur!X161*VLOOKUP('Données projet'!$B$9,Paramètres!$A$1:$I$89,3,0)*0.475*44/12</f>
        <v>4.8506875234537894</v>
      </c>
      <c r="AB161" s="23">
        <f>EXP(-LN(2)/2)*AB160+(1-EXP(-LN(2)/2))/(LN(2)/2)*V161*Y161*VLOOKUP('Données projet'!$B$9,Paramètres!$A$1:$I$89,3,0)*0.475*44/12</f>
        <v>8.9726423050644674E-7</v>
      </c>
      <c r="AC161" s="24">
        <f t="shared" si="163"/>
        <v>51.989908583779183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287.83167869616227</v>
      </c>
      <c r="AO161" s="62">
        <f t="shared" si="144"/>
        <v>233.84231920589906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50.986054560098879</v>
      </c>
      <c r="AV161" s="23">
        <f>EXP(-LN(2)/25)*AV160+(1-EXP(-LN(2)/25))/(LN(2)/25)*Calculateur!AQ161*Calculateur!AS161*VLOOKUP('Données projet'!$B$10,Paramètres!$A$1:$I$89,3,0)*0.475*44/12</f>
        <v>6.0105516165389545</v>
      </c>
      <c r="AW161" s="23">
        <f>EXP(-LN(2)/2)*AW160+(1-EXP(-LN(2)/2))/(LN(2)/2)*AQ161*AT161*VLOOKUP('Données projet'!$B$10,Paramètres!$A$1:$I$89,3,0)*0.475*44/12</f>
        <v>2.778428763768599E-8</v>
      </c>
      <c r="AX161" s="23">
        <f t="shared" si="166"/>
        <v>56.996606204422122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-1.064108801074326E-13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262.36903350767881</v>
      </c>
      <c r="BJ161" s="62">
        <f t="shared" si="146"/>
        <v>331.21009482262417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24.674411801476985</v>
      </c>
      <c r="BQ161" s="23">
        <f>EXP(-LN(2)/25)*BQ160+(1-EXP(-LN(2)/25))/(LN(2)/25)*Calculateur!BL161*Calculateur!BN161*VLOOKUP('Données projet'!$B$11,Paramètres!$A$1:$I$89,3,0)*0.475*44/12</f>
        <v>2.6598031806895688</v>
      </c>
      <c r="BR161" s="23">
        <f>EXP(-LN(2)/2)*BR160+(1-EXP(-LN(2)/2))/(LN(2)/2)*BL161*BO161*VLOOKUP('Données projet'!$B$11,Paramètres!$A$1:$I$89,3,0)*0.475*44/12</f>
        <v>3.5385416496205367E-14</v>
      </c>
      <c r="BS161" s="24">
        <f t="shared" si="169"/>
        <v>27.334214982166589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8.4429999999999943</v>
      </c>
      <c r="BY161" s="13">
        <f>IF('Données projet'!$A$114&gt;35,BY160+BX161-CG160,IF(A161&lt;'Données projet'!$A$114,$BV$205^A161,IF(A161='Données projet'!$A$114,'Données projet'!$B$114,BY160+BX161-CG160)))</f>
        <v>469.11200000000042</v>
      </c>
      <c r="BZ161" s="14">
        <f>BY161*VLOOKUP('Données projet'!$B$12,Paramètres!$A$1:$I$89,3,0)*VLOOKUP('Données projet'!$B$12,Paramètres!$A$1:$I$89,5,0)</f>
        <v>453.72512640000042</v>
      </c>
      <c r="CA161" s="14">
        <f t="shared" si="170"/>
        <v>102.5874440858081</v>
      </c>
      <c r="CB161" s="22">
        <f t="shared" si="171"/>
        <v>968.91106026278305</v>
      </c>
      <c r="CC161" s="62">
        <f t="shared" si="119"/>
        <v>1262.2443935961164</v>
      </c>
      <c r="CD161" s="62">
        <f ca="1">AVERAGE(OFFSET($CC$3,0,0,'Données projet'!$E$12+1,1))-AVERAGE(OFFSET($H$3,0,0,'Données projet'!$E$12+1,1))</f>
        <v>618.83149423524605</v>
      </c>
      <c r="CE161" s="62">
        <f t="shared" si="148"/>
        <v>285.33582535802435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71.622385128133232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71.622385128133232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349.5718186624772</v>
      </c>
      <c r="CZ161" s="62">
        <f t="shared" si="150"/>
        <v>258.14152930815959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43.072587512914509</v>
      </c>
      <c r="DG161" s="23">
        <f>EXP(-LN(2)/25)*DG160+(1-EXP(-LN(2)/25))/(LN(2)/25)*Calculateur!DB161*Calculateur!DD161*VLOOKUP('Données projet'!$B$13,Paramètres!$A$1:$I$89,3,0)*0.475*44/12</f>
        <v>3.6292386374857926</v>
      </c>
      <c r="DH161" s="23">
        <f>EXP(-LN(2)/2)*DH160+(1-EXP(-LN(2)/2))/(LN(2)/2)*DB161*DE161*VLOOKUP('Données projet'!$B$13,Paramètres!$A$1:$I$89,3,0)*0.475*44/12</f>
        <v>5.7881563142833654E-11</v>
      </c>
      <c r="DI161" s="24">
        <f t="shared" si="175"/>
        <v>46.701826150458182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8.5265128291212022E-14</v>
      </c>
      <c r="DP161" s="18">
        <f>DO161*VLOOKUP('Données projet'!$B$14,Paramètres!$A$1:$I$89,3,0)*VLOOKUP('Données projet'!$B$14,Paramètres!$A$1:$I$89,5,0)</f>
        <v>7.4487616075202836E-14</v>
      </c>
      <c r="DQ161" s="14">
        <f t="shared" si="176"/>
        <v>1.1580453144473142E-12</v>
      </c>
      <c r="DR161" s="22">
        <f t="shared" si="177"/>
        <v>2.1466615206600508E-12</v>
      </c>
      <c r="DS161" s="62">
        <f t="shared" si="125"/>
        <v>293.33333333333547</v>
      </c>
      <c r="DT161" s="62">
        <f ca="1">AVERAGE(OFFSET($DS$3,0,0,'Données projet'!$E$14+1,1))-AVERAGE(OFFSET($H$3,0,0,'Données projet'!$E$14+1,1))</f>
        <v>300.63505444445104</v>
      </c>
      <c r="DU161" s="62">
        <f t="shared" si="152"/>
        <v>266.32508105927997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30.418965862206658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30.418965862206658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353.37024194969638</v>
      </c>
      <c r="EP161" s="62">
        <f t="shared" si="154"/>
        <v>345.4750813433123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33.128890545992711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33.128890545992711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8.5265128291212022E-14</v>
      </c>
      <c r="FF161" s="18">
        <f>FE161*VLOOKUP('Données projet'!$B$16,Paramètres!$A$1:$I$89,3,0)*VLOOKUP('Données projet'!$B$16,Paramètres!$A$1:$I$89,5,0)</f>
        <v>5.5865712056402117E-14</v>
      </c>
      <c r="FG161" s="14">
        <f t="shared" si="182"/>
        <v>8.9811031843713517E-13</v>
      </c>
      <c r="FH161" s="22">
        <f t="shared" si="183"/>
        <v>1.6615082531095774E-12</v>
      </c>
      <c r="FI161" s="62">
        <f t="shared" si="131"/>
        <v>293.33333333333496</v>
      </c>
      <c r="FJ161" s="62">
        <f ca="1">AVERAGE(OFFSET($FI$3,0,0,'Données projet'!$E$16+1,1))-AVERAGE(OFFSET($H$3,0,0,'Données projet'!$E$16+1,1))</f>
        <v>263.30962868541337</v>
      </c>
      <c r="FK161" s="62">
        <f t="shared" si="156"/>
        <v>269.61868559913404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21.42318258532304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21.42318258532304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262.06511368698341</v>
      </c>
      <c r="T162" s="62">
        <f t="shared" si="142"/>
        <v>217.15709240080542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46.214848807748808</v>
      </c>
      <c r="AA162" s="23">
        <f>EXP(-LN(2)/25)*AA161+(1-EXP(-LN(2)/25))/(LN(2)/25)*Calculateur!V162*Calculateur!X162*VLOOKUP('Données projet'!$B$9,Paramètres!$A$1:$I$89,3,0)*0.475*44/12</f>
        <v>4.718045218038375</v>
      </c>
      <c r="AB162" s="23">
        <f>EXP(-LN(2)/2)*AB161+(1-EXP(-LN(2)/2))/(LN(2)/2)*V162*Y162*VLOOKUP('Données projet'!$B$9,Paramètres!$A$1:$I$89,3,0)*0.475*44/12</f>
        <v>6.3446162190723797E-7</v>
      </c>
      <c r="AC162" s="24">
        <f t="shared" si="163"/>
        <v>50.932894660248806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287.83167869616227</v>
      </c>
      <c r="AO162" s="62">
        <f t="shared" si="144"/>
        <v>233.84231920589906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49.986249128597905</v>
      </c>
      <c r="AV162" s="23">
        <f>EXP(-LN(2)/25)*AV161+(1-EXP(-LN(2)/25))/(LN(2)/25)*Calculateur!AQ162*Calculateur!AS162*VLOOKUP('Données projet'!$B$10,Paramètres!$A$1:$I$89,3,0)*0.475*44/12</f>
        <v>5.8461927665035249</v>
      </c>
      <c r="AW162" s="23">
        <f>EXP(-LN(2)/2)*AW161+(1-EXP(-LN(2)/2))/(LN(2)/2)*AQ162*AT162*VLOOKUP('Données projet'!$B$10,Paramètres!$A$1:$I$89,3,0)*0.475*44/12</f>
        <v>1.9646458199045324E-8</v>
      </c>
      <c r="AX162" s="23">
        <f t="shared" si="166"/>
        <v>55.832441914747889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-1.064108801074326E-13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262.36903350767881</v>
      </c>
      <c r="BJ162" s="62">
        <f t="shared" si="146"/>
        <v>331.21009482262417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24.190561635955167</v>
      </c>
      <c r="BQ162" s="23">
        <f>EXP(-LN(2)/25)*BQ161+(1-EXP(-LN(2)/25))/(LN(2)/25)*Calculateur!BL162*Calculateur!BN162*VLOOKUP('Données projet'!$B$11,Paramètres!$A$1:$I$89,3,0)*0.475*44/12</f>
        <v>2.5870707228406422</v>
      </c>
      <c r="BR162" s="23">
        <f>EXP(-LN(2)/2)*BR161+(1-EXP(-LN(2)/2))/(LN(2)/2)*BL162*BO162*VLOOKUP('Données projet'!$B$11,Paramètres!$A$1:$I$89,3,0)*0.475*44/12</f>
        <v>2.5021267959577138E-14</v>
      </c>
      <c r="BS162" s="24">
        <f t="shared" si="169"/>
        <v>26.777632358795834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8.4429999999999943</v>
      </c>
      <c r="BY162" s="13">
        <f>IF('Données projet'!$A$114&gt;35,BY161+BX162-CG161,IF(A162&lt;'Données projet'!$A$114,$BV$205^A162,IF(A162='Données projet'!$A$114,'Données projet'!$B$114,BY161+BX162-CG161)))</f>
        <v>477.5550000000004</v>
      </c>
      <c r="BZ162" s="14">
        <f>BY162*VLOOKUP('Données projet'!$B$12,Paramètres!$A$1:$I$89,3,0)*VLOOKUP('Données projet'!$B$12,Paramètres!$A$1:$I$89,5,0)</f>
        <v>461.89119600000043</v>
      </c>
      <c r="CA162" s="14">
        <f t="shared" si="170"/>
        <v>104.21718299581295</v>
      </c>
      <c r="CB162" s="22">
        <f t="shared" si="171"/>
        <v>985.97209341770815</v>
      </c>
      <c r="CC162" s="62">
        <f t="shared" si="119"/>
        <v>1279.3054267510415</v>
      </c>
      <c r="CD162" s="62">
        <f ca="1">AVERAGE(OFFSET($CC$3,0,0,'Données projet'!$E$12+1,1))-AVERAGE(OFFSET($H$3,0,0,'Données projet'!$E$12+1,1))</f>
        <v>618.83149423524605</v>
      </c>
      <c r="CE162" s="62">
        <f t="shared" si="148"/>
        <v>285.33582535802435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70.217913841111894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70.217913841111894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349.5718186624772</v>
      </c>
      <c r="CZ162" s="62">
        <f t="shared" si="150"/>
        <v>258.14152930815959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42.227960343470528</v>
      </c>
      <c r="DG162" s="23">
        <f>EXP(-LN(2)/25)*DG161+(1-EXP(-LN(2)/25))/(LN(2)/25)*Calculateur!DB162*Calculateur!DD162*VLOOKUP('Données projet'!$B$13,Paramètres!$A$1:$I$89,3,0)*0.475*44/12</f>
        <v>3.5299969160903784</v>
      </c>
      <c r="DH162" s="23">
        <f>EXP(-LN(2)/2)*DH161+(1-EXP(-LN(2)/2))/(LN(2)/2)*DB162*DE162*VLOOKUP('Données projet'!$B$13,Paramètres!$A$1:$I$89,3,0)*0.475*44/12</f>
        <v>4.0928445803975012E-11</v>
      </c>
      <c r="DI162" s="24">
        <f t="shared" si="175"/>
        <v>45.757957259601831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8.5265128291212022E-14</v>
      </c>
      <c r="DP162" s="18">
        <f>DO162*VLOOKUP('Données projet'!$B$14,Paramètres!$A$1:$I$89,3,0)*VLOOKUP('Données projet'!$B$14,Paramètres!$A$1:$I$89,5,0)</f>
        <v>7.4487616075202836E-14</v>
      </c>
      <c r="DQ162" s="14">
        <f t="shared" si="176"/>
        <v>1.1580453144473142E-12</v>
      </c>
      <c r="DR162" s="22">
        <f t="shared" si="177"/>
        <v>2.1466615206600508E-12</v>
      </c>
      <c r="DS162" s="62">
        <f t="shared" si="125"/>
        <v>293.33333333333547</v>
      </c>
      <c r="DT162" s="62">
        <f ca="1">AVERAGE(OFFSET($DS$3,0,0,'Données projet'!$E$14+1,1))-AVERAGE(OFFSET($H$3,0,0,'Données projet'!$E$14+1,1))</f>
        <v>300.63505444445104</v>
      </c>
      <c r="DU162" s="62">
        <f t="shared" si="152"/>
        <v>266.32508105927997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29.822468495385934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29.822468495385934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353.37024194969638</v>
      </c>
      <c r="EP162" s="62">
        <f t="shared" si="154"/>
        <v>345.4750813433123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32.479253209013791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32.479253209013791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8.5265128291212022E-14</v>
      </c>
      <c r="FF162" s="18">
        <f>FE162*VLOOKUP('Données projet'!$B$16,Paramètres!$A$1:$I$89,3,0)*VLOOKUP('Données projet'!$B$16,Paramètres!$A$1:$I$89,5,0)</f>
        <v>5.5865712056402117E-14</v>
      </c>
      <c r="FG162" s="14">
        <f t="shared" si="182"/>
        <v>8.9811031843713517E-13</v>
      </c>
      <c r="FH162" s="22">
        <f t="shared" si="183"/>
        <v>1.6615082531095774E-12</v>
      </c>
      <c r="FI162" s="62">
        <f t="shared" si="131"/>
        <v>293.33333333333496</v>
      </c>
      <c r="FJ162" s="62">
        <f ca="1">AVERAGE(OFFSET($FI$3,0,0,'Données projet'!$E$16+1,1))-AVERAGE(OFFSET($H$3,0,0,'Données projet'!$E$16+1,1))</f>
        <v>263.30962868541337</v>
      </c>
      <c r="FK162" s="62">
        <f t="shared" si="156"/>
        <v>269.61868559913404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21.00308704167599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21.00308704167599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262.06511368698341</v>
      </c>
      <c r="T163" s="62">
        <f t="shared" si="142"/>
        <v>217.15709240080542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45.308603810903264</v>
      </c>
      <c r="AA163" s="23">
        <f>EXP(-LN(2)/25)*AA162+(1-EXP(-LN(2)/25))/(LN(2)/25)*Calculateur!V163*Calculateur!X163*VLOOKUP('Données projet'!$B$9,Paramètres!$A$1:$I$89,3,0)*0.475*44/12</f>
        <v>4.5890300234399009</v>
      </c>
      <c r="AB163" s="23">
        <f>EXP(-LN(2)/2)*AB162+(1-EXP(-LN(2)/2))/(LN(2)/2)*V163*Y163*VLOOKUP('Données projet'!$B$9,Paramètres!$A$1:$I$89,3,0)*0.475*44/12</f>
        <v>4.4863211525322337E-7</v>
      </c>
      <c r="AC163" s="24">
        <f t="shared" si="163"/>
        <v>49.897634282975282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287.83167869616227</v>
      </c>
      <c r="AO163" s="62">
        <f t="shared" si="144"/>
        <v>233.84231920589906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49.006049271787568</v>
      </c>
      <c r="AV163" s="23">
        <f>EXP(-LN(2)/25)*AV162+(1-EXP(-LN(2)/25))/(LN(2)/25)*Calculateur!AQ163*Calculateur!AS163*VLOOKUP('Données projet'!$B$10,Paramètres!$A$1:$I$89,3,0)*0.475*44/12</f>
        <v>5.6863283178655699</v>
      </c>
      <c r="AW163" s="23">
        <f>EXP(-LN(2)/2)*AW162+(1-EXP(-LN(2)/2))/(LN(2)/2)*AQ163*AT163*VLOOKUP('Données projet'!$B$10,Paramètres!$A$1:$I$89,3,0)*0.475*44/12</f>
        <v>1.3892143818842995E-8</v>
      </c>
      <c r="AX163" s="23">
        <f t="shared" si="166"/>
        <v>54.692377603545275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-1.064108801074326E-13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262.36903350767881</v>
      </c>
      <c r="BJ163" s="62">
        <f t="shared" si="146"/>
        <v>331.21009482262417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23.716199477059771</v>
      </c>
      <c r="BQ163" s="23">
        <f>EXP(-LN(2)/25)*BQ162+(1-EXP(-LN(2)/25))/(LN(2)/25)*Calculateur!BL163*Calculateur!BN163*VLOOKUP('Données projet'!$B$11,Paramètres!$A$1:$I$89,3,0)*0.475*44/12</f>
        <v>2.5163271378764285</v>
      </c>
      <c r="BR163" s="23">
        <f>EXP(-LN(2)/2)*BR162+(1-EXP(-LN(2)/2))/(LN(2)/2)*BL163*BO163*VLOOKUP('Données projet'!$B$11,Paramètres!$A$1:$I$89,3,0)*0.475*44/12</f>
        <v>1.7692708248102684E-14</v>
      </c>
      <c r="BS163" s="24">
        <f t="shared" si="169"/>
        <v>26.232526614936216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8.4429999999999943</v>
      </c>
      <c r="BY163" s="13">
        <f>IF('Données projet'!$A$114&gt;35,BY162+BX163-CG162,IF(A163&lt;'Données projet'!$A$114,$BV$205^A163,IF(A163='Données projet'!$A$114,'Données projet'!$B$114,BY162+BX163-CG162)))</f>
        <v>485.99800000000039</v>
      </c>
      <c r="BZ163" s="14">
        <f>BY163*VLOOKUP('Données projet'!$B$12,Paramètres!$A$1:$I$89,3,0)*VLOOKUP('Données projet'!$B$12,Paramètres!$A$1:$I$89,5,0)</f>
        <v>470.05726560000039</v>
      </c>
      <c r="CA163" s="14">
        <f t="shared" si="170"/>
        <v>105.843571313921</v>
      </c>
      <c r="CB163" s="22">
        <f t="shared" si="171"/>
        <v>1003.0272909584129</v>
      </c>
      <c r="CC163" s="62">
        <f t="shared" si="119"/>
        <v>1296.3606242917463</v>
      </c>
      <c r="CD163" s="62">
        <f ca="1">AVERAGE(OFFSET($CC$3,0,0,'Données projet'!$E$12+1,1))-AVERAGE(OFFSET($H$3,0,0,'Données projet'!$E$12+1,1))</f>
        <v>618.83149423524605</v>
      </c>
      <c r="CE163" s="62">
        <f t="shared" si="148"/>
        <v>285.33582535802435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68.840983379386145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68.840983379386145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349.5718186624772</v>
      </c>
      <c r="CZ163" s="62">
        <f t="shared" si="150"/>
        <v>258.14152930815959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41.399895797647638</v>
      </c>
      <c r="DG163" s="23">
        <f>EXP(-LN(2)/25)*DG162+(1-EXP(-LN(2)/25))/(LN(2)/25)*Calculateur!DB163*Calculateur!DD163*VLOOKUP('Données projet'!$B$13,Paramètres!$A$1:$I$89,3,0)*0.475*44/12</f>
        <v>3.4334689647854169</v>
      </c>
      <c r="DH163" s="23">
        <f>EXP(-LN(2)/2)*DH162+(1-EXP(-LN(2)/2))/(LN(2)/2)*DB163*DE163*VLOOKUP('Données projet'!$B$13,Paramètres!$A$1:$I$89,3,0)*0.475*44/12</f>
        <v>2.894078157141683E-11</v>
      </c>
      <c r="DI163" s="24">
        <f t="shared" si="175"/>
        <v>44.833364762461997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8.5265128291212022E-14</v>
      </c>
      <c r="DP163" s="18">
        <f>DO163*VLOOKUP('Données projet'!$B$14,Paramètres!$A$1:$I$89,3,0)*VLOOKUP('Données projet'!$B$14,Paramètres!$A$1:$I$89,5,0)</f>
        <v>7.4487616075202836E-14</v>
      </c>
      <c r="DQ163" s="14">
        <f t="shared" si="176"/>
        <v>1.1580453144473142E-12</v>
      </c>
      <c r="DR163" s="22">
        <f t="shared" si="177"/>
        <v>2.1466615206600508E-12</v>
      </c>
      <c r="DS163" s="62">
        <f t="shared" si="125"/>
        <v>293.33333333333547</v>
      </c>
      <c r="DT163" s="62">
        <f ca="1">AVERAGE(OFFSET($DS$3,0,0,'Données projet'!$E$14+1,1))-AVERAGE(OFFSET($H$3,0,0,'Données projet'!$E$14+1,1))</f>
        <v>300.63505444445104</v>
      </c>
      <c r="DU163" s="62">
        <f t="shared" si="152"/>
        <v>266.32508105927997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29.237668078101095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29.237668078101095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353.37024194969638</v>
      </c>
      <c r="EP163" s="62">
        <f t="shared" si="154"/>
        <v>345.4750813433123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31.842354863973373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31.842354863973373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8.5265128291212022E-14</v>
      </c>
      <c r="FF163" s="18">
        <f>FE163*VLOOKUP('Données projet'!$B$16,Paramètres!$A$1:$I$89,3,0)*VLOOKUP('Données projet'!$B$16,Paramètres!$A$1:$I$89,5,0)</f>
        <v>5.5865712056402117E-14</v>
      </c>
      <c r="FG163" s="14">
        <f t="shared" si="182"/>
        <v>8.9811031843713517E-13</v>
      </c>
      <c r="FH163" s="22">
        <f t="shared" si="183"/>
        <v>1.6615082531095774E-12</v>
      </c>
      <c r="FI163" s="62">
        <f t="shared" si="131"/>
        <v>293.33333333333496</v>
      </c>
      <c r="FJ163" s="62">
        <f ca="1">AVERAGE(OFFSET($FI$3,0,0,'Données projet'!$E$16+1,1))-AVERAGE(OFFSET($H$3,0,0,'Données projet'!$E$16+1,1))</f>
        <v>263.30962868541337</v>
      </c>
      <c r="FK163" s="62">
        <f t="shared" si="156"/>
        <v>269.61868559913404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20.591229315406874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20.591229315406874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262.06511368698341</v>
      </c>
      <c r="T164" s="62">
        <f t="shared" si="142"/>
        <v>217.15709240080542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44.420129725690998</v>
      </c>
      <c r="AA164" s="23">
        <f>EXP(-LN(2)/25)*AA163+(1-EXP(-LN(2)/25))/(LN(2)/25)*Calculateur!V164*Calculateur!X164*VLOOKUP('Données projet'!$B$9,Paramètres!$A$1:$I$89,3,0)*0.475*44/12</f>
        <v>4.4635427561223366</v>
      </c>
      <c r="AB164" s="23">
        <f>EXP(-LN(2)/2)*AB163+(1-EXP(-LN(2)/2))/(LN(2)/2)*V164*Y164*VLOOKUP('Données projet'!$B$9,Paramètres!$A$1:$I$89,3,0)*0.475*44/12</f>
        <v>3.1723081095361898E-7</v>
      </c>
      <c r="AC164" s="24">
        <f t="shared" si="163"/>
        <v>48.883672799044149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287.83167869616227</v>
      </c>
      <c r="AO164" s="62">
        <f t="shared" si="144"/>
        <v>233.84231920589906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48.045070536306405</v>
      </c>
      <c r="AV164" s="23">
        <f>EXP(-LN(2)/25)*AV163+(1-EXP(-LN(2)/25))/(LN(2)/25)*Calculateur!AQ164*Calculateur!AS164*VLOOKUP('Données projet'!$B$10,Paramètres!$A$1:$I$89,3,0)*0.475*44/12</f>
        <v>5.5308353709825262</v>
      </c>
      <c r="AW164" s="23">
        <f>EXP(-LN(2)/2)*AW163+(1-EXP(-LN(2)/2))/(LN(2)/2)*AQ164*AT164*VLOOKUP('Données projet'!$B$10,Paramètres!$A$1:$I$89,3,0)*0.475*44/12</f>
        <v>9.8232290995226621E-9</v>
      </c>
      <c r="AX164" s="23">
        <f t="shared" si="166"/>
        <v>53.575905917112159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-1.064108801074326E-13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262.36903350767881</v>
      </c>
      <c r="BJ164" s="62">
        <f t="shared" si="146"/>
        <v>331.21009482262417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23.251139270767965</v>
      </c>
      <c r="BQ164" s="23">
        <f>EXP(-LN(2)/25)*BQ163+(1-EXP(-LN(2)/25))/(LN(2)/25)*Calculateur!BL164*Calculateur!BN164*VLOOKUP('Données projet'!$B$11,Paramètres!$A$1:$I$89,3,0)*0.475*44/12</f>
        <v>2.4475180399633043</v>
      </c>
      <c r="BR164" s="23">
        <f>EXP(-LN(2)/2)*BR163+(1-EXP(-LN(2)/2))/(LN(2)/2)*BL164*BO164*VLOOKUP('Données projet'!$B$11,Paramètres!$A$1:$I$89,3,0)*0.475*44/12</f>
        <v>1.2510633979788569E-14</v>
      </c>
      <c r="BS164" s="24">
        <f t="shared" si="169"/>
        <v>25.698657310731285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8.4429999999999943</v>
      </c>
      <c r="BY164" s="13">
        <f>IF('Données projet'!$A$114&gt;35,BY163+BX164-CG163,IF(A164&lt;'Données projet'!$A$114,$BV$205^A164,IF(A164='Données projet'!$A$114,'Données projet'!$B$114,BY163+BX164-CG163)))</f>
        <v>494.44100000000037</v>
      </c>
      <c r="BZ164" s="14">
        <f>BY164*VLOOKUP('Données projet'!$B$12,Paramètres!$A$1:$I$89,3,0)*VLOOKUP('Données projet'!$B$12,Paramètres!$A$1:$I$89,5,0)</f>
        <v>478.22333520000041</v>
      </c>
      <c r="CA164" s="14">
        <f t="shared" si="170"/>
        <v>107.46667396464125</v>
      </c>
      <c r="CB164" s="22">
        <f t="shared" si="171"/>
        <v>1020.0767659617509</v>
      </c>
      <c r="CC164" s="62">
        <f t="shared" si="119"/>
        <v>1313.4100992950841</v>
      </c>
      <c r="CD164" s="62">
        <f ca="1">AVERAGE(OFFSET($CC$3,0,0,'Données projet'!$E$12+1,1))-AVERAGE(OFFSET($H$3,0,0,'Données projet'!$E$12+1,1))</f>
        <v>618.83149423524605</v>
      </c>
      <c r="CE164" s="62">
        <f t="shared" si="148"/>
        <v>285.33582535802435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67.491053684170183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67.491053684170183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349.5718186624772</v>
      </c>
      <c r="CZ164" s="62">
        <f t="shared" si="150"/>
        <v>258.14152930815959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40.588069092498834</v>
      </c>
      <c r="DG164" s="23">
        <f>EXP(-LN(2)/25)*DG163+(1-EXP(-LN(2)/25))/(LN(2)/25)*Calculateur!DB164*Calculateur!DD164*VLOOKUP('Données projet'!$B$13,Paramètres!$A$1:$I$89,3,0)*0.475*44/12</f>
        <v>3.339580575385074</v>
      </c>
      <c r="DH164" s="23">
        <f>EXP(-LN(2)/2)*DH163+(1-EXP(-LN(2)/2))/(LN(2)/2)*DB164*DE164*VLOOKUP('Données projet'!$B$13,Paramètres!$A$1:$I$89,3,0)*0.475*44/12</f>
        <v>2.0464222901987509E-11</v>
      </c>
      <c r="DI164" s="24">
        <f t="shared" si="175"/>
        <v>43.927649667904369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8.5265128291212022E-14</v>
      </c>
      <c r="DP164" s="18">
        <f>DO164*VLOOKUP('Données projet'!$B$14,Paramètres!$A$1:$I$89,3,0)*VLOOKUP('Données projet'!$B$14,Paramètres!$A$1:$I$89,5,0)</f>
        <v>7.4487616075202836E-14</v>
      </c>
      <c r="DQ164" s="14">
        <f t="shared" si="176"/>
        <v>1.1580453144473142E-12</v>
      </c>
      <c r="DR164" s="22">
        <f t="shared" si="177"/>
        <v>2.1466615206600508E-12</v>
      </c>
      <c r="DS164" s="62">
        <f t="shared" si="125"/>
        <v>293.33333333333547</v>
      </c>
      <c r="DT164" s="62">
        <f ca="1">AVERAGE(OFFSET($DS$3,0,0,'Données projet'!$E$14+1,1))-AVERAGE(OFFSET($H$3,0,0,'Données projet'!$E$14+1,1))</f>
        <v>300.63505444445104</v>
      </c>
      <c r="DU164" s="62">
        <f t="shared" si="152"/>
        <v>266.32508105927997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28.664335240306176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28.664335240306176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353.37024194969638</v>
      </c>
      <c r="EP164" s="62">
        <f t="shared" si="154"/>
        <v>345.4750813433123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31.217945707009566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31.217945707009566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8.5265128291212022E-14</v>
      </c>
      <c r="FF164" s="18">
        <f>FE164*VLOOKUP('Données projet'!$B$16,Paramètres!$A$1:$I$89,3,0)*VLOOKUP('Données projet'!$B$16,Paramètres!$A$1:$I$89,5,0)</f>
        <v>5.5865712056402117E-14</v>
      </c>
      <c r="FG164" s="14">
        <f t="shared" si="182"/>
        <v>8.9811031843713517E-13</v>
      </c>
      <c r="FH164" s="22">
        <f t="shared" si="183"/>
        <v>1.6615082531095774E-12</v>
      </c>
      <c r="FI164" s="62">
        <f t="shared" si="131"/>
        <v>293.33333333333496</v>
      </c>
      <c r="FJ164" s="62">
        <f ca="1">AVERAGE(OFFSET($FI$3,0,0,'Données projet'!$E$16+1,1))-AVERAGE(OFFSET($H$3,0,0,'Données projet'!$E$16+1,1))</f>
        <v>263.30962868541337</v>
      </c>
      <c r="FK164" s="62">
        <f t="shared" si="156"/>
        <v>269.61868559913404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20.18744786794149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20.18744786794149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262.06511368698341</v>
      </c>
      <c r="T165" s="62">
        <f t="shared" si="142"/>
        <v>217.15709240080542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43.549078075374062</v>
      </c>
      <c r="AA165" s="23">
        <f>EXP(-LN(2)/25)*AA164+(1-EXP(-LN(2)/25))/(LN(2)/25)*Calculateur!V165*Calculateur!X165*VLOOKUP('Données projet'!$B$9,Paramètres!$A$1:$I$89,3,0)*0.475*44/12</f>
        <v>4.3414869447286595</v>
      </c>
      <c r="AB165" s="23">
        <f>EXP(-LN(2)/2)*AB164+(1-EXP(-LN(2)/2))/(LN(2)/2)*V165*Y165*VLOOKUP('Données projet'!$B$9,Paramètres!$A$1:$I$89,3,0)*0.475*44/12</f>
        <v>2.2431605762661168E-7</v>
      </c>
      <c r="AC165" s="24">
        <f t="shared" si="163"/>
        <v>47.890565244418781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287.83167869616227</v>
      </c>
      <c r="AO165" s="62">
        <f t="shared" si="144"/>
        <v>233.84231920589906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47.102936007688875</v>
      </c>
      <c r="AV165" s="23">
        <f>EXP(-LN(2)/25)*AV164+(1-EXP(-LN(2)/25))/(LN(2)/25)*Calculateur!AQ165*Calculateur!AS165*VLOOKUP('Données projet'!$B$10,Paramètres!$A$1:$I$89,3,0)*0.475*44/12</f>
        <v>5.3795943869090177</v>
      </c>
      <c r="AW165" s="23">
        <f>EXP(-LN(2)/2)*AW164+(1-EXP(-LN(2)/2))/(LN(2)/2)*AQ165*AT165*VLOOKUP('Données projet'!$B$10,Paramètres!$A$1:$I$89,3,0)*0.475*44/12</f>
        <v>6.9460719094214974E-9</v>
      </c>
      <c r="AX165" s="23">
        <f t="shared" si="166"/>
        <v>52.482530401543968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-1.064108801074326E-13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262.36903350767881</v>
      </c>
      <c r="BJ165" s="62">
        <f t="shared" si="146"/>
        <v>331.21009482262417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22.795198611462823</v>
      </c>
      <c r="BQ165" s="23">
        <f>EXP(-LN(2)/25)*BQ164+(1-EXP(-LN(2)/25))/(LN(2)/25)*Calculateur!BL165*Calculateur!BN165*VLOOKUP('Données projet'!$B$11,Paramètres!$A$1:$I$89,3,0)*0.475*44/12</f>
        <v>2.3805905304511281</v>
      </c>
      <c r="BR165" s="23">
        <f>EXP(-LN(2)/2)*BR164+(1-EXP(-LN(2)/2))/(LN(2)/2)*BL165*BO165*VLOOKUP('Données projet'!$B$11,Paramètres!$A$1:$I$89,3,0)*0.475*44/12</f>
        <v>8.8463541240513418E-15</v>
      </c>
      <c r="BS165" s="24">
        <f t="shared" si="169"/>
        <v>25.17578914191396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8.4429999999999943</v>
      </c>
      <c r="BY165" s="13">
        <f>IF('Données projet'!$A$114&gt;35,BY164+BX165-CG164,IF(A165&lt;'Données projet'!$A$114,$BV$205^A165,IF(A165='Données projet'!$A$114,'Données projet'!$B$114,BY164+BX165-CG164)))</f>
        <v>502.88400000000036</v>
      </c>
      <c r="BZ165" s="14">
        <f>BY165*VLOOKUP('Données projet'!$B$12,Paramètres!$A$1:$I$89,3,0)*VLOOKUP('Données projet'!$B$12,Paramètres!$A$1:$I$89,5,0)</f>
        <v>486.38940480000036</v>
      </c>
      <c r="CA165" s="14">
        <f t="shared" si="170"/>
        <v>109.08655352814421</v>
      </c>
      <c r="CB165" s="22">
        <f t="shared" si="171"/>
        <v>1037.1206274215183</v>
      </c>
      <c r="CC165" s="62">
        <f t="shared" si="119"/>
        <v>1330.4539607548516</v>
      </c>
      <c r="CD165" s="62">
        <f ca="1">AVERAGE(OFFSET($CC$3,0,0,'Données projet'!$E$12+1,1))-AVERAGE(OFFSET($H$3,0,0,'Données projet'!$E$12+1,1))</f>
        <v>618.83149423524605</v>
      </c>
      <c r="CE165" s="62">
        <f t="shared" si="148"/>
        <v>285.33582535802435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66.167595286901602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66.167595286901602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349.5718186624772</v>
      </c>
      <c r="CZ165" s="62">
        <f t="shared" si="150"/>
        <v>258.14152930815959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39.792161813872596</v>
      </c>
      <c r="DG165" s="23">
        <f>EXP(-LN(2)/25)*DG164+(1-EXP(-LN(2)/25))/(LN(2)/25)*Calculateur!DB165*Calculateur!DD165*VLOOKUP('Données projet'!$B$13,Paramètres!$A$1:$I$89,3,0)*0.475*44/12</f>
        <v>3.2482595689302594</v>
      </c>
      <c r="DH165" s="23">
        <f>EXP(-LN(2)/2)*DH164+(1-EXP(-LN(2)/2))/(LN(2)/2)*DB165*DE165*VLOOKUP('Données projet'!$B$13,Paramètres!$A$1:$I$89,3,0)*0.475*44/12</f>
        <v>1.4470390785708417E-11</v>
      </c>
      <c r="DI165" s="24">
        <f t="shared" si="175"/>
        <v>43.040421382817328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8.5265128291212022E-14</v>
      </c>
      <c r="DP165" s="18">
        <f>DO165*VLOOKUP('Données projet'!$B$14,Paramètres!$A$1:$I$89,3,0)*VLOOKUP('Données projet'!$B$14,Paramètres!$A$1:$I$89,5,0)</f>
        <v>7.4487616075202836E-14</v>
      </c>
      <c r="DQ165" s="14">
        <f t="shared" si="176"/>
        <v>1.1580453144473142E-12</v>
      </c>
      <c r="DR165" s="22">
        <f t="shared" si="177"/>
        <v>2.1466615206600508E-12</v>
      </c>
      <c r="DS165" s="62">
        <f t="shared" si="125"/>
        <v>293.33333333333547</v>
      </c>
      <c r="DT165" s="62">
        <f ca="1">AVERAGE(OFFSET($DS$3,0,0,'Données projet'!$E$14+1,1))-AVERAGE(OFFSET($H$3,0,0,'Données projet'!$E$14+1,1))</f>
        <v>300.63505444445104</v>
      </c>
      <c r="DU165" s="62">
        <f t="shared" si="152"/>
        <v>266.32508105927997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28.102245109761913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28.102245109761913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353.37024194969638</v>
      </c>
      <c r="EP165" s="62">
        <f t="shared" si="154"/>
        <v>345.4750813433123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30.605780832761841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30.605780832761841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8.5265128291212022E-14</v>
      </c>
      <c r="FF165" s="18">
        <f>FE165*VLOOKUP('Données projet'!$B$16,Paramètres!$A$1:$I$89,3,0)*VLOOKUP('Données projet'!$B$16,Paramètres!$A$1:$I$89,5,0)</f>
        <v>5.5865712056402117E-14</v>
      </c>
      <c r="FG165" s="14">
        <f t="shared" si="182"/>
        <v>8.9811031843713517E-13</v>
      </c>
      <c r="FH165" s="22">
        <f t="shared" si="183"/>
        <v>1.6615082531095774E-12</v>
      </c>
      <c r="FI165" s="62">
        <f t="shared" si="131"/>
        <v>293.33333333333496</v>
      </c>
      <c r="FJ165" s="62">
        <f ca="1">AVERAGE(OFFSET($FI$3,0,0,'Données projet'!$E$16+1,1))-AVERAGE(OFFSET($H$3,0,0,'Données projet'!$E$16+1,1))</f>
        <v>263.30962868541337</v>
      </c>
      <c r="FK165" s="62">
        <f t="shared" si="156"/>
        <v>269.61868559913404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19.791584328378537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19.791584328378537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262.06511368698341</v>
      </c>
      <c r="T166" s="62">
        <f t="shared" si="142"/>
        <v>217.15709240080542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42.695107216630795</v>
      </c>
      <c r="AA166" s="23">
        <f>EXP(-LN(2)/25)*AA165+(1-EXP(-LN(2)/25))/(LN(2)/25)*Calculateur!V166*Calculateur!X166*VLOOKUP('Données projet'!$B$9,Paramètres!$A$1:$I$89,3,0)*0.475*44/12</f>
        <v>4.2227687559161788</v>
      </c>
      <c r="AB166" s="23">
        <f>EXP(-LN(2)/2)*AB165+(1-EXP(-LN(2)/2))/(LN(2)/2)*V166*Y166*VLOOKUP('Données projet'!$B$9,Paramètres!$A$1:$I$89,3,0)*0.475*44/12</f>
        <v>1.5861540547680949E-7</v>
      </c>
      <c r="AC166" s="24">
        <f t="shared" si="163"/>
        <v>46.91787613116238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287.83167869616227</v>
      </c>
      <c r="AO166" s="62">
        <f t="shared" si="144"/>
        <v>233.84231920589906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46.179276162532211</v>
      </c>
      <c r="AV166" s="23">
        <f>EXP(-LN(2)/25)*AV165+(1-EXP(-LN(2)/25))/(LN(2)/25)*Calculateur!AQ166*Calculateur!AS166*VLOOKUP('Données projet'!$B$10,Paramètres!$A$1:$I$89,3,0)*0.475*44/12</f>
        <v>5.2324890954984173</v>
      </c>
      <c r="AW166" s="23">
        <f>EXP(-LN(2)/2)*AW165+(1-EXP(-LN(2)/2))/(LN(2)/2)*AQ166*AT166*VLOOKUP('Données projet'!$B$10,Paramètres!$A$1:$I$89,3,0)*0.475*44/12</f>
        <v>4.9116145497613311E-9</v>
      </c>
      <c r="AX166" s="23">
        <f t="shared" si="166"/>
        <v>51.411765262942239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-1.064108801074326E-13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262.36903350767881</v>
      </c>
      <c r="BJ166" s="62">
        <f t="shared" si="146"/>
        <v>331.21009482262417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22.348198670390314</v>
      </c>
      <c r="BQ166" s="23">
        <f>EXP(-LN(2)/25)*BQ165+(1-EXP(-LN(2)/25))/(LN(2)/25)*Calculateur!BL166*Calculateur!BN166*VLOOKUP('Données projet'!$B$11,Paramètres!$A$1:$I$89,3,0)*0.475*44/12</f>
        <v>2.3154931572061268</v>
      </c>
      <c r="BR166" s="23">
        <f>EXP(-LN(2)/2)*BR165+(1-EXP(-LN(2)/2))/(LN(2)/2)*BL166*BO166*VLOOKUP('Données projet'!$B$11,Paramètres!$A$1:$I$89,3,0)*0.475*44/12</f>
        <v>6.2553169898942846E-15</v>
      </c>
      <c r="BS166" s="24">
        <f t="shared" si="169"/>
        <v>24.663691827596448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8.4429999999999943</v>
      </c>
      <c r="BY166" s="13">
        <f>IF('Données projet'!$A$114&gt;35,BY165+BX166-CG165,IF(A166&lt;'Données projet'!$A$114,$BV$205^A166,IF(A166='Données projet'!$A$114,'Données projet'!$B$114,BY165+BX166-CG165)))</f>
        <v>511.32700000000034</v>
      </c>
      <c r="BZ166" s="14">
        <f>BY166*VLOOKUP('Données projet'!$B$12,Paramètres!$A$1:$I$89,3,0)*VLOOKUP('Données projet'!$B$12,Paramètres!$A$1:$I$89,5,0)</f>
        <v>494.55547440000038</v>
      </c>
      <c r="CA166" s="14">
        <f t="shared" si="170"/>
        <v>110.7032703628248</v>
      </c>
      <c r="CB166" s="22">
        <f t="shared" si="171"/>
        <v>1054.1589804619205</v>
      </c>
      <c r="CC166" s="62">
        <f t="shared" si="119"/>
        <v>1347.4923137952537</v>
      </c>
      <c r="CD166" s="62">
        <f ca="1">AVERAGE(OFFSET($CC$3,0,0,'Données projet'!$E$12+1,1))-AVERAGE(OFFSET($H$3,0,0,'Données projet'!$E$12+1,1))</f>
        <v>618.83149423524605</v>
      </c>
      <c r="CE166" s="62">
        <f t="shared" si="148"/>
        <v>285.33582535802435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64.870089101573541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64.870089101573541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349.5718186624772</v>
      </c>
      <c r="CZ166" s="62">
        <f t="shared" si="150"/>
        <v>258.14152930815959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39.011861791524716</v>
      </c>
      <c r="DG166" s="23">
        <f>EXP(-LN(2)/25)*DG165+(1-EXP(-LN(2)/25))/(LN(2)/25)*Calculateur!DB166*Calculateur!DD166*VLOOKUP('Données projet'!$B$13,Paramètres!$A$1:$I$89,3,0)*0.475*44/12</f>
        <v>3.1594357401993145</v>
      </c>
      <c r="DH166" s="23">
        <f>EXP(-LN(2)/2)*DH165+(1-EXP(-LN(2)/2))/(LN(2)/2)*DB166*DE166*VLOOKUP('Données projet'!$B$13,Paramètres!$A$1:$I$89,3,0)*0.475*44/12</f>
        <v>1.0232111450993756E-11</v>
      </c>
      <c r="DI166" s="24">
        <f t="shared" si="175"/>
        <v>42.171297531734261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8.5265128291212022E-14</v>
      </c>
      <c r="DP166" s="18">
        <f>DO166*VLOOKUP('Données projet'!$B$14,Paramètres!$A$1:$I$89,3,0)*VLOOKUP('Données projet'!$B$14,Paramètres!$A$1:$I$89,5,0)</f>
        <v>7.4487616075202836E-14</v>
      </c>
      <c r="DQ166" s="14">
        <f t="shared" si="176"/>
        <v>1.1580453144473142E-12</v>
      </c>
      <c r="DR166" s="22">
        <f t="shared" si="177"/>
        <v>2.1466615206600508E-12</v>
      </c>
      <c r="DS166" s="62">
        <f t="shared" si="125"/>
        <v>293.33333333333547</v>
      </c>
      <c r="DT166" s="62">
        <f ca="1">AVERAGE(OFFSET($DS$3,0,0,'Données projet'!$E$14+1,1))-AVERAGE(OFFSET($H$3,0,0,'Données projet'!$E$14+1,1))</f>
        <v>300.63505444445104</v>
      </c>
      <c r="DU166" s="62">
        <f t="shared" si="152"/>
        <v>266.32508105927997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27.551177223836497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27.551177223836497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353.37024194969638</v>
      </c>
      <c r="EP166" s="62">
        <f t="shared" si="154"/>
        <v>345.4750813433123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30.005620138314409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30.005620138314409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8.5265128291212022E-14</v>
      </c>
      <c r="FF166" s="18">
        <f>FE166*VLOOKUP('Données projet'!$B$16,Paramètres!$A$1:$I$89,3,0)*VLOOKUP('Données projet'!$B$16,Paramètres!$A$1:$I$89,5,0)</f>
        <v>5.5865712056402117E-14</v>
      </c>
      <c r="FG166" s="14">
        <f t="shared" si="182"/>
        <v>8.9811031843713517E-13</v>
      </c>
      <c r="FH166" s="22">
        <f t="shared" si="183"/>
        <v>1.6615082531095774E-12</v>
      </c>
      <c r="FI166" s="62">
        <f t="shared" si="131"/>
        <v>293.33333333333496</v>
      </c>
      <c r="FJ166" s="62">
        <f ca="1">AVERAGE(OFFSET($FI$3,0,0,'Données projet'!$E$16+1,1))-AVERAGE(OFFSET($H$3,0,0,'Données projet'!$E$16+1,1))</f>
        <v>263.30962868541337</v>
      </c>
      <c r="FK166" s="62">
        <f t="shared" si="156"/>
        <v>269.61868559913404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19.403483431373495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19.403483431373495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262.06511368698341</v>
      </c>
      <c r="T167" s="62">
        <f t="shared" si="142"/>
        <v>217.15709240080542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41.857882205556692</v>
      </c>
      <c r="AA167" s="23">
        <f>EXP(-LN(2)/25)*AA166+(1-EXP(-LN(2)/25))/(LN(2)/25)*Calculateur!V167*Calculateur!X167*VLOOKUP('Données projet'!$B$9,Paramètres!$A$1:$I$89,3,0)*0.475*44/12</f>
        <v>4.1072969222198932</v>
      </c>
      <c r="AB167" s="23">
        <f>EXP(-LN(2)/2)*AB166+(1-EXP(-LN(2)/2))/(LN(2)/2)*V167*Y167*VLOOKUP('Données projet'!$B$9,Paramètres!$A$1:$I$89,3,0)*0.475*44/12</f>
        <v>1.1215802881330584E-7</v>
      </c>
      <c r="AC167" s="24">
        <f t="shared" si="163"/>
        <v>45.965179239934614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287.83167869616227</v>
      </c>
      <c r="AO167" s="62">
        <f t="shared" si="144"/>
        <v>233.84231920589906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45.273728723562193</v>
      </c>
      <c r="AV167" s="23">
        <f>EXP(-LN(2)/25)*AV166+(1-EXP(-LN(2)/25))/(LN(2)/25)*Calculateur!AQ167*Calculateur!AS167*VLOOKUP('Données projet'!$B$10,Paramètres!$A$1:$I$89,3,0)*0.475*44/12</f>
        <v>5.0894064060173703</v>
      </c>
      <c r="AW167" s="23">
        <f>EXP(-LN(2)/2)*AW166+(1-EXP(-LN(2)/2))/(LN(2)/2)*AQ167*AT167*VLOOKUP('Données projet'!$B$10,Paramètres!$A$1:$I$89,3,0)*0.475*44/12</f>
        <v>3.4730359547107487E-9</v>
      </c>
      <c r="AX167" s="23">
        <f t="shared" si="166"/>
        <v>50.363135133052594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-1.064108801074326E-13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262.36903350767881</v>
      </c>
      <c r="BJ167" s="62">
        <f t="shared" si="146"/>
        <v>331.21009482262417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21.909964125519195</v>
      </c>
      <c r="BQ167" s="23">
        <f>EXP(-LN(2)/25)*BQ166+(1-EXP(-LN(2)/25))/(LN(2)/25)*Calculateur!BL167*Calculateur!BN167*VLOOKUP('Données projet'!$B$11,Paramètres!$A$1:$I$89,3,0)*0.475*44/12</f>
        <v>2.2521758750558321</v>
      </c>
      <c r="BR167" s="23">
        <f>EXP(-LN(2)/2)*BR166+(1-EXP(-LN(2)/2))/(LN(2)/2)*BL167*BO167*VLOOKUP('Données projet'!$B$11,Paramètres!$A$1:$I$89,3,0)*0.475*44/12</f>
        <v>4.4231770620256709E-15</v>
      </c>
      <c r="BS167" s="24">
        <f t="shared" si="169"/>
        <v>24.162140000575032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>
        <f>VLOOKUP(A167,'Données projet'!$A$113:$I$133,2,0)</f>
        <v>519.77</v>
      </c>
      <c r="BW167" s="13">
        <f>VLOOKUP(A167,'Données projet'!$A$113:$I$133,9,0)</f>
        <v>8.4429999999999943</v>
      </c>
      <c r="BX167" s="13">
        <f t="array" ref="BX167">INDEX(BW:BW,MIN(IF(ISNUMBER(BW167:BW363),ROW(BW167:BW363),"")))</f>
        <v>8.4429999999999943</v>
      </c>
      <c r="BY167" s="13">
        <f>IF('Données projet'!$A$114&gt;35,BY166+BX167-CG166,IF(A167&lt;'Données projet'!$A$114,$BV$205^A167,IF(A167='Données projet'!$A$114,'Données projet'!$B$114,BY166+BX167-CG166)))</f>
        <v>519.77000000000032</v>
      </c>
      <c r="BZ167" s="14">
        <f>BY167*VLOOKUP('Données projet'!$B$12,Paramètres!$A$1:$I$89,3,0)*VLOOKUP('Données projet'!$B$12,Paramètres!$A$1:$I$89,5,0)</f>
        <v>502.72154400000034</v>
      </c>
      <c r="CA167" s="14">
        <f t="shared" si="170"/>
        <v>112.31688271954096</v>
      </c>
      <c r="CB167" s="22">
        <f t="shared" si="171"/>
        <v>1071.1919265365345</v>
      </c>
      <c r="CC167" s="62">
        <f t="shared" si="119"/>
        <v>1364.5252598698678</v>
      </c>
      <c r="CD167" s="62">
        <f ca="1">AVERAGE(OFFSET($CC$3,0,0,'Données projet'!$E$12+1,1))-AVERAGE(OFFSET($H$3,0,0,'Données projet'!$E$12+1,1))</f>
        <v>618.83149423524605</v>
      </c>
      <c r="CE167" s="62">
        <f t="shared" si="148"/>
        <v>285.33582535802435</v>
      </c>
      <c r="CF167" s="16">
        <f>IF(ISNA(VLOOKUP(A167,'Données projet'!$A$113:$I$133,3,0)),0,VLOOKUP(A167,'Données projet'!$A$113:$I$133,3,0))</f>
        <v>14</v>
      </c>
      <c r="CG167" s="16">
        <f>IF(ISNA(VLOOKUP(A167,'Données projet'!$A$113:$I$133,4,0)),0,VLOOKUP(A167,'Données projet'!$A$113:$I$133,4,0))</f>
        <v>59.58</v>
      </c>
      <c r="CH167" s="17">
        <f>IF(ISNA(VLOOKUP(A167,'Données projet'!$A$113:$I$133,5,0)),0%,VLOOKUP(A167,'Données projet'!$A$113:$I$133,5,0)*VLOOKUP('Données projet'!$B$12,Paramètres!$A$1:$I$89,7,0))</f>
        <v>0.34400000000000003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85.512060653305809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85.512060653305809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349.5718186624772</v>
      </c>
      <c r="CZ167" s="62">
        <f t="shared" si="150"/>
        <v>258.14152930815959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38.246862976679061</v>
      </c>
      <c r="DG167" s="23">
        <f>EXP(-LN(2)/25)*DG166+(1-EXP(-LN(2)/25))/(LN(2)/25)*Calculateur!DB167*Calculateur!DD167*VLOOKUP('Données projet'!$B$13,Paramètres!$A$1:$I$89,3,0)*0.475*44/12</f>
        <v>3.0730408037360597</v>
      </c>
      <c r="DH167" s="23">
        <f>EXP(-LN(2)/2)*DH166+(1-EXP(-LN(2)/2))/(LN(2)/2)*DB167*DE167*VLOOKUP('Données projet'!$B$13,Paramètres!$A$1:$I$89,3,0)*0.475*44/12</f>
        <v>7.2351953928542099E-12</v>
      </c>
      <c r="DI167" s="24">
        <f t="shared" si="175"/>
        <v>41.319903780422351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8.5265128291212022E-14</v>
      </c>
      <c r="DP167" s="18">
        <f>DO167*VLOOKUP('Données projet'!$B$14,Paramètres!$A$1:$I$89,3,0)*VLOOKUP('Données projet'!$B$14,Paramètres!$A$1:$I$89,5,0)</f>
        <v>7.4487616075202836E-14</v>
      </c>
      <c r="DQ167" s="14">
        <f t="shared" si="176"/>
        <v>1.1580453144473142E-12</v>
      </c>
      <c r="DR167" s="22">
        <f t="shared" si="177"/>
        <v>2.1466615206600508E-12</v>
      </c>
      <c r="DS167" s="62">
        <f t="shared" si="125"/>
        <v>293.33333333333547</v>
      </c>
      <c r="DT167" s="62">
        <f ca="1">AVERAGE(OFFSET($DS$3,0,0,'Données projet'!$E$14+1,1))-AVERAGE(OFFSET($H$3,0,0,'Données projet'!$E$14+1,1))</f>
        <v>300.63505444445104</v>
      </c>
      <c r="DU167" s="62">
        <f t="shared" si="152"/>
        <v>266.32508105927997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27.010915443035856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27.010915443035856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353.37024194969638</v>
      </c>
      <c r="EP167" s="62">
        <f t="shared" si="154"/>
        <v>345.4750813433123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29.417228229023213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29.417228229023213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8.5265128291212022E-14</v>
      </c>
      <c r="FF167" s="18">
        <f>FE167*VLOOKUP('Données projet'!$B$16,Paramètres!$A$1:$I$89,3,0)*VLOOKUP('Données projet'!$B$16,Paramètres!$A$1:$I$89,5,0)</f>
        <v>5.5865712056402117E-14</v>
      </c>
      <c r="FG167" s="14">
        <f t="shared" si="182"/>
        <v>8.9811031843713517E-13</v>
      </c>
      <c r="FH167" s="22">
        <f t="shared" si="183"/>
        <v>1.6615082531095774E-12</v>
      </c>
      <c r="FI167" s="62">
        <f t="shared" si="131"/>
        <v>293.33333333333496</v>
      </c>
      <c r="FJ167" s="62">
        <f ca="1">AVERAGE(OFFSET($FI$3,0,0,'Données projet'!$E$16+1,1))-AVERAGE(OFFSET($H$3,0,0,'Données projet'!$E$16+1,1))</f>
        <v>263.30962868541337</v>
      </c>
      <c r="FK167" s="62">
        <f t="shared" si="156"/>
        <v>269.61868559913404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19.02299295624055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19.02299295624055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262.06511368698341</v>
      </c>
      <c r="T168" s="62">
        <f t="shared" si="142"/>
        <v>217.15709240080542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41.037074666292916</v>
      </c>
      <c r="AA168" s="23">
        <f>EXP(-LN(2)/25)*AA167+(1-EXP(-LN(2)/25))/(LN(2)/25)*Calculateur!V168*Calculateur!X168*VLOOKUP('Données projet'!$B$9,Paramètres!$A$1:$I$89,3,0)*0.475*44/12</f>
        <v>3.9949826718884323</v>
      </c>
      <c r="AB168" s="23">
        <f>EXP(-LN(2)/2)*AB167+(1-EXP(-LN(2)/2))/(LN(2)/2)*V168*Y168*VLOOKUP('Données projet'!$B$9,Paramètres!$A$1:$I$89,3,0)*0.475*44/12</f>
        <v>7.9307702738404746E-8</v>
      </c>
      <c r="AC168" s="24">
        <f t="shared" si="163"/>
        <v>45.03205741748905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287.83167869616227</v>
      </c>
      <c r="AO168" s="62">
        <f t="shared" si="144"/>
        <v>233.84231920589906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44.385938517540978</v>
      </c>
      <c r="AV168" s="23">
        <f>EXP(-LN(2)/25)*AV167+(1-EXP(-LN(2)/25))/(LN(2)/25)*Calculateur!AQ168*Calculateur!AS168*VLOOKUP('Données projet'!$B$10,Paramètres!$A$1:$I$89,3,0)*0.475*44/12</f>
        <v>4.9502363202045743</v>
      </c>
      <c r="AW168" s="23">
        <f>EXP(-LN(2)/2)*AW167+(1-EXP(-LN(2)/2))/(LN(2)/2)*AQ168*AT168*VLOOKUP('Données projet'!$B$10,Paramètres!$A$1:$I$89,3,0)*0.475*44/12</f>
        <v>2.4558072748806655E-9</v>
      </c>
      <c r="AX168" s="23">
        <f t="shared" si="166"/>
        <v>49.336174840201359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-1.064108801074326E-13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262.36903350767881</v>
      </c>
      <c r="BJ168" s="62">
        <f t="shared" si="146"/>
        <v>331.21009482262417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21.48032309277632</v>
      </c>
      <c r="BQ168" s="23">
        <f>EXP(-LN(2)/25)*BQ167+(1-EXP(-LN(2)/25))/(LN(2)/25)*Calculateur!BL168*Calculateur!BN168*VLOOKUP('Données projet'!$B$11,Paramètres!$A$1:$I$89,3,0)*0.475*44/12</f>
        <v>2.1905900073156483</v>
      </c>
      <c r="BR168" s="23">
        <f>EXP(-LN(2)/2)*BR167+(1-EXP(-LN(2)/2))/(LN(2)/2)*BL168*BO168*VLOOKUP('Données projet'!$B$11,Paramètres!$A$1:$I$89,3,0)*0.475*44/12</f>
        <v>3.1276584949471423E-15</v>
      </c>
      <c r="BS168" s="24">
        <f t="shared" si="169"/>
        <v>23.670913100091973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8.5459999999999976</v>
      </c>
      <c r="BY168" s="13">
        <f>IF('Données projet'!$A$114&gt;35,BY167+BX168-CG167,IF(A168&lt;'Données projet'!$A$114,$BV$205^A168,IF(A168='Données projet'!$A$114,'Données projet'!$B$114,BY167+BX168-CG167)))</f>
        <v>468.73600000000039</v>
      </c>
      <c r="BZ168" s="14">
        <f>BY168*VLOOKUP('Données projet'!$B$12,Paramètres!$A$1:$I$89,3,0)*VLOOKUP('Données projet'!$B$12,Paramètres!$A$1:$I$89,5,0)</f>
        <v>453.36145920000041</v>
      </c>
      <c r="CA168" s="14">
        <f t="shared" si="170"/>
        <v>102.51478641291534</v>
      </c>
      <c r="CB168" s="22">
        <f t="shared" si="171"/>
        <v>968.15112777582817</v>
      </c>
      <c r="CC168" s="62">
        <f t="shared" si="119"/>
        <v>1261.4844611091614</v>
      </c>
      <c r="CD168" s="62">
        <f ca="1">AVERAGE(OFFSET($CC$3,0,0,'Données projet'!$E$12+1,1))-AVERAGE(OFFSET($H$3,0,0,'Données projet'!$E$12+1,1))</f>
        <v>618.83149423524605</v>
      </c>
      <c r="CE168" s="62">
        <f t="shared" si="148"/>
        <v>285.33582535802435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83.835221301101384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83.835221301101384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349.5718186624772</v>
      </c>
      <c r="CZ168" s="62">
        <f t="shared" si="150"/>
        <v>258.14152930815959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37.496865321989326</v>
      </c>
      <c r="DG168" s="23">
        <f>EXP(-LN(2)/25)*DG167+(1-EXP(-LN(2)/25))/(LN(2)/25)*Calculateur!DB168*Calculateur!DD168*VLOOKUP('Données projet'!$B$13,Paramètres!$A$1:$I$89,3,0)*0.475*44/12</f>
        <v>2.989008341353705</v>
      </c>
      <c r="DH168" s="23">
        <f>EXP(-LN(2)/2)*DH167+(1-EXP(-LN(2)/2))/(LN(2)/2)*DB168*DE168*VLOOKUP('Données projet'!$B$13,Paramètres!$A$1:$I$89,3,0)*0.475*44/12</f>
        <v>5.1160557254968789E-12</v>
      </c>
      <c r="DI168" s="24">
        <f t="shared" si="175"/>
        <v>40.485873663348144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8.5265128291212022E-14</v>
      </c>
      <c r="DP168" s="18">
        <f>DO168*VLOOKUP('Données projet'!$B$14,Paramètres!$A$1:$I$89,3,0)*VLOOKUP('Données projet'!$B$14,Paramètres!$A$1:$I$89,5,0)</f>
        <v>7.4487616075202836E-14</v>
      </c>
      <c r="DQ168" s="14">
        <f t="shared" si="176"/>
        <v>1.1580453144473142E-12</v>
      </c>
      <c r="DR168" s="22">
        <f t="shared" si="177"/>
        <v>2.1466615206600508E-12</v>
      </c>
      <c r="DS168" s="62">
        <f t="shared" si="125"/>
        <v>293.33333333333547</v>
      </c>
      <c r="DT168" s="62">
        <f ca="1">AVERAGE(OFFSET($DS$3,0,0,'Données projet'!$E$14+1,1))-AVERAGE(OFFSET($H$3,0,0,'Données projet'!$E$14+1,1))</f>
        <v>300.63505444445104</v>
      </c>
      <c r="DU168" s="62">
        <f t="shared" si="152"/>
        <v>266.32508105927997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26.48124786622957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26.48124786622957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353.37024194969638</v>
      </c>
      <c r="EP168" s="62">
        <f t="shared" si="154"/>
        <v>345.4750813433123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28.84037432618959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28.84037432618959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8.5265128291212022E-14</v>
      </c>
      <c r="FF168" s="18">
        <f>FE168*VLOOKUP('Données projet'!$B$16,Paramètres!$A$1:$I$89,3,0)*VLOOKUP('Données projet'!$B$16,Paramètres!$A$1:$I$89,5,0)</f>
        <v>5.5865712056402117E-14</v>
      </c>
      <c r="FG168" s="14">
        <f t="shared" si="182"/>
        <v>8.9811031843713517E-13</v>
      </c>
      <c r="FH168" s="22">
        <f t="shared" si="183"/>
        <v>1.6615082531095774E-12</v>
      </c>
      <c r="FI168" s="62">
        <f t="shared" si="131"/>
        <v>293.33333333333496</v>
      </c>
      <c r="FJ168" s="62">
        <f ca="1">AVERAGE(OFFSET($FI$3,0,0,'Données projet'!$E$16+1,1))-AVERAGE(OFFSET($H$3,0,0,'Données projet'!$E$16+1,1))</f>
        <v>263.30962868541337</v>
      </c>
      <c r="FK168" s="62">
        <f t="shared" si="156"/>
        <v>269.61868559913404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18.649963667248688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18.649963667248688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262.06511368698341</v>
      </c>
      <c r="T169" s="62">
        <f t="shared" si="142"/>
        <v>217.15709240080542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40.23236266223094</v>
      </c>
      <c r="AA169" s="23">
        <f>EXP(-LN(2)/25)*AA168+(1-EXP(-LN(2)/25))/(LN(2)/25)*Calculateur!V169*Calculateur!X169*VLOOKUP('Données projet'!$B$9,Paramètres!$A$1:$I$89,3,0)*0.475*44/12</f>
        <v>3.885739660638635</v>
      </c>
      <c r="AB169" s="23">
        <f>EXP(-LN(2)/2)*AB168+(1-EXP(-LN(2)/2))/(LN(2)/2)*V169*Y169*VLOOKUP('Données projet'!$B$9,Paramètres!$A$1:$I$89,3,0)*0.475*44/12</f>
        <v>5.6079014406652921E-8</v>
      </c>
      <c r="AC169" s="24">
        <f t="shared" si="163"/>
        <v>44.118102378948592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287.83167869616227</v>
      </c>
      <c r="AO169" s="62">
        <f t="shared" si="144"/>
        <v>233.84231920589906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43.515557335961283</v>
      </c>
      <c r="AV169" s="23">
        <f>EXP(-LN(2)/25)*AV168+(1-EXP(-LN(2)/25))/(LN(2)/25)*Calculateur!AQ169*Calculateur!AS169*VLOOKUP('Données projet'!$B$10,Paramètres!$A$1:$I$89,3,0)*0.475*44/12</f>
        <v>4.8148718477069661</v>
      </c>
      <c r="AW169" s="23">
        <f>EXP(-LN(2)/2)*AW168+(1-EXP(-LN(2)/2))/(LN(2)/2)*AQ169*AT169*VLOOKUP('Données projet'!$B$10,Paramètres!$A$1:$I$89,3,0)*0.475*44/12</f>
        <v>1.7365179773553743E-9</v>
      </c>
      <c r="AX169" s="23">
        <f t="shared" si="166"/>
        <v>48.330429185404768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-1.064108801074326E-13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262.36903350767881</v>
      </c>
      <c r="BJ169" s="62">
        <f t="shared" si="146"/>
        <v>331.21009482262417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21.059107058630378</v>
      </c>
      <c r="BQ169" s="23">
        <f>EXP(-LN(2)/25)*BQ168+(1-EXP(-LN(2)/25))/(LN(2)/25)*Calculateur!BL169*Calculateur!BN169*VLOOKUP('Données projet'!$B$11,Paramètres!$A$1:$I$89,3,0)*0.475*44/12</f>
        <v>2.1306882083674803</v>
      </c>
      <c r="BR169" s="23">
        <f>EXP(-LN(2)/2)*BR168+(1-EXP(-LN(2)/2))/(LN(2)/2)*BL169*BO169*VLOOKUP('Données projet'!$B$11,Paramètres!$A$1:$I$89,3,0)*0.475*44/12</f>
        <v>2.2115885310128355E-15</v>
      </c>
      <c r="BS169" s="24">
        <f t="shared" si="169"/>
        <v>23.189795266997862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8.5459999999999976</v>
      </c>
      <c r="BY169" s="13">
        <f>IF('Données projet'!$A$114&gt;35,BY168+BX169-CG168,IF(A169&lt;'Données projet'!$A$114,$BV$205^A169,IF(A169='Données projet'!$A$114,'Données projet'!$B$114,BY168+BX169-CG168)))</f>
        <v>477.28200000000038</v>
      </c>
      <c r="BZ169" s="14">
        <f>BY169*VLOOKUP('Données projet'!$B$12,Paramètres!$A$1:$I$89,3,0)*VLOOKUP('Données projet'!$B$12,Paramètres!$A$1:$I$89,5,0)</f>
        <v>461.6271504000004</v>
      </c>
      <c r="CA169" s="14">
        <f t="shared" si="170"/>
        <v>104.16453901285873</v>
      </c>
      <c r="CB169" s="22">
        <f t="shared" si="171"/>
        <v>985.42052572739613</v>
      </c>
      <c r="CC169" s="62">
        <f t="shared" si="119"/>
        <v>1278.7538590607294</v>
      </c>
      <c r="CD169" s="62">
        <f ca="1">AVERAGE(OFFSET($CC$3,0,0,'Données projet'!$E$12+1,1))-AVERAGE(OFFSET($H$3,0,0,'Données projet'!$E$12+1,1))</f>
        <v>618.83149423524605</v>
      </c>
      <c r="CE169" s="62">
        <f t="shared" si="148"/>
        <v>285.33582535802435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82.191263745822667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82.191263745822667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349.5718186624772</v>
      </c>
      <c r="CZ169" s="62">
        <f t="shared" si="150"/>
        <v>258.14152930815959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36.761574663854653</v>
      </c>
      <c r="DG169" s="23">
        <f>EXP(-LN(2)/25)*DG168+(1-EXP(-LN(2)/25))/(LN(2)/25)*Calculateur!DB169*Calculateur!DD169*VLOOKUP('Données projet'!$B$13,Paramètres!$A$1:$I$89,3,0)*0.475*44/12</f>
        <v>2.9072737510742708</v>
      </c>
      <c r="DH169" s="23">
        <f>EXP(-LN(2)/2)*DH168+(1-EXP(-LN(2)/2))/(LN(2)/2)*DB169*DE169*VLOOKUP('Données projet'!$B$13,Paramètres!$A$1:$I$89,3,0)*0.475*44/12</f>
        <v>3.6175976964271054E-12</v>
      </c>
      <c r="DI169" s="24">
        <f t="shared" si="175"/>
        <v>39.66884841493254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8.5265128291212022E-14</v>
      </c>
      <c r="DP169" s="18">
        <f>DO169*VLOOKUP('Données projet'!$B$14,Paramètres!$A$1:$I$89,3,0)*VLOOKUP('Données projet'!$B$14,Paramètres!$A$1:$I$89,5,0)</f>
        <v>7.4487616075202836E-14</v>
      </c>
      <c r="DQ169" s="14">
        <f t="shared" si="176"/>
        <v>1.1580453144473142E-12</v>
      </c>
      <c r="DR169" s="22">
        <f t="shared" si="177"/>
        <v>2.1466615206600508E-12</v>
      </c>
      <c r="DS169" s="62">
        <f t="shared" si="125"/>
        <v>293.33333333333547</v>
      </c>
      <c r="DT169" s="62">
        <f ca="1">AVERAGE(OFFSET($DS$3,0,0,'Données projet'!$E$14+1,1))-AVERAGE(OFFSET($H$3,0,0,'Données projet'!$E$14+1,1))</f>
        <v>300.63505444445104</v>
      </c>
      <c r="DU169" s="62">
        <f t="shared" si="152"/>
        <v>266.32508105927997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25.961966747539133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25.961966747539133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353.37024194969638</v>
      </c>
      <c r="EP169" s="62">
        <f t="shared" si="154"/>
        <v>345.4750813433123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28.274832176544393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28.274832176544393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8.5265128291212022E-14</v>
      </c>
      <c r="FF169" s="18">
        <f>FE169*VLOOKUP('Données projet'!$B$16,Paramètres!$A$1:$I$89,3,0)*VLOOKUP('Données projet'!$B$16,Paramètres!$A$1:$I$89,5,0)</f>
        <v>5.5865712056402117E-14</v>
      </c>
      <c r="FG169" s="14">
        <f t="shared" si="182"/>
        <v>8.9811031843713517E-13</v>
      </c>
      <c r="FH169" s="22">
        <f t="shared" si="183"/>
        <v>1.6615082531095774E-12</v>
      </c>
      <c r="FI169" s="62">
        <f t="shared" si="131"/>
        <v>293.33333333333496</v>
      </c>
      <c r="FJ169" s="62">
        <f ca="1">AVERAGE(OFFSET($FI$3,0,0,'Données projet'!$E$16+1,1))-AVERAGE(OFFSET($H$3,0,0,'Données projet'!$E$16+1,1))</f>
        <v>263.30962868541337</v>
      </c>
      <c r="FK169" s="62">
        <f t="shared" si="156"/>
        <v>269.61868559913404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18.284249255088554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18.284249255088554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262.06511368698341</v>
      </c>
      <c r="T170" s="62">
        <f t="shared" si="142"/>
        <v>217.15709240080542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39.443430569742759</v>
      </c>
      <c r="AA170" s="23">
        <f>EXP(-LN(2)/25)*AA169+(1-EXP(-LN(2)/25))/(LN(2)/25)*Calculateur!V170*Calculateur!X170*VLOOKUP('Données projet'!$B$9,Paramètres!$A$1:$I$89,3,0)*0.475*44/12</f>
        <v>3.7794839052763036</v>
      </c>
      <c r="AB170" s="23">
        <f>EXP(-LN(2)/2)*AB169+(1-EXP(-LN(2)/2))/(LN(2)/2)*V170*Y170*VLOOKUP('Données projet'!$B$9,Paramètres!$A$1:$I$89,3,0)*0.475*44/12</f>
        <v>3.9653851369202373E-8</v>
      </c>
      <c r="AC170" s="24">
        <f t="shared" si="163"/>
        <v>43.222914514672908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287.83167869616227</v>
      </c>
      <c r="AO170" s="62">
        <f t="shared" si="144"/>
        <v>233.84231920589906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42.662243798472268</v>
      </c>
      <c r="AV170" s="23">
        <f>EXP(-LN(2)/25)*AV169+(1-EXP(-LN(2)/25))/(LN(2)/25)*Calculateur!AQ170*Calculateur!AS170*VLOOKUP('Données projet'!$B$10,Paramètres!$A$1:$I$89,3,0)*0.475*44/12</f>
        <v>4.683208923828313</v>
      </c>
      <c r="AW170" s="23">
        <f>EXP(-LN(2)/2)*AW169+(1-EXP(-LN(2)/2))/(LN(2)/2)*AQ170*AT170*VLOOKUP('Données projet'!$B$10,Paramètres!$A$1:$I$89,3,0)*0.475*44/12</f>
        <v>1.2279036374403328E-9</v>
      </c>
      <c r="AX170" s="23">
        <f t="shared" si="166"/>
        <v>47.345452723528481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-1.064108801074326E-13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262.36903350767881</v>
      </c>
      <c r="BJ170" s="62">
        <f t="shared" si="146"/>
        <v>331.21009482262417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20.646150813997625</v>
      </c>
      <c r="BQ170" s="23">
        <f>EXP(-LN(2)/25)*BQ169+(1-EXP(-LN(2)/25))/(LN(2)/25)*Calculateur!BL170*Calculateur!BN170*VLOOKUP('Données projet'!$B$11,Paramètres!$A$1:$I$89,3,0)*0.475*44/12</f>
        <v>2.0724244272616485</v>
      </c>
      <c r="BR170" s="23">
        <f>EXP(-LN(2)/2)*BR169+(1-EXP(-LN(2)/2))/(LN(2)/2)*BL170*BO170*VLOOKUP('Données projet'!$B$11,Paramètres!$A$1:$I$89,3,0)*0.475*44/12</f>
        <v>1.5638292474735711E-15</v>
      </c>
      <c r="BS170" s="24">
        <f t="shared" si="169"/>
        <v>22.718575241259273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8.5459999999999976</v>
      </c>
      <c r="BY170" s="13">
        <f>IF('Données projet'!$A$114&gt;35,BY169+BX170-CG169,IF(A170&lt;'Données projet'!$A$114,$BV$205^A170,IF(A170='Données projet'!$A$114,'Données projet'!$B$114,BY169+BX170-CG169)))</f>
        <v>485.82800000000037</v>
      </c>
      <c r="BZ170" s="14">
        <f>BY170*VLOOKUP('Données projet'!$B$12,Paramètres!$A$1:$I$89,3,0)*VLOOKUP('Données projet'!$B$12,Paramètres!$A$1:$I$89,5,0)</f>
        <v>469.89284160000039</v>
      </c>
      <c r="CA170" s="14">
        <f t="shared" si="170"/>
        <v>105.81085657384101</v>
      </c>
      <c r="CB170" s="22">
        <f t="shared" si="171"/>
        <v>1002.6839409861069</v>
      </c>
      <c r="CC170" s="62">
        <f t="shared" si="119"/>
        <v>1296.0172743194403</v>
      </c>
      <c r="CD170" s="62">
        <f ca="1">AVERAGE(OFFSET($CC$3,0,0,'Données projet'!$E$12+1,1))-AVERAGE(OFFSET($H$3,0,0,'Données projet'!$E$12+1,1))</f>
        <v>618.83149423524605</v>
      </c>
      <c r="CE170" s="62">
        <f t="shared" si="148"/>
        <v>285.33582535802435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80.579543195487872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80.579543195487872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349.5718186624772</v>
      </c>
      <c r="CZ170" s="62">
        <f t="shared" si="150"/>
        <v>258.14152930815959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36.040702607042988</v>
      </c>
      <c r="DG170" s="23">
        <f>EXP(-LN(2)/25)*DG169+(1-EXP(-LN(2)/25))/(LN(2)/25)*Calculateur!DB170*Calculateur!DD170*VLOOKUP('Données projet'!$B$13,Paramètres!$A$1:$I$89,3,0)*0.475*44/12</f>
        <v>2.827774197464263</v>
      </c>
      <c r="DH170" s="23">
        <f>EXP(-LN(2)/2)*DH169+(1-EXP(-LN(2)/2))/(LN(2)/2)*DB170*DE170*VLOOKUP('Données projet'!$B$13,Paramètres!$A$1:$I$89,3,0)*0.475*44/12</f>
        <v>2.5580278627484399E-12</v>
      </c>
      <c r="DI170" s="24">
        <f t="shared" si="175"/>
        <v>38.868476804509811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8.5265128291212022E-14</v>
      </c>
      <c r="DP170" s="18">
        <f>DO170*VLOOKUP('Données projet'!$B$14,Paramètres!$A$1:$I$89,3,0)*VLOOKUP('Données projet'!$B$14,Paramètres!$A$1:$I$89,5,0)</f>
        <v>7.4487616075202836E-14</v>
      </c>
      <c r="DQ170" s="14">
        <f t="shared" si="176"/>
        <v>1.1580453144473142E-12</v>
      </c>
      <c r="DR170" s="22">
        <f t="shared" si="177"/>
        <v>2.1466615206600508E-12</v>
      </c>
      <c r="DS170" s="62">
        <f t="shared" si="125"/>
        <v>293.33333333333547</v>
      </c>
      <c r="DT170" s="62">
        <f ca="1">AVERAGE(OFFSET($DS$3,0,0,'Données projet'!$E$14+1,1))-AVERAGE(OFFSET($H$3,0,0,'Données projet'!$E$14+1,1))</f>
        <v>300.63505444445104</v>
      </c>
      <c r="DU170" s="62">
        <f t="shared" si="152"/>
        <v>266.32508105927997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25.452868414856006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25.452868414856006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353.37024194969638</v>
      </c>
      <c r="EP170" s="62">
        <f t="shared" si="154"/>
        <v>345.4750813433123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27.720379963507089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27.720379963507089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8.5265128291212022E-14</v>
      </c>
      <c r="FF170" s="18">
        <f>FE170*VLOOKUP('Données projet'!$B$16,Paramètres!$A$1:$I$89,3,0)*VLOOKUP('Données projet'!$B$16,Paramètres!$A$1:$I$89,5,0)</f>
        <v>5.5865712056402117E-14</v>
      </c>
      <c r="FG170" s="14">
        <f t="shared" si="182"/>
        <v>8.9811031843713517E-13</v>
      </c>
      <c r="FH170" s="22">
        <f t="shared" si="183"/>
        <v>1.6615082531095774E-12</v>
      </c>
      <c r="FI170" s="62">
        <f t="shared" si="131"/>
        <v>293.33333333333496</v>
      </c>
      <c r="FJ170" s="62">
        <f ca="1">AVERAGE(OFFSET($FI$3,0,0,'Données projet'!$E$16+1,1))-AVERAGE(OFFSET($H$3,0,0,'Données projet'!$E$16+1,1))</f>
        <v>263.30962868541337</v>
      </c>
      <c r="FK170" s="62">
        <f t="shared" si="156"/>
        <v>269.61868559913404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17.925706279487116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17.925706279487116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262.06511368698341</v>
      </c>
      <c r="T171" s="62">
        <f t="shared" si="142"/>
        <v>217.15709240080542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38.669968954387208</v>
      </c>
      <c r="AA171" s="23">
        <f>EXP(-LN(2)/25)*AA170+(1-EXP(-LN(2)/25))/(LN(2)/25)*Calculateur!V171*Calculateur!X171*VLOOKUP('Données projet'!$B$9,Paramètres!$A$1:$I$89,3,0)*0.475*44/12</f>
        <v>3.6761337191321029</v>
      </c>
      <c r="AB171" s="23">
        <f>EXP(-LN(2)/2)*AB170+(1-EXP(-LN(2)/2))/(LN(2)/2)*V171*Y171*VLOOKUP('Données projet'!$B$9,Paramètres!$A$1:$I$89,3,0)*0.475*44/12</f>
        <v>2.8039507203326461E-8</v>
      </c>
      <c r="AC171" s="24">
        <f t="shared" si="163"/>
        <v>42.34610270155882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287.83167869616227</v>
      </c>
      <c r="AO171" s="62">
        <f t="shared" si="144"/>
        <v>233.84231920589906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41.825663218983543</v>
      </c>
      <c r="AV171" s="23">
        <f>EXP(-LN(2)/25)*AV170+(1-EXP(-LN(2)/25))/(LN(2)/25)*Calculateur!AQ171*Calculateur!AS171*VLOOKUP('Données projet'!$B$10,Paramètres!$A$1:$I$89,3,0)*0.475*44/12</f>
        <v>4.5551463295269743</v>
      </c>
      <c r="AW171" s="23">
        <f>EXP(-LN(2)/2)*AW170+(1-EXP(-LN(2)/2))/(LN(2)/2)*AQ171*AT171*VLOOKUP('Données projet'!$B$10,Paramètres!$A$1:$I$89,3,0)*0.475*44/12</f>
        <v>8.6825898867768717E-10</v>
      </c>
      <c r="AX171" s="23">
        <f t="shared" si="166"/>
        <v>46.380809549378782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-1.064108801074326E-13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262.36903350767881</v>
      </c>
      <c r="BJ171" s="62">
        <f t="shared" si="146"/>
        <v>331.21009482262417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20.241292389443682</v>
      </c>
      <c r="BQ171" s="23">
        <f>EXP(-LN(2)/25)*BQ170+(1-EXP(-LN(2)/25))/(LN(2)/25)*Calculateur!BL171*Calculateur!BN171*VLOOKUP('Données projet'!$B$11,Paramètres!$A$1:$I$89,3,0)*0.475*44/12</f>
        <v>2.0157538723141148</v>
      </c>
      <c r="BR171" s="23">
        <f>EXP(-LN(2)/2)*BR170+(1-EXP(-LN(2)/2))/(LN(2)/2)*BL171*BO171*VLOOKUP('Données projet'!$B$11,Paramètres!$A$1:$I$89,3,0)*0.475*44/12</f>
        <v>1.1057942655064177E-15</v>
      </c>
      <c r="BS171" s="24">
        <f t="shared" si="169"/>
        <v>22.257046261757797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8.5459999999999976</v>
      </c>
      <c r="BY171" s="13">
        <f>IF('Données projet'!$A$114&gt;35,BY170+BX171-CG170,IF(A171&lt;'Données projet'!$A$114,$BV$205^A171,IF(A171='Données projet'!$A$114,'Données projet'!$B$114,BY170+BX171-CG170)))</f>
        <v>494.37400000000036</v>
      </c>
      <c r="BZ171" s="14">
        <f>BY171*VLOOKUP('Données projet'!$B$12,Paramètres!$A$1:$I$89,3,0)*VLOOKUP('Données projet'!$B$12,Paramètres!$A$1:$I$89,5,0)</f>
        <v>478.15853280000039</v>
      </c>
      <c r="CA171" s="14">
        <f t="shared" si="170"/>
        <v>107.45380649160349</v>
      </c>
      <c r="CB171" s="22">
        <f t="shared" si="171"/>
        <v>1019.9414909328767</v>
      </c>
      <c r="CC171" s="62">
        <f t="shared" si="119"/>
        <v>1313.2748242662101</v>
      </c>
      <c r="CD171" s="62">
        <f ca="1">AVERAGE(OFFSET($CC$3,0,0,'Données projet'!$E$12+1,1))-AVERAGE(OFFSET($H$3,0,0,'Données projet'!$E$12+1,1))</f>
        <v>618.83149423524605</v>
      </c>
      <c r="CE171" s="62">
        <f t="shared" si="148"/>
        <v>285.33582535802435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78.999427502092672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78.999427502092672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349.5718186624772</v>
      </c>
      <c r="CZ171" s="62">
        <f t="shared" si="150"/>
        <v>258.14152930815959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35.33396641157686</v>
      </c>
      <c r="DG171" s="23">
        <f>EXP(-LN(2)/25)*DG170+(1-EXP(-LN(2)/25))/(LN(2)/25)*Calculateur!DB171*Calculateur!DD171*VLOOKUP('Données projet'!$B$13,Paramètres!$A$1:$I$89,3,0)*0.475*44/12</f>
        <v>2.7504485633284208</v>
      </c>
      <c r="DH171" s="23">
        <f>EXP(-LN(2)/2)*DH170+(1-EXP(-LN(2)/2))/(LN(2)/2)*DB171*DE171*VLOOKUP('Données projet'!$B$13,Paramètres!$A$1:$I$89,3,0)*0.475*44/12</f>
        <v>1.8087988482135531E-12</v>
      </c>
      <c r="DI171" s="24">
        <f t="shared" si="175"/>
        <v>38.084414974907091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8.5265128291212022E-14</v>
      </c>
      <c r="DP171" s="18">
        <f>DO171*VLOOKUP('Données projet'!$B$14,Paramètres!$A$1:$I$89,3,0)*VLOOKUP('Données projet'!$B$14,Paramètres!$A$1:$I$89,5,0)</f>
        <v>7.4487616075202836E-14</v>
      </c>
      <c r="DQ171" s="14">
        <f t="shared" si="176"/>
        <v>1.1580453144473142E-12</v>
      </c>
      <c r="DR171" s="22">
        <f t="shared" si="177"/>
        <v>2.1466615206600508E-12</v>
      </c>
      <c r="DS171" s="62">
        <f t="shared" si="125"/>
        <v>293.33333333333547</v>
      </c>
      <c r="DT171" s="62">
        <f ca="1">AVERAGE(OFFSET($DS$3,0,0,'Données projet'!$E$14+1,1))-AVERAGE(OFFSET($H$3,0,0,'Données projet'!$E$14+1,1))</f>
        <v>300.63505444445104</v>
      </c>
      <c r="DU171" s="62">
        <f t="shared" si="152"/>
        <v>266.32508105927997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24.953753189957474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24.953753189957474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353.37024194969638</v>
      </c>
      <c r="EP171" s="62">
        <f t="shared" si="154"/>
        <v>345.4750813433123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27.17680022018499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27.17680022018499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8.5265128291212022E-14</v>
      </c>
      <c r="FF171" s="18">
        <f>FE171*VLOOKUP('Données projet'!$B$16,Paramètres!$A$1:$I$89,3,0)*VLOOKUP('Données projet'!$B$16,Paramètres!$A$1:$I$89,5,0)</f>
        <v>5.5865712056402117E-14</v>
      </c>
      <c r="FG171" s="14">
        <f t="shared" si="182"/>
        <v>8.9811031843713517E-13</v>
      </c>
      <c r="FH171" s="22">
        <f t="shared" si="183"/>
        <v>1.6615082531095774E-12</v>
      </c>
      <c r="FI171" s="62">
        <f t="shared" si="131"/>
        <v>293.33333333333496</v>
      </c>
      <c r="FJ171" s="62">
        <f ca="1">AVERAGE(OFFSET($FI$3,0,0,'Données projet'!$E$16+1,1))-AVERAGE(OFFSET($H$3,0,0,'Données projet'!$E$16+1,1))</f>
        <v>263.30962868541337</v>
      </c>
      <c r="FK171" s="62">
        <f t="shared" si="156"/>
        <v>269.61868559913404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17.574194112947602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17.574194112947602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262.06511368698341</v>
      </c>
      <c r="T172" s="62">
        <f t="shared" si="142"/>
        <v>217.15709240080542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37.911674449543781</v>
      </c>
      <c r="AA172" s="23">
        <f>EXP(-LN(2)/25)*AA171+(1-EXP(-LN(2)/25))/(LN(2)/25)*Calculateur!V172*Calculateur!X172*VLOOKUP('Données projet'!$B$9,Paramètres!$A$1:$I$89,3,0)*0.475*44/12</f>
        <v>3.5756096492629652</v>
      </c>
      <c r="AB172" s="23">
        <f>EXP(-LN(2)/2)*AB171+(1-EXP(-LN(2)/2))/(LN(2)/2)*V172*Y172*VLOOKUP('Données projet'!$B$9,Paramètres!$A$1:$I$89,3,0)*0.475*44/12</f>
        <v>1.9826925684601186E-8</v>
      </c>
      <c r="AC172" s="24">
        <f t="shared" si="163"/>
        <v>41.487284118633674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287.83167869616227</v>
      </c>
      <c r="AO172" s="62">
        <f t="shared" si="144"/>
        <v>233.84231920589906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41.005487474394826</v>
      </c>
      <c r="AV172" s="23">
        <f>EXP(-LN(2)/25)*AV171+(1-EXP(-LN(2)/25))/(LN(2)/25)*Calculateur!AQ172*Calculateur!AS172*VLOOKUP('Données projet'!$B$10,Paramètres!$A$1:$I$89,3,0)*0.475*44/12</f>
        <v>4.4305856136013251</v>
      </c>
      <c r="AW172" s="23">
        <f>EXP(-LN(2)/2)*AW171+(1-EXP(-LN(2)/2))/(LN(2)/2)*AQ172*AT172*VLOOKUP('Données projet'!$B$10,Paramètres!$A$1:$I$89,3,0)*0.475*44/12</f>
        <v>6.1395181872016638E-10</v>
      </c>
      <c r="AX172" s="23">
        <f t="shared" si="166"/>
        <v>45.436073088610101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-1.064108801074326E-13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262.36903350767881</v>
      </c>
      <c r="BJ172" s="62">
        <f t="shared" si="146"/>
        <v>331.21009482262417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19.844372991655987</v>
      </c>
      <c r="BQ172" s="23">
        <f>EXP(-LN(2)/25)*BQ171+(1-EXP(-LN(2)/25))/(LN(2)/25)*Calculateur!BL172*Calculateur!BN172*VLOOKUP('Données projet'!$B$11,Paramètres!$A$1:$I$89,3,0)*0.475*44/12</f>
        <v>1.9606329766717963</v>
      </c>
      <c r="BR172" s="23">
        <f>EXP(-LN(2)/2)*BR171+(1-EXP(-LN(2)/2))/(LN(2)/2)*BL172*BO172*VLOOKUP('Données projet'!$B$11,Paramètres!$A$1:$I$89,3,0)*0.475*44/12</f>
        <v>7.8191462373678557E-16</v>
      </c>
      <c r="BS172" s="24">
        <f t="shared" si="169"/>
        <v>21.805005968327784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8.5459999999999976</v>
      </c>
      <c r="BY172" s="13">
        <f>IF('Données projet'!$A$114&gt;35,BY171+BX172-CG171,IF(A172&lt;'Données projet'!$A$114,$BV$205^A172,IF(A172='Données projet'!$A$114,'Données projet'!$B$114,BY171+BX172-CG171)))</f>
        <v>502.92000000000036</v>
      </c>
      <c r="BZ172" s="14">
        <f>BY172*VLOOKUP('Données projet'!$B$12,Paramètres!$A$1:$I$89,3,0)*VLOOKUP('Données projet'!$B$12,Paramètres!$A$1:$I$89,5,0)</f>
        <v>486.42422400000038</v>
      </c>
      <c r="CA172" s="14">
        <f t="shared" si="170"/>
        <v>109.09345369831506</v>
      </c>
      <c r="CB172" s="22">
        <f t="shared" si="171"/>
        <v>1037.1932886578995</v>
      </c>
      <c r="CC172" s="62">
        <f t="shared" si="119"/>
        <v>1330.5266219912328</v>
      </c>
      <c r="CD172" s="62">
        <f ca="1">AVERAGE(OFFSET($CC$3,0,0,'Données projet'!$E$12+1,1))-AVERAGE(OFFSET($H$3,0,0,'Données projet'!$E$12+1,1))</f>
        <v>618.83149423524605</v>
      </c>
      <c r="CE172" s="62">
        <f t="shared" si="148"/>
        <v>285.33582535802435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77.450296913669547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77.450296913669547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349.5718186624772</v>
      </c>
      <c r="CZ172" s="62">
        <f t="shared" si="150"/>
        <v>258.14152930815959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34.641088881837305</v>
      </c>
      <c r="DG172" s="23">
        <f>EXP(-LN(2)/25)*DG171+(1-EXP(-LN(2)/25))/(LN(2)/25)*Calculateur!DB172*Calculateur!DD172*VLOOKUP('Données projet'!$B$13,Paramètres!$A$1:$I$89,3,0)*0.475*44/12</f>
        <v>2.6752374027244015</v>
      </c>
      <c r="DH172" s="23">
        <f>EXP(-LN(2)/2)*DH171+(1-EXP(-LN(2)/2))/(LN(2)/2)*DB172*DE172*VLOOKUP('Données projet'!$B$13,Paramètres!$A$1:$I$89,3,0)*0.475*44/12</f>
        <v>1.2790139313742201E-12</v>
      </c>
      <c r="DI172" s="24">
        <f t="shared" si="175"/>
        <v>37.316326284562983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8.5265128291212022E-14</v>
      </c>
      <c r="DP172" s="18">
        <f>DO172*VLOOKUP('Données projet'!$B$14,Paramètres!$A$1:$I$89,3,0)*VLOOKUP('Données projet'!$B$14,Paramètres!$A$1:$I$89,5,0)</f>
        <v>7.4487616075202836E-14</v>
      </c>
      <c r="DQ172" s="14">
        <f t="shared" si="176"/>
        <v>1.1580453144473142E-12</v>
      </c>
      <c r="DR172" s="22">
        <f t="shared" si="177"/>
        <v>2.1466615206600508E-12</v>
      </c>
      <c r="DS172" s="62">
        <f t="shared" si="125"/>
        <v>293.33333333333547</v>
      </c>
      <c r="DT172" s="62">
        <f ca="1">AVERAGE(OFFSET($DS$3,0,0,'Données projet'!$E$14+1,1))-AVERAGE(OFFSET($H$3,0,0,'Données projet'!$E$14+1,1))</f>
        <v>300.63505444445104</v>
      </c>
      <c r="DU172" s="62">
        <f t="shared" si="152"/>
        <v>266.32508105927997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24.464425310188975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24.464425310188975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353.37024194969638</v>
      </c>
      <c r="EP172" s="62">
        <f t="shared" si="154"/>
        <v>345.4750813433123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26.643879744078532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26.643879744078532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8.5265128291212022E-14</v>
      </c>
      <c r="FF172" s="18">
        <f>FE172*VLOOKUP('Données projet'!$B$16,Paramètres!$A$1:$I$89,3,0)*VLOOKUP('Données projet'!$B$16,Paramètres!$A$1:$I$89,5,0)</f>
        <v>5.5865712056402117E-14</v>
      </c>
      <c r="FG172" s="14">
        <f t="shared" si="182"/>
        <v>8.9811031843713517E-13</v>
      </c>
      <c r="FH172" s="22">
        <f t="shared" si="183"/>
        <v>1.6615082531095774E-12</v>
      </c>
      <c r="FI172" s="62">
        <f t="shared" si="131"/>
        <v>293.33333333333496</v>
      </c>
      <c r="FJ172" s="62">
        <f ca="1">AVERAGE(OFFSET($FI$3,0,0,'Données projet'!$E$16+1,1))-AVERAGE(OFFSET($H$3,0,0,'Données projet'!$E$16+1,1))</f>
        <v>263.30962868541337</v>
      </c>
      <c r="FK172" s="62">
        <f t="shared" si="156"/>
        <v>269.61868559913404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17.229574885592676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17.229574885592676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262.06511368698341</v>
      </c>
      <c r="T173" s="62">
        <f t="shared" si="142"/>
        <v>217.15709240080542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37.168249637426349</v>
      </c>
      <c r="AA173" s="23">
        <f>EXP(-LN(2)/25)*AA172+(1-EXP(-LN(2)/25))/(LN(2)/25)*Calculateur!V173*Calculateur!X173*VLOOKUP('Données projet'!$B$9,Paramètres!$A$1:$I$89,3,0)*0.475*44/12</f>
        <v>3.4778344153707303</v>
      </c>
      <c r="AB173" s="23">
        <f>EXP(-LN(2)/2)*AB172+(1-EXP(-LN(2)/2))/(LN(2)/2)*V173*Y173*VLOOKUP('Données projet'!$B$9,Paramètres!$A$1:$I$89,3,0)*0.475*44/12</f>
        <v>1.401975360166323E-8</v>
      </c>
      <c r="AC173" s="24">
        <f t="shared" si="163"/>
        <v>40.646084066816833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287.83167869616227</v>
      </c>
      <c r="AO173" s="62">
        <f t="shared" si="144"/>
        <v>233.84231920589906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40.20139487589968</v>
      </c>
      <c r="AV173" s="23">
        <f>EXP(-LN(2)/25)*AV172+(1-EXP(-LN(2)/25))/(LN(2)/25)*Calculateur!AQ173*Calculateur!AS173*VLOOKUP('Données projet'!$B$10,Paramètres!$A$1:$I$89,3,0)*0.475*44/12</f>
        <v>4.3094310170030257</v>
      </c>
      <c r="AW173" s="23">
        <f>EXP(-LN(2)/2)*AW172+(1-EXP(-LN(2)/2))/(LN(2)/2)*AQ173*AT173*VLOOKUP('Données projet'!$B$10,Paramètres!$A$1:$I$89,3,0)*0.475*44/12</f>
        <v>4.3412949433884359E-10</v>
      </c>
      <c r="AX173" s="23">
        <f t="shared" si="166"/>
        <v>44.510825893336836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-1.064108801074326E-13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262.36903350767881</v>
      </c>
      <c r="BJ173" s="62">
        <f t="shared" si="146"/>
        <v>331.21009482262417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19.455236941161981</v>
      </c>
      <c r="BQ173" s="23">
        <f>EXP(-LN(2)/25)*BQ172+(1-EXP(-LN(2)/25))/(LN(2)/25)*Calculateur!BL173*Calculateur!BN173*VLOOKUP('Données projet'!$B$11,Paramètres!$A$1:$I$89,3,0)*0.475*44/12</f>
        <v>1.9070193648194989</v>
      </c>
      <c r="BR173" s="23">
        <f>EXP(-LN(2)/2)*BR172+(1-EXP(-LN(2)/2))/(LN(2)/2)*BL173*BO173*VLOOKUP('Données projet'!$B$11,Paramètres!$A$1:$I$89,3,0)*0.475*44/12</f>
        <v>5.5289713275320886E-16</v>
      </c>
      <c r="BS173" s="24">
        <f t="shared" si="169"/>
        <v>21.362256305981479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8.5459999999999976</v>
      </c>
      <c r="BY173" s="13">
        <f>IF('Données projet'!$A$114&gt;35,BY172+BX173-CG172,IF(A173&lt;'Données projet'!$A$114,$BV$205^A173,IF(A173='Données projet'!$A$114,'Données projet'!$B$114,BY172+BX173-CG172)))</f>
        <v>511.46600000000035</v>
      </c>
      <c r="BZ173" s="14">
        <f>BY173*VLOOKUP('Données projet'!$B$12,Paramètres!$A$1:$I$89,3,0)*VLOOKUP('Données projet'!$B$12,Paramètres!$A$1:$I$89,5,0)</f>
        <v>494.68991520000037</v>
      </c>
      <c r="CA173" s="14">
        <f t="shared" si="170"/>
        <v>110.72986079292981</v>
      </c>
      <c r="CB173" s="22">
        <f t="shared" si="171"/>
        <v>1054.4394431876869</v>
      </c>
      <c r="CC173" s="62">
        <f t="shared" si="119"/>
        <v>1347.7727765210202</v>
      </c>
      <c r="CD173" s="62">
        <f ca="1">AVERAGE(OFFSET($CC$3,0,0,'Données projet'!$E$12+1,1))-AVERAGE(OFFSET($H$3,0,0,'Données projet'!$E$12+1,1))</f>
        <v>618.83149423524605</v>
      </c>
      <c r="CE173" s="62">
        <f t="shared" si="148"/>
        <v>285.33582535802435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75.931543831209041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75.931543831209041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349.5718186624772</v>
      </c>
      <c r="CZ173" s="62">
        <f t="shared" si="150"/>
        <v>258.14152930815959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33.961798257842382</v>
      </c>
      <c r="DG173" s="23">
        <f>EXP(-LN(2)/25)*DG172+(1-EXP(-LN(2)/25))/(LN(2)/25)*Calculateur!DB173*Calculateur!DD173*VLOOKUP('Données projet'!$B$13,Paramètres!$A$1:$I$89,3,0)*0.475*44/12</f>
        <v>2.6020828952622819</v>
      </c>
      <c r="DH173" s="23">
        <f>EXP(-LN(2)/2)*DH172+(1-EXP(-LN(2)/2))/(LN(2)/2)*DB173*DE173*VLOOKUP('Données projet'!$B$13,Paramètres!$A$1:$I$89,3,0)*0.475*44/12</f>
        <v>9.0439942410677664E-13</v>
      </c>
      <c r="DI173" s="24">
        <f t="shared" si="175"/>
        <v>36.563881153105569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8.5265128291212022E-14</v>
      </c>
      <c r="DP173" s="18">
        <f>DO173*VLOOKUP('Données projet'!$B$14,Paramètres!$A$1:$I$89,3,0)*VLOOKUP('Données projet'!$B$14,Paramètres!$A$1:$I$89,5,0)</f>
        <v>7.4487616075202836E-14</v>
      </c>
      <c r="DQ173" s="14">
        <f t="shared" si="176"/>
        <v>1.1580453144473142E-12</v>
      </c>
      <c r="DR173" s="22">
        <f t="shared" si="177"/>
        <v>2.1466615206600508E-12</v>
      </c>
      <c r="DS173" s="62">
        <f t="shared" si="125"/>
        <v>293.33333333333547</v>
      </c>
      <c r="DT173" s="62">
        <f ca="1">AVERAGE(OFFSET($DS$3,0,0,'Données projet'!$E$14+1,1))-AVERAGE(OFFSET($H$3,0,0,'Données projet'!$E$14+1,1))</f>
        <v>300.63505444445104</v>
      </c>
      <c r="DU173" s="62">
        <f t="shared" si="152"/>
        <v>266.32508105927997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23.984692851682201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23.984692851682201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353.37024194969638</v>
      </c>
      <c r="EP173" s="62">
        <f t="shared" si="154"/>
        <v>345.4750813433123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26.121409513459128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26.121409513459128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8.5265128291212022E-14</v>
      </c>
      <c r="FF173" s="18">
        <f>FE173*VLOOKUP('Données projet'!$B$16,Paramètres!$A$1:$I$89,3,0)*VLOOKUP('Données projet'!$B$16,Paramètres!$A$1:$I$89,5,0)</f>
        <v>5.5865712056402117E-14</v>
      </c>
      <c r="FG173" s="14">
        <f t="shared" si="182"/>
        <v>8.9811031843713517E-13</v>
      </c>
      <c r="FH173" s="22">
        <f t="shared" si="183"/>
        <v>1.6615082531095774E-12</v>
      </c>
      <c r="FI173" s="62">
        <f t="shared" si="131"/>
        <v>293.33333333333496</v>
      </c>
      <c r="FJ173" s="62">
        <f ca="1">AVERAGE(OFFSET($FI$3,0,0,'Données projet'!$E$16+1,1))-AVERAGE(OFFSET($H$3,0,0,'Données projet'!$E$16+1,1))</f>
        <v>263.30962868541337</v>
      </c>
      <c r="FK173" s="62">
        <f t="shared" si="156"/>
        <v>269.61868559913404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16.891713431089205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16.891713431089205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262.06511368698341</v>
      </c>
      <c r="T174" s="62">
        <f t="shared" si="142"/>
        <v>217.15709240080542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36.439402932430184</v>
      </c>
      <c r="AA174" s="23">
        <f>EXP(-LN(2)/25)*AA173+(1-EXP(-LN(2)/25))/(LN(2)/25)*Calculateur!V174*Calculateur!X174*VLOOKUP('Données projet'!$B$9,Paramètres!$A$1:$I$89,3,0)*0.475*44/12</f>
        <v>3.3827328503910543</v>
      </c>
      <c r="AB174" s="23">
        <f>EXP(-LN(2)/2)*AB173+(1-EXP(-LN(2)/2))/(LN(2)/2)*V174*Y174*VLOOKUP('Données projet'!$B$9,Paramètres!$A$1:$I$89,3,0)*0.475*44/12</f>
        <v>9.9134628423005932E-9</v>
      </c>
      <c r="AC174" s="24">
        <f t="shared" si="163"/>
        <v>39.822135792734699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287.83167869616227</v>
      </c>
      <c r="AO174" s="62">
        <f t="shared" si="144"/>
        <v>233.84231920589906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39.413070042812969</v>
      </c>
      <c r="AV174" s="23">
        <f>EXP(-LN(2)/25)*AV173+(1-EXP(-LN(2)/25))/(LN(2)/25)*Calculateur!AQ174*Calculateur!AS174*VLOOKUP('Données projet'!$B$10,Paramètres!$A$1:$I$89,3,0)*0.475*44/12</f>
        <v>4.19158939921995</v>
      </c>
      <c r="AW174" s="23">
        <f>EXP(-LN(2)/2)*AW173+(1-EXP(-LN(2)/2))/(LN(2)/2)*AQ174*AT174*VLOOKUP('Données projet'!$B$10,Paramètres!$A$1:$I$89,3,0)*0.475*44/12</f>
        <v>3.0697590936008319E-10</v>
      </c>
      <c r="AX174" s="23">
        <f t="shared" si="166"/>
        <v>43.604659442339894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-1.064108801074326E-13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262.36903350767881</v>
      </c>
      <c r="BJ174" s="62">
        <f t="shared" si="146"/>
        <v>331.21009482262417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19.073731611268606</v>
      </c>
      <c r="BQ174" s="23">
        <f>EXP(-LN(2)/25)*BQ173+(1-EXP(-LN(2)/25))/(LN(2)/25)*Calculateur!BL174*Calculateur!BN174*VLOOKUP('Données projet'!$B$11,Paramètres!$A$1:$I$89,3,0)*0.475*44/12</f>
        <v>1.8548718200027199</v>
      </c>
      <c r="BR174" s="23">
        <f>EXP(-LN(2)/2)*BR173+(1-EXP(-LN(2)/2))/(LN(2)/2)*BL174*BO174*VLOOKUP('Données projet'!$B$11,Paramètres!$A$1:$I$89,3,0)*0.475*44/12</f>
        <v>3.9095731186839278E-16</v>
      </c>
      <c r="BS174" s="24">
        <f t="shared" si="169"/>
        <v>20.928603431271327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8.5459999999999976</v>
      </c>
      <c r="BY174" s="13">
        <f>IF('Données projet'!$A$114&gt;35,BY173+BX174-CG173,IF(A174&lt;'Données projet'!$A$114,$BV$205^A174,IF(A174='Données projet'!$A$114,'Données projet'!$B$114,BY173+BX174-CG173)))</f>
        <v>520.0120000000004</v>
      </c>
      <c r="BZ174" s="14">
        <f>BY174*VLOOKUP('Données projet'!$B$12,Paramètres!$A$1:$I$89,3,0)*VLOOKUP('Données projet'!$B$12,Paramètres!$A$1:$I$89,5,0)</f>
        <v>502.95560640000036</v>
      </c>
      <c r="CA174" s="14">
        <f t="shared" si="170"/>
        <v>112.36308816258565</v>
      </c>
      <c r="CB174" s="22">
        <f t="shared" si="171"/>
        <v>1071.6800596965038</v>
      </c>
      <c r="CC174" s="62">
        <f t="shared" si="119"/>
        <v>1365.0133930298371</v>
      </c>
      <c r="CD174" s="62">
        <f ca="1">AVERAGE(OFFSET($CC$3,0,0,'Données projet'!$E$12+1,1))-AVERAGE(OFFSET($H$3,0,0,'Données projet'!$E$12+1,1))</f>
        <v>618.83149423524605</v>
      </c>
      <c r="CE174" s="62">
        <f t="shared" si="148"/>
        <v>285.33582535802435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74.442572570347679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74.442572570347679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349.5718186624772</v>
      </c>
      <c r="CZ174" s="62">
        <f t="shared" si="150"/>
        <v>258.14152930815959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33.295828108657631</v>
      </c>
      <c r="DG174" s="23">
        <f>EXP(-LN(2)/25)*DG173+(1-EXP(-LN(2)/25))/(LN(2)/25)*Calculateur!DB174*Calculateur!DD174*VLOOKUP('Données projet'!$B$13,Paramètres!$A$1:$I$89,3,0)*0.475*44/12</f>
        <v>2.5309288016537423</v>
      </c>
      <c r="DH174" s="23">
        <f>EXP(-LN(2)/2)*DH173+(1-EXP(-LN(2)/2))/(LN(2)/2)*DB174*DE174*VLOOKUP('Données projet'!$B$13,Paramètres!$A$1:$I$89,3,0)*0.475*44/12</f>
        <v>6.3950696568711017E-13</v>
      </c>
      <c r="DI174" s="24">
        <f t="shared" si="175"/>
        <v>35.826756910312014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8.5265128291212022E-14</v>
      </c>
      <c r="DP174" s="18">
        <f>DO174*VLOOKUP('Données projet'!$B$14,Paramètres!$A$1:$I$89,3,0)*VLOOKUP('Données projet'!$B$14,Paramètres!$A$1:$I$89,5,0)</f>
        <v>7.4487616075202836E-14</v>
      </c>
      <c r="DQ174" s="14">
        <f t="shared" si="176"/>
        <v>1.1580453144473142E-12</v>
      </c>
      <c r="DR174" s="22">
        <f t="shared" si="177"/>
        <v>2.1466615206600508E-12</v>
      </c>
      <c r="DS174" s="62">
        <f t="shared" si="125"/>
        <v>293.33333333333547</v>
      </c>
      <c r="DT174" s="62">
        <f ca="1">AVERAGE(OFFSET($DS$3,0,0,'Données projet'!$E$14+1,1))-AVERAGE(OFFSET($H$3,0,0,'Données projet'!$E$14+1,1))</f>
        <v>300.63505444445104</v>
      </c>
      <c r="DU174" s="62">
        <f t="shared" si="152"/>
        <v>266.32508105927997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23.514367654078839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23.514367654078839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353.37024194969638</v>
      </c>
      <c r="EP174" s="62">
        <f t="shared" si="154"/>
        <v>345.4750813433123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25.609184605386794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25.609184605386794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8.5265128291212022E-14</v>
      </c>
      <c r="FF174" s="18">
        <f>FE174*VLOOKUP('Données projet'!$B$16,Paramètres!$A$1:$I$89,3,0)*VLOOKUP('Données projet'!$B$16,Paramètres!$A$1:$I$89,5,0)</f>
        <v>5.5865712056402117E-14</v>
      </c>
      <c r="FG174" s="14">
        <f t="shared" si="182"/>
        <v>8.9811031843713517E-13</v>
      </c>
      <c r="FH174" s="22">
        <f t="shared" si="183"/>
        <v>1.6615082531095774E-12</v>
      </c>
      <c r="FI174" s="62">
        <f t="shared" si="131"/>
        <v>293.33333333333496</v>
      </c>
      <c r="FJ174" s="62">
        <f ca="1">AVERAGE(OFFSET($FI$3,0,0,'Données projet'!$E$16+1,1))-AVERAGE(OFFSET($H$3,0,0,'Données projet'!$E$16+1,1))</f>
        <v>263.30962868541337</v>
      </c>
      <c r="FK174" s="62">
        <f t="shared" si="156"/>
        <v>269.61868559913404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16.56047723363341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16.56047723363341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262.06511368698341</v>
      </c>
      <c r="T175" s="62">
        <f t="shared" si="142"/>
        <v>217.15709240080542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35.724848466766396</v>
      </c>
      <c r="AA175" s="23">
        <f>EXP(-LN(2)/25)*AA174+(1-EXP(-LN(2)/25))/(LN(2)/25)*Calculateur!V175*Calculateur!X175*VLOOKUP('Données projet'!$B$9,Paramètres!$A$1:$I$89,3,0)*0.475*44/12</f>
        <v>3.2902318427069215</v>
      </c>
      <c r="AB175" s="23">
        <f>EXP(-LN(2)/2)*AB174+(1-EXP(-LN(2)/2))/(LN(2)/2)*V175*Y175*VLOOKUP('Données projet'!$B$9,Paramètres!$A$1:$I$89,3,0)*0.475*44/12</f>
        <v>7.0098768008316151E-9</v>
      </c>
      <c r="AC175" s="24">
        <f t="shared" si="163"/>
        <v>39.015080316483193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287.83167869616227</v>
      </c>
      <c r="AO175" s="62">
        <f t="shared" si="144"/>
        <v>233.84231920589906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38.640203778872419</v>
      </c>
      <c r="AV175" s="23">
        <f>EXP(-LN(2)/25)*AV174+(1-EXP(-LN(2)/25))/(LN(2)/25)*Calculateur!AQ175*Calculateur!AS175*VLOOKUP('Données projet'!$B$10,Paramètres!$A$1:$I$89,3,0)*0.475*44/12</f>
        <v>4.076970166672174</v>
      </c>
      <c r="AW175" s="23">
        <f>EXP(-LN(2)/2)*AW174+(1-EXP(-LN(2)/2))/(LN(2)/2)*AQ175*AT175*VLOOKUP('Données projet'!$B$10,Paramètres!$A$1:$I$89,3,0)*0.475*44/12</f>
        <v>2.1706474716942179E-10</v>
      </c>
      <c r="AX175" s="23">
        <f t="shared" si="166"/>
        <v>42.717173945761658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-1.064108801074326E-13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262.36903350767881</v>
      </c>
      <c r="BJ175" s="62">
        <f t="shared" si="146"/>
        <v>331.21009482262417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18.699707368199167</v>
      </c>
      <c r="BQ175" s="23">
        <f>EXP(-LN(2)/25)*BQ174+(1-EXP(-LN(2)/25))/(LN(2)/25)*Calculateur!BL175*Calculateur!BN175*VLOOKUP('Données projet'!$B$11,Paramètres!$A$1:$I$89,3,0)*0.475*44/12</f>
        <v>1.8041502525412758</v>
      </c>
      <c r="BR175" s="23">
        <f>EXP(-LN(2)/2)*BR174+(1-EXP(-LN(2)/2))/(LN(2)/2)*BL175*BO175*VLOOKUP('Données projet'!$B$11,Paramètres!$A$1:$I$89,3,0)*0.475*44/12</f>
        <v>2.7644856637660443E-16</v>
      </c>
      <c r="BS175" s="24">
        <f t="shared" si="169"/>
        <v>20.503857620740444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8.5459999999999976</v>
      </c>
      <c r="BY175" s="13">
        <f>IF('Données projet'!$A$114&gt;35,BY174+BX175-CG174,IF(A175&lt;'Données projet'!$A$114,$BV$205^A175,IF(A175='Données projet'!$A$114,'Données projet'!$B$114,BY174+BX175-CG174)))</f>
        <v>528.55800000000045</v>
      </c>
      <c r="BZ175" s="14">
        <f>BY175*VLOOKUP('Données projet'!$B$12,Paramètres!$A$1:$I$89,3,0)*VLOOKUP('Données projet'!$B$12,Paramètres!$A$1:$I$89,5,0)</f>
        <v>511.22129760000047</v>
      </c>
      <c r="CA175" s="14">
        <f t="shared" si="170"/>
        <v>113.99319409579488</v>
      </c>
      <c r="CB175" s="22">
        <f t="shared" si="171"/>
        <v>1088.9152397035102</v>
      </c>
      <c r="CC175" s="62">
        <f t="shared" si="119"/>
        <v>1382.2485730368435</v>
      </c>
      <c r="CD175" s="62">
        <f ca="1">AVERAGE(OFFSET($CC$3,0,0,'Données projet'!$E$12+1,1))-AVERAGE(OFFSET($H$3,0,0,'Données projet'!$E$12+1,1))</f>
        <v>618.83149423524605</v>
      </c>
      <c r="CE175" s="62">
        <f t="shared" si="148"/>
        <v>285.33582535802435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72.98279912772901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72.98279912772901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349.5718186624772</v>
      </c>
      <c r="CZ175" s="62">
        <f t="shared" si="150"/>
        <v>258.14152930815959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32.64291722789671</v>
      </c>
      <c r="DG175" s="23">
        <f>EXP(-LN(2)/25)*DG174+(1-EXP(-LN(2)/25))/(LN(2)/25)*Calculateur!DB175*Calculateur!DD175*VLOOKUP('Données projet'!$B$13,Paramètres!$A$1:$I$89,3,0)*0.475*44/12</f>
        <v>2.4617204204767598</v>
      </c>
      <c r="DH175" s="23">
        <f>EXP(-LN(2)/2)*DH174+(1-EXP(-LN(2)/2))/(LN(2)/2)*DB175*DE175*VLOOKUP('Données projet'!$B$13,Paramètres!$A$1:$I$89,3,0)*0.475*44/12</f>
        <v>4.5219971205338842E-13</v>
      </c>
      <c r="DI175" s="24">
        <f t="shared" si="175"/>
        <v>35.104637648373924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8.5265128291212022E-14</v>
      </c>
      <c r="DP175" s="18">
        <f>DO175*VLOOKUP('Données projet'!$B$14,Paramètres!$A$1:$I$89,3,0)*VLOOKUP('Données projet'!$B$14,Paramètres!$A$1:$I$89,5,0)</f>
        <v>7.4487616075202836E-14</v>
      </c>
      <c r="DQ175" s="14">
        <f t="shared" si="176"/>
        <v>1.1580453144473142E-12</v>
      </c>
      <c r="DR175" s="22">
        <f t="shared" si="177"/>
        <v>2.1466615206600508E-12</v>
      </c>
      <c r="DS175" s="62">
        <f t="shared" si="125"/>
        <v>293.33333333333547</v>
      </c>
      <c r="DT175" s="62">
        <f ca="1">AVERAGE(OFFSET($DS$3,0,0,'Données projet'!$E$14+1,1))-AVERAGE(OFFSET($H$3,0,0,'Données projet'!$E$14+1,1))</f>
        <v>300.63505444445104</v>
      </c>
      <c r="DU175" s="62">
        <f t="shared" si="152"/>
        <v>266.32508105927997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23.053265246730433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23.053265246730433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353.37024194969638</v>
      </c>
      <c r="EP175" s="62">
        <f t="shared" si="154"/>
        <v>345.4750813433123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25.107004115335414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25.107004115335414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8.5265128291212022E-14</v>
      </c>
      <c r="FF175" s="18">
        <f>FE175*VLOOKUP('Données projet'!$B$16,Paramètres!$A$1:$I$89,3,0)*VLOOKUP('Données projet'!$B$16,Paramètres!$A$1:$I$89,5,0)</f>
        <v>5.5865712056402117E-14</v>
      </c>
      <c r="FG175" s="14">
        <f t="shared" si="182"/>
        <v>8.9811031843713517E-13</v>
      </c>
      <c r="FH175" s="22">
        <f t="shared" si="183"/>
        <v>1.6615082531095774E-12</v>
      </c>
      <c r="FI175" s="62">
        <f t="shared" si="131"/>
        <v>293.33333333333496</v>
      </c>
      <c r="FJ175" s="62">
        <f ca="1">AVERAGE(OFFSET($FI$3,0,0,'Données projet'!$E$16+1,1))-AVERAGE(OFFSET($H$3,0,0,'Données projet'!$E$16+1,1))</f>
        <v>263.30962868541337</v>
      </c>
      <c r="FK175" s="62">
        <f t="shared" si="156"/>
        <v>269.61868559913404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16.235736375975591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16.235736375975591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262.06511368698341</v>
      </c>
      <c r="T176" s="62">
        <f t="shared" si="142"/>
        <v>217.15709240080542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35.024305978339086</v>
      </c>
      <c r="AA176" s="23">
        <f>EXP(-LN(2)/25)*AA175+(1-EXP(-LN(2)/25))/(LN(2)/25)*Calculateur!V176*Calculateur!X176*VLOOKUP('Données projet'!$B$9,Paramètres!$A$1:$I$89,3,0)*0.475*44/12</f>
        <v>3.2002602799423281</v>
      </c>
      <c r="AB176" s="23">
        <f>EXP(-LN(2)/2)*AB175+(1-EXP(-LN(2)/2))/(LN(2)/2)*V176*Y176*VLOOKUP('Données projet'!$B$9,Paramètres!$A$1:$I$89,3,0)*0.475*44/12</f>
        <v>4.9567314211502966E-9</v>
      </c>
      <c r="AC176" s="24">
        <f t="shared" si="163"/>
        <v>38.224566263238145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287.83167869616227</v>
      </c>
      <c r="AO176" s="62">
        <f t="shared" si="144"/>
        <v>233.84231920589906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37.882492950965869</v>
      </c>
      <c r="AV176" s="23">
        <f>EXP(-LN(2)/25)*AV175+(1-EXP(-LN(2)/25))/(LN(2)/25)*Calculateur!AQ176*Calculateur!AS176*VLOOKUP('Données projet'!$B$10,Paramètres!$A$1:$I$89,3,0)*0.475*44/12</f>
        <v>3.9654852030659806</v>
      </c>
      <c r="AW176" s="23">
        <f>EXP(-LN(2)/2)*AW175+(1-EXP(-LN(2)/2))/(LN(2)/2)*AQ176*AT176*VLOOKUP('Données projet'!$B$10,Paramètres!$A$1:$I$89,3,0)*0.475*44/12</f>
        <v>1.534879546800416E-10</v>
      </c>
      <c r="AX176" s="23">
        <f t="shared" si="166"/>
        <v>41.847978154185341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-1.064108801074326E-13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262.36903350767881</v>
      </c>
      <c r="BJ176" s="62">
        <f t="shared" si="146"/>
        <v>331.21009482262417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18.333017512404059</v>
      </c>
      <c r="BQ176" s="23">
        <f>EXP(-LN(2)/25)*BQ175+(1-EXP(-LN(2)/25))/(LN(2)/25)*Calculateur!BL176*Calculateur!BN176*VLOOKUP('Données projet'!$B$11,Paramètres!$A$1:$I$89,3,0)*0.475*44/12</f>
        <v>1.7548156690093963</v>
      </c>
      <c r="BR176" s="23">
        <f>EXP(-LN(2)/2)*BR175+(1-EXP(-LN(2)/2))/(LN(2)/2)*BL176*BO176*VLOOKUP('Données projet'!$B$11,Paramètres!$A$1:$I$89,3,0)*0.475*44/12</f>
        <v>1.9547865593419639E-16</v>
      </c>
      <c r="BS176" s="24">
        <f t="shared" si="169"/>
        <v>20.087833181413455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8.5459999999999976</v>
      </c>
      <c r="BY176" s="13">
        <f>IF('Données projet'!$A$114&gt;35,BY175+BX176-CG175,IF(A176&lt;'Données projet'!$A$114,$BV$205^A176,IF(A176='Données projet'!$A$114,'Données projet'!$B$114,BY175+BX176-CG175)))</f>
        <v>537.1040000000005</v>
      </c>
      <c r="BZ176" s="14">
        <f>BY176*VLOOKUP('Données projet'!$B$12,Paramètres!$A$1:$I$89,3,0)*VLOOKUP('Données projet'!$B$12,Paramètres!$A$1:$I$89,5,0)</f>
        <v>519.48698880000052</v>
      </c>
      <c r="CA176" s="14">
        <f t="shared" si="170"/>
        <v>115.62023488810887</v>
      </c>
      <c r="CB176" s="22">
        <f t="shared" si="171"/>
        <v>1106.1450812567903</v>
      </c>
      <c r="CC176" s="62">
        <f t="shared" si="119"/>
        <v>1399.4784145901235</v>
      </c>
      <c r="CD176" s="62">
        <f ca="1">AVERAGE(OFFSET($CC$3,0,0,'Données projet'!$E$12+1,1))-AVERAGE(OFFSET($H$3,0,0,'Données projet'!$E$12+1,1))</f>
        <v>618.83149423524605</v>
      </c>
      <c r="CE176" s="62">
        <f t="shared" si="148"/>
        <v>285.33582535802435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71.551650951946215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71.551650951946215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349.5718186624772</v>
      </c>
      <c r="CZ176" s="62">
        <f t="shared" si="150"/>
        <v>258.14152930815959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32.002809531271197</v>
      </c>
      <c r="DG176" s="23">
        <f>EXP(-LN(2)/25)*DG175+(1-EXP(-LN(2)/25))/(LN(2)/25)*Calculateur!DB176*Calculateur!DD176*VLOOKUP('Données projet'!$B$13,Paramètres!$A$1:$I$89,3,0)*0.475*44/12</f>
        <v>2.3944045461225723</v>
      </c>
      <c r="DH176" s="23">
        <f>EXP(-LN(2)/2)*DH175+(1-EXP(-LN(2)/2))/(LN(2)/2)*DB176*DE176*VLOOKUP('Données projet'!$B$13,Paramètres!$A$1:$I$89,3,0)*0.475*44/12</f>
        <v>3.1975348284355514E-13</v>
      </c>
      <c r="DI176" s="24">
        <f t="shared" si="175"/>
        <v>34.397214077394089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8.5265128291212022E-14</v>
      </c>
      <c r="DP176" s="18">
        <f>DO176*VLOOKUP('Données projet'!$B$14,Paramètres!$A$1:$I$89,3,0)*VLOOKUP('Données projet'!$B$14,Paramètres!$A$1:$I$89,5,0)</f>
        <v>7.4487616075202836E-14</v>
      </c>
      <c r="DQ176" s="14">
        <f t="shared" si="176"/>
        <v>1.1580453144473142E-12</v>
      </c>
      <c r="DR176" s="22">
        <f t="shared" si="177"/>
        <v>2.1466615206600508E-12</v>
      </c>
      <c r="DS176" s="62">
        <f t="shared" si="125"/>
        <v>293.33333333333547</v>
      </c>
      <c r="DT176" s="62">
        <f ca="1">AVERAGE(OFFSET($DS$3,0,0,'Données projet'!$E$14+1,1))-AVERAGE(OFFSET($H$3,0,0,'Données projet'!$E$14+1,1))</f>
        <v>300.63505444445104</v>
      </c>
      <c r="DU176" s="62">
        <f t="shared" si="152"/>
        <v>266.32508105927997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22.60120477634543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22.60120477634543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353.37024194969638</v>
      </c>
      <c r="EP176" s="62">
        <f t="shared" si="154"/>
        <v>345.4750813433123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24.614671078394089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24.614671078394089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8.5265128291212022E-14</v>
      </c>
      <c r="FF176" s="18">
        <f>FE176*VLOOKUP('Données projet'!$B$16,Paramètres!$A$1:$I$89,3,0)*VLOOKUP('Données projet'!$B$16,Paramètres!$A$1:$I$89,5,0)</f>
        <v>5.5865712056402117E-14</v>
      </c>
      <c r="FG176" s="14">
        <f t="shared" si="182"/>
        <v>8.9811031843713517E-13</v>
      </c>
      <c r="FH176" s="22">
        <f t="shared" si="183"/>
        <v>1.6615082531095774E-12</v>
      </c>
      <c r="FI176" s="62">
        <f t="shared" si="131"/>
        <v>293.33333333333496</v>
      </c>
      <c r="FJ176" s="62">
        <f ca="1">AVERAGE(OFFSET($FI$3,0,0,'Données projet'!$E$16+1,1))-AVERAGE(OFFSET($H$3,0,0,'Données projet'!$E$16+1,1))</f>
        <v>263.30962868541337</v>
      </c>
      <c r="FK176" s="62">
        <f t="shared" si="156"/>
        <v>269.61868559913404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15.917363488464076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15.917363488464076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262.06511368698341</v>
      </c>
      <c r="T177" s="62">
        <f t="shared" si="142"/>
        <v>217.15709240080542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34.33750070082111</v>
      </c>
      <c r="AA177" s="23">
        <f>EXP(-LN(2)/25)*AA176+(1-EXP(-LN(2)/25))/(LN(2)/25)*Calculateur!V177*Calculateur!X177*VLOOKUP('Données projet'!$B$9,Paramètres!$A$1:$I$89,3,0)*0.475*44/12</f>
        <v>3.1127489942929314</v>
      </c>
      <c r="AB177" s="23">
        <f>EXP(-LN(2)/2)*AB176+(1-EXP(-LN(2)/2))/(LN(2)/2)*V177*Y177*VLOOKUP('Données projet'!$B$9,Paramètres!$A$1:$I$89,3,0)*0.475*44/12</f>
        <v>3.5049384004158076E-9</v>
      </c>
      <c r="AC177" s="24">
        <f t="shared" si="163"/>
        <v>37.450249698618975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287.83167869616227</v>
      </c>
      <c r="AO177" s="62">
        <f t="shared" si="144"/>
        <v>233.84231920589906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37.139640370236599</v>
      </c>
      <c r="AV177" s="23">
        <f>EXP(-LN(2)/25)*AV176+(1-EXP(-LN(2)/25))/(LN(2)/25)*Calculateur!AQ177*Calculateur!AS177*VLOOKUP('Données projet'!$B$10,Paramètres!$A$1:$I$89,3,0)*0.475*44/12</f>
        <v>3.8570488016523377</v>
      </c>
      <c r="AW177" s="23">
        <f>EXP(-LN(2)/2)*AW176+(1-EXP(-LN(2)/2))/(LN(2)/2)*AQ177*AT177*VLOOKUP('Données projet'!$B$10,Paramètres!$A$1:$I$89,3,0)*0.475*44/12</f>
        <v>1.085323735847109E-10</v>
      </c>
      <c r="AX177" s="23">
        <f t="shared" si="166"/>
        <v>40.996689171997474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-1.064108801074326E-13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262.36903350767881</v>
      </c>
      <c r="BJ177" s="62">
        <f t="shared" si="146"/>
        <v>331.21009482262417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17.973518221022363</v>
      </c>
      <c r="BQ177" s="23">
        <f>EXP(-LN(2)/25)*BQ176+(1-EXP(-LN(2)/25))/(LN(2)/25)*Calculateur!BL177*Calculateur!BN177*VLOOKUP('Données projet'!$B$11,Paramètres!$A$1:$I$89,3,0)*0.475*44/12</f>
        <v>1.706830142258589</v>
      </c>
      <c r="BR177" s="23">
        <f>EXP(-LN(2)/2)*BR176+(1-EXP(-LN(2)/2))/(LN(2)/2)*BL177*BO177*VLOOKUP('Données projet'!$B$11,Paramètres!$A$1:$I$89,3,0)*0.475*44/12</f>
        <v>1.3822428318830222E-16</v>
      </c>
      <c r="BS177" s="24">
        <f t="shared" si="169"/>
        <v>19.680348363280952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>
        <f>VLOOKUP(A177,'Données projet'!$A$113:$I$133,2,0)</f>
        <v>545.65</v>
      </c>
      <c r="BW177" s="13">
        <f>VLOOKUP(A177,'Données projet'!$A$113:$I$133,9,0)</f>
        <v>8.5459999999999976</v>
      </c>
      <c r="BX177" s="13">
        <f t="array" ref="BX177">INDEX(BW:BW,MIN(IF(ISNUMBER(BW177:BW373),ROW(BW177:BW373),"")))</f>
        <v>8.5459999999999976</v>
      </c>
      <c r="BY177" s="13">
        <f>IF('Données projet'!$A$114&gt;35,BY176+BX177-CG176,IF(A177&lt;'Données projet'!$A$114,$BV$205^A177,IF(A177='Données projet'!$A$114,'Données projet'!$B$114,BY176+BX177-CG176)))</f>
        <v>545.65000000000055</v>
      </c>
      <c r="BZ177" s="14">
        <f>BY177*VLOOKUP('Données projet'!$B$12,Paramètres!$A$1:$I$89,3,0)*VLOOKUP('Données projet'!$B$12,Paramètres!$A$1:$I$89,5,0)</f>
        <v>527.75268000000051</v>
      </c>
      <c r="CA177" s="14">
        <f t="shared" si="170"/>
        <v>117.24426494086524</v>
      </c>
      <c r="CB177" s="22">
        <f t="shared" si="171"/>
        <v>1123.369679105341</v>
      </c>
      <c r="CC177" s="62">
        <f t="shared" si="119"/>
        <v>1416.7030124386743</v>
      </c>
      <c r="CD177" s="62">
        <f ca="1">AVERAGE(OFFSET($CC$3,0,0,'Données projet'!$E$12+1,1))-AVERAGE(OFFSET($H$3,0,0,'Données projet'!$E$12+1,1))</f>
        <v>618.83149423524605</v>
      </c>
      <c r="CE177" s="62">
        <f t="shared" si="148"/>
        <v>285.33582535802435</v>
      </c>
      <c r="CF177" s="16">
        <f>IF(ISNA(VLOOKUP(A177,'Données projet'!$A$113:$I$133,3,0)),0,VLOOKUP(A177,'Données projet'!$A$113:$I$133,3,0))</f>
        <v>15</v>
      </c>
      <c r="CG177" s="16">
        <f>IF(ISNA(VLOOKUP(A177,'Données projet'!$A$113:$I$133,4,0)),0,VLOOKUP(A177,'Données projet'!$A$113:$I$133,4,0))</f>
        <v>214.77</v>
      </c>
      <c r="CH177" s="17">
        <f>IF(ISNA(VLOOKUP(A177,'Données projet'!$A$113:$I$133,5,0)),0%,VLOOKUP(A177,'Données projet'!$A$113:$I$133,5,0)*VLOOKUP('Données projet'!$B$12,Paramètres!$A$1:$I$89,7,0))</f>
        <v>0.34400000000000003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149.1428126907191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149.1428126907191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349.5718186624772</v>
      </c>
      <c r="CZ177" s="62">
        <f t="shared" si="150"/>
        <v>258.14152930815959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31.375253956149365</v>
      </c>
      <c r="DG177" s="23">
        <f>EXP(-LN(2)/25)*DG176+(1-EXP(-LN(2)/25))/(LN(2)/25)*Calculateur!DB177*Calculateur!DD177*VLOOKUP('Données projet'!$B$13,Paramètres!$A$1:$I$89,3,0)*0.475*44/12</f>
        <v>2.3289294278925881</v>
      </c>
      <c r="DH177" s="23">
        <f>EXP(-LN(2)/2)*DH176+(1-EXP(-LN(2)/2))/(LN(2)/2)*DB177*DE177*VLOOKUP('Données projet'!$B$13,Paramètres!$A$1:$I$89,3,0)*0.475*44/12</f>
        <v>2.2609985602669424E-13</v>
      </c>
      <c r="DI177" s="24">
        <f t="shared" si="175"/>
        <v>33.704183384042182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8.5265128291212022E-14</v>
      </c>
      <c r="DP177" s="18">
        <f>DO177*VLOOKUP('Données projet'!$B$14,Paramètres!$A$1:$I$89,3,0)*VLOOKUP('Données projet'!$B$14,Paramètres!$A$1:$I$89,5,0)</f>
        <v>7.4487616075202836E-14</v>
      </c>
      <c r="DQ177" s="14">
        <f t="shared" si="176"/>
        <v>1.1580453144473142E-12</v>
      </c>
      <c r="DR177" s="22">
        <f t="shared" si="177"/>
        <v>2.1466615206600508E-12</v>
      </c>
      <c r="DS177" s="62">
        <f t="shared" si="125"/>
        <v>293.33333333333547</v>
      </c>
      <c r="DT177" s="62">
        <f ca="1">AVERAGE(OFFSET($DS$3,0,0,'Données projet'!$E$14+1,1))-AVERAGE(OFFSET($H$3,0,0,'Données projet'!$E$14+1,1))</f>
        <v>300.63505444445104</v>
      </c>
      <c r="DU177" s="62">
        <f t="shared" si="152"/>
        <v>266.32508105927997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22.158008936055015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22.158008936055015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353.37024194969638</v>
      </c>
      <c r="EP177" s="62">
        <f t="shared" si="154"/>
        <v>345.4750813433123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24.131992392013682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24.131992392013682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8.5265128291212022E-14</v>
      </c>
      <c r="FF177" s="18">
        <f>FE177*VLOOKUP('Données projet'!$B$16,Paramètres!$A$1:$I$89,3,0)*VLOOKUP('Données projet'!$B$16,Paramètres!$A$1:$I$89,5,0)</f>
        <v>5.5865712056402117E-14</v>
      </c>
      <c r="FG177" s="14">
        <f t="shared" si="182"/>
        <v>8.9811031843713517E-13</v>
      </c>
      <c r="FH177" s="22">
        <f t="shared" si="183"/>
        <v>1.6615082531095774E-12</v>
      </c>
      <c r="FI177" s="62">
        <f t="shared" si="131"/>
        <v>293.33333333333496</v>
      </c>
      <c r="FJ177" s="62">
        <f ca="1">AVERAGE(OFFSET($FI$3,0,0,'Données projet'!$E$16+1,1))-AVERAGE(OFFSET($H$3,0,0,'Données projet'!$E$16+1,1))</f>
        <v>263.30962868541337</v>
      </c>
      <c r="FK177" s="62">
        <f t="shared" si="156"/>
        <v>269.61868559913404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15.605233699088375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15.605233699088375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262.06511368698341</v>
      </c>
      <c r="T178" s="62">
        <f t="shared" si="142"/>
        <v>217.15709240080542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33.664163255885406</v>
      </c>
      <c r="AA178" s="23">
        <f>EXP(-LN(2)/25)*AA177+(1-EXP(-LN(2)/25))/(LN(2)/25)*Calculateur!V178*Calculateur!X178*VLOOKUP('Données projet'!$B$9,Paramètres!$A$1:$I$89,3,0)*0.475*44/12</f>
        <v>3.0276307093516359</v>
      </c>
      <c r="AB178" s="23">
        <f>EXP(-LN(2)/2)*AB177+(1-EXP(-LN(2)/2))/(LN(2)/2)*V178*Y178*VLOOKUP('Données projet'!$B$9,Paramètres!$A$1:$I$89,3,0)*0.475*44/12</f>
        <v>2.4783657105751483E-9</v>
      </c>
      <c r="AC178" s="24">
        <f t="shared" si="163"/>
        <v>36.691793967715405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287.83167869616227</v>
      </c>
      <c r="AO178" s="62">
        <f t="shared" si="144"/>
        <v>233.84231920589906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36.411354675520094</v>
      </c>
      <c r="AV178" s="23">
        <f>EXP(-LN(2)/25)*AV177+(1-EXP(-LN(2)/25))/(LN(2)/25)*Calculateur!AQ178*Calculateur!AS178*VLOOKUP('Données projet'!$B$10,Paramètres!$A$1:$I$89,3,0)*0.475*44/12</f>
        <v>3.7515775993377733</v>
      </c>
      <c r="AW178" s="23">
        <f>EXP(-LN(2)/2)*AW177+(1-EXP(-LN(2)/2))/(LN(2)/2)*AQ178*AT178*VLOOKUP('Données projet'!$B$10,Paramètres!$A$1:$I$89,3,0)*0.475*44/12</f>
        <v>7.6743977340020798E-11</v>
      </c>
      <c r="AX178" s="23">
        <f t="shared" si="166"/>
        <v>40.162932274934612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-1.064108801074326E-13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262.36903350767881</v>
      </c>
      <c r="BJ178" s="62">
        <f t="shared" si="146"/>
        <v>331.21009482262417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17.621068491471746</v>
      </c>
      <c r="BQ178" s="23">
        <f>EXP(-LN(2)/25)*BQ177+(1-EXP(-LN(2)/25))/(LN(2)/25)*Calculateur!BL178*Calculateur!BN178*VLOOKUP('Données projet'!$B$11,Paramètres!$A$1:$I$89,3,0)*0.475*44/12</f>
        <v>1.6601567822602317</v>
      </c>
      <c r="BR178" s="23">
        <f>EXP(-LN(2)/2)*BR177+(1-EXP(-LN(2)/2))/(LN(2)/2)*BL178*BO178*VLOOKUP('Données projet'!$B$11,Paramètres!$A$1:$I$89,3,0)*0.475*44/12</f>
        <v>9.7739327967098196E-17</v>
      </c>
      <c r="BS178" s="24">
        <f t="shared" si="169"/>
        <v>19.281225273731977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5.3866666666666747</v>
      </c>
      <c r="BY178" s="13">
        <f>IF('Données projet'!$A$114&gt;35,BY177+BX178-CG177,IF(A178&lt;'Données projet'!$A$114,$BV$205^A178,IF(A178='Données projet'!$A$114,'Données projet'!$B$114,BY177+BX178-CG177)))</f>
        <v>336.26666666666722</v>
      </c>
      <c r="BZ178" s="14">
        <f>BY178*VLOOKUP('Données projet'!$B$12,Paramètres!$A$1:$I$89,3,0)*VLOOKUP('Données projet'!$B$12,Paramètres!$A$1:$I$89,5,0)</f>
        <v>325.23712000000052</v>
      </c>
      <c r="CA178" s="14">
        <f t="shared" si="170"/>
        <v>76.442006670477085</v>
      </c>
      <c r="CB178" s="22">
        <f t="shared" si="171"/>
        <v>699.59114561774857</v>
      </c>
      <c r="CC178" s="62">
        <f t="shared" si="119"/>
        <v>992.92447895108194</v>
      </c>
      <c r="CD178" s="62">
        <f ca="1">AVERAGE(OFFSET($CC$3,0,0,'Données projet'!$E$12+1,1))-AVERAGE(OFFSET($H$3,0,0,'Données projet'!$E$12+1,1))</f>
        <v>618.83149423524605</v>
      </c>
      <c r="CE178" s="62">
        <f t="shared" si="148"/>
        <v>285.33582535802435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146.21821310198749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146.21821310198749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349.5718186624772</v>
      </c>
      <c r="CZ178" s="62">
        <f t="shared" si="150"/>
        <v>258.14152930815959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30.760004363084565</v>
      </c>
      <c r="DG178" s="23">
        <f>EXP(-LN(2)/25)*DG177+(1-EXP(-LN(2)/25))/(LN(2)/25)*Calculateur!DB178*Calculateur!DD178*VLOOKUP('Données projet'!$B$13,Paramètres!$A$1:$I$89,3,0)*0.475*44/12</f>
        <v>2.2652447302137895</v>
      </c>
      <c r="DH178" s="23">
        <f>EXP(-LN(2)/2)*DH177+(1-EXP(-LN(2)/2))/(LN(2)/2)*DB178*DE178*VLOOKUP('Données projet'!$B$13,Paramètres!$A$1:$I$89,3,0)*0.475*44/12</f>
        <v>1.5987674142177759E-13</v>
      </c>
      <c r="DI178" s="24">
        <f t="shared" si="175"/>
        <v>33.02524909329852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8.5265128291212022E-14</v>
      </c>
      <c r="DP178" s="18">
        <f>DO178*VLOOKUP('Données projet'!$B$14,Paramètres!$A$1:$I$89,3,0)*VLOOKUP('Données projet'!$B$14,Paramètres!$A$1:$I$89,5,0)</f>
        <v>7.4487616075202836E-14</v>
      </c>
      <c r="DQ178" s="14">
        <f t="shared" si="176"/>
        <v>1.1580453144473142E-12</v>
      </c>
      <c r="DR178" s="22">
        <f t="shared" si="177"/>
        <v>2.1466615206600508E-12</v>
      </c>
      <c r="DS178" s="62">
        <f t="shared" si="125"/>
        <v>293.33333333333547</v>
      </c>
      <c r="DT178" s="62">
        <f ca="1">AVERAGE(OFFSET($DS$3,0,0,'Données projet'!$E$14+1,1))-AVERAGE(OFFSET($H$3,0,0,'Données projet'!$E$14+1,1))</f>
        <v>300.63505444445104</v>
      </c>
      <c r="DU178" s="62">
        <f t="shared" si="152"/>
        <v>266.32508105927997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21.723503895869928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21.723503895869928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353.37024194969638</v>
      </c>
      <c r="EP178" s="62">
        <f t="shared" si="154"/>
        <v>345.4750813433123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23.658778740268268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23.658778740268268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8.5265128291212022E-14</v>
      </c>
      <c r="FF178" s="18">
        <f>FE178*VLOOKUP('Données projet'!$B$16,Paramètres!$A$1:$I$89,3,0)*VLOOKUP('Données projet'!$B$16,Paramètres!$A$1:$I$89,5,0)</f>
        <v>5.5865712056402117E-14</v>
      </c>
      <c r="FG178" s="14">
        <f t="shared" si="182"/>
        <v>8.9811031843713517E-13</v>
      </c>
      <c r="FH178" s="22">
        <f t="shared" si="183"/>
        <v>1.6615082531095774E-12</v>
      </c>
      <c r="FI178" s="62">
        <f t="shared" si="131"/>
        <v>293.33333333333496</v>
      </c>
      <c r="FJ178" s="62">
        <f ca="1">AVERAGE(OFFSET($FI$3,0,0,'Données projet'!$E$16+1,1))-AVERAGE(OFFSET($H$3,0,0,'Données projet'!$E$16+1,1))</f>
        <v>263.30962868541337</v>
      </c>
      <c r="FK178" s="62">
        <f t="shared" si="156"/>
        <v>269.61868559913404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15.299224584501959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15.299224584501959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262.06511368698341</v>
      </c>
      <c r="T179" s="62">
        <f t="shared" si="142"/>
        <v>217.15709240080542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33.004029547549599</v>
      </c>
      <c r="AA179" s="23">
        <f>EXP(-LN(2)/25)*AA178+(1-EXP(-LN(2)/25))/(LN(2)/25)*Calculateur!V179*Calculateur!X179*VLOOKUP('Données projet'!$B$9,Paramètres!$A$1:$I$89,3,0)*0.475*44/12</f>
        <v>2.9448399883882361</v>
      </c>
      <c r="AB179" s="23">
        <f>EXP(-LN(2)/2)*AB178+(1-EXP(-LN(2)/2))/(LN(2)/2)*V179*Y179*VLOOKUP('Données projet'!$B$9,Paramètres!$A$1:$I$89,3,0)*0.475*44/12</f>
        <v>1.7524692002079038E-9</v>
      </c>
      <c r="AC179" s="24">
        <f t="shared" si="163"/>
        <v>35.948869537690307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287.83167869616227</v>
      </c>
      <c r="AO179" s="62">
        <f t="shared" si="144"/>
        <v>233.84231920589906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35.697350219066564</v>
      </c>
      <c r="AV179" s="23">
        <f>EXP(-LN(2)/25)*AV178+(1-EXP(-LN(2)/25))/(LN(2)/25)*Calculateur!AQ179*Calculateur!AS179*VLOOKUP('Données projet'!$B$10,Paramètres!$A$1:$I$89,3,0)*0.475*44/12</f>
        <v>3.6489905125969901</v>
      </c>
      <c r="AW179" s="23">
        <f>EXP(-LN(2)/2)*AW178+(1-EXP(-LN(2)/2))/(LN(2)/2)*AQ179*AT179*VLOOKUP('Données projet'!$B$10,Paramètres!$A$1:$I$89,3,0)*0.475*44/12</f>
        <v>5.4266186792355448E-11</v>
      </c>
      <c r="AX179" s="23">
        <f t="shared" si="166"/>
        <v>39.346340731717817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-1.064108801074326E-13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262.36903350767881</v>
      </c>
      <c r="BJ179" s="62">
        <f t="shared" si="146"/>
        <v>331.21009482262417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17.27553008614451</v>
      </c>
      <c r="BQ179" s="23">
        <f>EXP(-LN(2)/25)*BQ178+(1-EXP(-LN(2)/25))/(LN(2)/25)*Calculateur!BL179*Calculateur!BN179*VLOOKUP('Données projet'!$B$11,Paramètres!$A$1:$I$89,3,0)*0.475*44/12</f>
        <v>1.6147597077454747</v>
      </c>
      <c r="BR179" s="23">
        <f>EXP(-LN(2)/2)*BR178+(1-EXP(-LN(2)/2))/(LN(2)/2)*BL179*BO179*VLOOKUP('Données projet'!$B$11,Paramètres!$A$1:$I$89,3,0)*0.475*44/12</f>
        <v>6.9112141594151108E-17</v>
      </c>
      <c r="BS179" s="24">
        <f t="shared" si="169"/>
        <v>18.890289793889984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5.3866666666666747</v>
      </c>
      <c r="BY179" s="13">
        <f>IF('Données projet'!$A$114&gt;35,BY178+BX179-CG178,IF(A179&lt;'Données projet'!$A$114,$BV$205^A179,IF(A179='Données projet'!$A$114,'Données projet'!$B$114,BY178+BX179-CG178)))</f>
        <v>341.65333333333388</v>
      </c>
      <c r="BZ179" s="14">
        <f>BY179*VLOOKUP('Données projet'!$B$12,Paramètres!$A$1:$I$89,3,0)*VLOOKUP('Données projet'!$B$12,Paramètres!$A$1:$I$89,5,0)</f>
        <v>330.44710400000054</v>
      </c>
      <c r="CA179" s="14">
        <f t="shared" si="170"/>
        <v>77.522995932488612</v>
      </c>
      <c r="CB179" s="22">
        <f t="shared" si="171"/>
        <v>710.54792404908528</v>
      </c>
      <c r="CC179" s="62">
        <f t="shared" si="119"/>
        <v>1003.8812573824187</v>
      </c>
      <c r="CD179" s="62">
        <f ca="1">AVERAGE(OFFSET($CC$3,0,0,'Données projet'!$E$12+1,1))-AVERAGE(OFFSET($H$3,0,0,'Données projet'!$E$12+1,1))</f>
        <v>618.83149423524605</v>
      </c>
      <c r="CE179" s="62">
        <f t="shared" si="148"/>
        <v>285.33582535802435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143.3509631273613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143.3509631273613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349.5718186624772</v>
      </c>
      <c r="CZ179" s="62">
        <f t="shared" si="150"/>
        <v>258.14152930815959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30.156819439274571</v>
      </c>
      <c r="DG179" s="23">
        <f>EXP(-LN(2)/25)*DG178+(1-EXP(-LN(2)/25))/(LN(2)/25)*Calculateur!DB179*Calculateur!DD179*VLOOKUP('Données projet'!$B$13,Paramètres!$A$1:$I$89,3,0)*0.475*44/12</f>
        <v>2.2033014939420501</v>
      </c>
      <c r="DH179" s="23">
        <f>EXP(-LN(2)/2)*DH178+(1-EXP(-LN(2)/2))/(LN(2)/2)*DB179*DE179*VLOOKUP('Données projet'!$B$13,Paramètres!$A$1:$I$89,3,0)*0.475*44/12</f>
        <v>1.1304992801334713E-13</v>
      </c>
      <c r="DI179" s="24">
        <f t="shared" si="175"/>
        <v>32.360120933216734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8.5265128291212022E-14</v>
      </c>
      <c r="DP179" s="18">
        <f>DO179*VLOOKUP('Données projet'!$B$14,Paramètres!$A$1:$I$89,3,0)*VLOOKUP('Données projet'!$B$14,Paramètres!$A$1:$I$89,5,0)</f>
        <v>7.4487616075202836E-14</v>
      </c>
      <c r="DQ179" s="14">
        <f t="shared" si="176"/>
        <v>1.1580453144473142E-12</v>
      </c>
      <c r="DR179" s="22">
        <f t="shared" si="177"/>
        <v>2.1466615206600508E-12</v>
      </c>
      <c r="DS179" s="62">
        <f t="shared" si="125"/>
        <v>293.33333333333547</v>
      </c>
      <c r="DT179" s="62">
        <f ca="1">AVERAGE(OFFSET($DS$3,0,0,'Données projet'!$E$14+1,1))-AVERAGE(OFFSET($H$3,0,0,'Données projet'!$E$14+1,1))</f>
        <v>300.63505444445104</v>
      </c>
      <c r="DU179" s="62">
        <f t="shared" si="152"/>
        <v>266.32508105927997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21.297519234500964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21.297519234500964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353.37024194969638</v>
      </c>
      <c r="EP179" s="62">
        <f t="shared" si="154"/>
        <v>345.4750813433123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23.194844519601752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23.194844519601752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8.5265128291212022E-14</v>
      </c>
      <c r="FF179" s="18">
        <f>FE179*VLOOKUP('Données projet'!$B$16,Paramètres!$A$1:$I$89,3,0)*VLOOKUP('Données projet'!$B$16,Paramètres!$A$1:$I$89,5,0)</f>
        <v>5.5865712056402117E-14</v>
      </c>
      <c r="FG179" s="14">
        <f t="shared" si="182"/>
        <v>8.9811031843713517E-13</v>
      </c>
      <c r="FH179" s="22">
        <f t="shared" si="183"/>
        <v>1.6615082531095774E-12</v>
      </c>
      <c r="FI179" s="62">
        <f t="shared" si="131"/>
        <v>293.33333333333496</v>
      </c>
      <c r="FJ179" s="62">
        <f ca="1">AVERAGE(OFFSET($FI$3,0,0,'Données projet'!$E$16+1,1))-AVERAGE(OFFSET($H$3,0,0,'Données projet'!$E$16+1,1))</f>
        <v>263.30962868541337</v>
      </c>
      <c r="FK179" s="62">
        <f t="shared" si="156"/>
        <v>269.61868559913404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14.999216122005452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14.999216122005452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262.06511368698341</v>
      </c>
      <c r="T180" s="62">
        <f t="shared" si="142"/>
        <v>217.15709240080542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32.356840658592454</v>
      </c>
      <c r="AA180" s="23">
        <f>EXP(-LN(2)/25)*AA179+(1-EXP(-LN(2)/25))/(LN(2)/25)*Calculateur!V180*Calculateur!X180*VLOOKUP('Données projet'!$B$9,Paramètres!$A$1:$I$89,3,0)*0.475*44/12</f>
        <v>2.8643131840433553</v>
      </c>
      <c r="AB180" s="23">
        <f>EXP(-LN(2)/2)*AB179+(1-EXP(-LN(2)/2))/(LN(2)/2)*V180*Y180*VLOOKUP('Données projet'!$B$9,Paramètres!$A$1:$I$89,3,0)*0.475*44/12</f>
        <v>1.2391828552875742E-9</v>
      </c>
      <c r="AC180" s="24">
        <f t="shared" si="163"/>
        <v>35.221153843874987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287.83167869616227</v>
      </c>
      <c r="AO180" s="62">
        <f t="shared" si="144"/>
        <v>233.84231920589906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34.997346954504373</v>
      </c>
      <c r="AV180" s="23">
        <f>EXP(-LN(2)/25)*AV179+(1-EXP(-LN(2)/25))/(LN(2)/25)*Calculateur!AQ180*Calculateur!AS180*VLOOKUP('Données projet'!$B$10,Paramètres!$A$1:$I$89,3,0)*0.475*44/12</f>
        <v>3.5492086751379541</v>
      </c>
      <c r="AW180" s="23">
        <f>EXP(-LN(2)/2)*AW179+(1-EXP(-LN(2)/2))/(LN(2)/2)*AQ180*AT180*VLOOKUP('Données projet'!$B$10,Paramètres!$A$1:$I$89,3,0)*0.475*44/12</f>
        <v>3.8371988670010399E-11</v>
      </c>
      <c r="AX180" s="23">
        <f t="shared" si="166"/>
        <v>38.546555629680697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-1.064108801074326E-13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262.36903350767881</v>
      </c>
      <c r="BJ180" s="62">
        <f t="shared" si="146"/>
        <v>331.21009482262417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16.936767478188123</v>
      </c>
      <c r="BQ180" s="23">
        <f>EXP(-LN(2)/25)*BQ179+(1-EXP(-LN(2)/25))/(LN(2)/25)*Calculateur!BL180*Calculateur!BN180*VLOOKUP('Données projet'!$B$11,Paramètres!$A$1:$I$89,3,0)*0.475*44/12</f>
        <v>1.5706040186206522</v>
      </c>
      <c r="BR180" s="23">
        <f>EXP(-LN(2)/2)*BR179+(1-EXP(-LN(2)/2))/(LN(2)/2)*BL180*BO180*VLOOKUP('Données projet'!$B$11,Paramètres!$A$1:$I$89,3,0)*0.475*44/12</f>
        <v>4.8869663983549098E-17</v>
      </c>
      <c r="BS180" s="24">
        <f t="shared" si="169"/>
        <v>18.507371496808776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>
        <f>VLOOKUP(A180,'Données projet'!$A$113:$I$133,2,0)</f>
        <v>347.04</v>
      </c>
      <c r="BW180" s="13">
        <f>VLOOKUP(A180,'Données projet'!$A$113:$I$133,9,0)</f>
        <v>5.3866666666666747</v>
      </c>
      <c r="BX180" s="13">
        <f t="array" ref="BX180">INDEX(BW:BW,MIN(IF(ISNUMBER(BW180:BW376),ROW(BW180:BW376),"")))</f>
        <v>5.3866666666666747</v>
      </c>
      <c r="BY180" s="13">
        <f>IF('Données projet'!$A$114&gt;35,BY179+BX180-CG179,IF(A180&lt;'Données projet'!$A$114,$BV$205^A180,IF(A180='Données projet'!$A$114,'Données projet'!$B$114,BY179+BX180-CG179)))</f>
        <v>347.04000000000053</v>
      </c>
      <c r="BZ180" s="14">
        <f>BY180*VLOOKUP('Données projet'!$B$12,Paramètres!$A$1:$I$89,3,0)*VLOOKUP('Données projet'!$B$12,Paramètres!$A$1:$I$89,5,0)</f>
        <v>335.6570880000005</v>
      </c>
      <c r="CA180" s="14">
        <f t="shared" si="170"/>
        <v>78.602003077106744</v>
      </c>
      <c r="CB180" s="22">
        <f t="shared" si="171"/>
        <v>721.50125029262847</v>
      </c>
      <c r="CC180" s="62">
        <f t="shared" si="119"/>
        <v>1014.8345836259618</v>
      </c>
      <c r="CD180" s="62">
        <f ca="1">AVERAGE(OFFSET($CC$3,0,0,'Données projet'!$E$12+1,1))-AVERAGE(OFFSET($H$3,0,0,'Données projet'!$E$12+1,1))</f>
        <v>618.83149423524605</v>
      </c>
      <c r="CE180" s="62">
        <f t="shared" si="148"/>
        <v>285.33582535802435</v>
      </c>
      <c r="CF180" s="16">
        <f>IF(ISNA(VLOOKUP(A180,'Données projet'!$A$113:$I$133,3,0)),0,VLOOKUP(A180,'Données projet'!$A$113:$I$133,3,0))</f>
        <v>16</v>
      </c>
      <c r="CG180" s="16">
        <f>IF(ISNA(VLOOKUP(A180,'Données projet'!$A$113:$I$133,4,0)),0,VLOOKUP(A180,'Données projet'!$A$113:$I$133,4,0))</f>
        <v>115.19</v>
      </c>
      <c r="CH180" s="17">
        <f>IF(ISNA(VLOOKUP(A180,'Données projet'!$A$113:$I$133,5,0)),0%,VLOOKUP(A180,'Données projet'!$A$113:$I$133,5,0)*VLOOKUP('Données projet'!$B$12,Paramètres!$A$1:$I$89,7,0))</f>
        <v>0.34400000000000003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182.90780702854428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182.90780702854428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349.5718186624772</v>
      </c>
      <c r="CZ180" s="62">
        <f t="shared" si="150"/>
        <v>258.14152930815959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29.565462603914014</v>
      </c>
      <c r="DG180" s="23">
        <f>EXP(-LN(2)/25)*DG179+(1-EXP(-LN(2)/25))/(LN(2)/25)*Calculateur!DB180*Calculateur!DD180*VLOOKUP('Données projet'!$B$13,Paramètres!$A$1:$I$89,3,0)*0.475*44/12</f>
        <v>2.143052098723615</v>
      </c>
      <c r="DH180" s="23">
        <f>EXP(-LN(2)/2)*DH179+(1-EXP(-LN(2)/2))/(LN(2)/2)*DB180*DE180*VLOOKUP('Données projet'!$B$13,Paramètres!$A$1:$I$89,3,0)*0.475*44/12</f>
        <v>7.9938370710888809E-14</v>
      </c>
      <c r="DI180" s="24">
        <f t="shared" si="175"/>
        <v>31.708514702637711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8.5265128291212022E-14</v>
      </c>
      <c r="DP180" s="18">
        <f>DO180*VLOOKUP('Données projet'!$B$14,Paramètres!$A$1:$I$89,3,0)*VLOOKUP('Données projet'!$B$14,Paramètres!$A$1:$I$89,5,0)</f>
        <v>7.4487616075202836E-14</v>
      </c>
      <c r="DQ180" s="14">
        <f t="shared" si="176"/>
        <v>1.1580453144473142E-12</v>
      </c>
      <c r="DR180" s="22">
        <f t="shared" si="177"/>
        <v>2.1466615206600508E-12</v>
      </c>
      <c r="DS180" s="62">
        <f t="shared" si="125"/>
        <v>293.33333333333547</v>
      </c>
      <c r="DT180" s="62">
        <f ca="1">AVERAGE(OFFSET($DS$3,0,0,'Données projet'!$E$14+1,1))-AVERAGE(OFFSET($H$3,0,0,'Données projet'!$E$14+1,1))</f>
        <v>300.63505444445104</v>
      </c>
      <c r="DU180" s="62">
        <f t="shared" si="152"/>
        <v>266.32508105927997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20.879887872516456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20.879887872516456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353.37024194969638</v>
      </c>
      <c r="EP180" s="62">
        <f t="shared" si="154"/>
        <v>345.4750813433123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22.740007766030573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22.740007766030573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8.5265128291212022E-14</v>
      </c>
      <c r="FF180" s="18">
        <f>FE180*VLOOKUP('Données projet'!$B$16,Paramètres!$A$1:$I$89,3,0)*VLOOKUP('Données projet'!$B$16,Paramètres!$A$1:$I$89,5,0)</f>
        <v>5.5865712056402117E-14</v>
      </c>
      <c r="FG180" s="14">
        <f t="shared" si="182"/>
        <v>8.9811031843713517E-13</v>
      </c>
      <c r="FH180" s="22">
        <f t="shared" si="183"/>
        <v>1.6615082531095774E-12</v>
      </c>
      <c r="FI180" s="62">
        <f t="shared" si="131"/>
        <v>293.33333333333496</v>
      </c>
      <c r="FJ180" s="62">
        <f ca="1">AVERAGE(OFFSET($FI$3,0,0,'Données projet'!$E$16+1,1))-AVERAGE(OFFSET($H$3,0,0,'Données projet'!$E$16+1,1))</f>
        <v>263.30962868541337</v>
      </c>
      <c r="FK180" s="62">
        <f t="shared" si="156"/>
        <v>269.61868559913404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14.705090642471408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14.705090642471408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262.06511368698341</v>
      </c>
      <c r="T181" s="62">
        <f t="shared" si="142"/>
        <v>217.15709240080542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31.722342749001516</v>
      </c>
      <c r="AA181" s="23">
        <f>EXP(-LN(2)/25)*AA180+(1-EXP(-LN(2)/25))/(LN(2)/25)*Calculateur!V181*Calculateur!X181*VLOOKUP('Données projet'!$B$9,Paramètres!$A$1:$I$89,3,0)*0.475*44/12</f>
        <v>2.785988389398006</v>
      </c>
      <c r="AB181" s="23">
        <f>EXP(-LN(2)/2)*AB180+(1-EXP(-LN(2)/2))/(LN(2)/2)*V181*Y181*VLOOKUP('Données projet'!$B$9,Paramètres!$A$1:$I$89,3,0)*0.475*44/12</f>
        <v>8.7623460010395189E-10</v>
      </c>
      <c r="AC181" s="24">
        <f t="shared" si="163"/>
        <v>34.508331139275754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287.83167869616227</v>
      </c>
      <c r="AO181" s="62">
        <f t="shared" si="144"/>
        <v>233.84231920589906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34.311070327000415</v>
      </c>
      <c r="AV181" s="23">
        <f>EXP(-LN(2)/25)*AV180+(1-EXP(-LN(2)/25))/(LN(2)/25)*Calculateur!AQ181*Calculateur!AS181*VLOOKUP('Données projet'!$B$10,Paramètres!$A$1:$I$89,3,0)*0.475*44/12</f>
        <v>3.4521553772715343</v>
      </c>
      <c r="AW181" s="23">
        <f>EXP(-LN(2)/2)*AW180+(1-EXP(-LN(2)/2))/(LN(2)/2)*AQ181*AT181*VLOOKUP('Données projet'!$B$10,Paramètres!$A$1:$I$89,3,0)*0.475*44/12</f>
        <v>2.7133093396177724E-11</v>
      </c>
      <c r="AX181" s="23">
        <f t="shared" si="166"/>
        <v>37.763225704299082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-1.064108801074326E-13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262.36903350767881</v>
      </c>
      <c r="BJ181" s="62">
        <f t="shared" si="146"/>
        <v>331.21009482262417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16.604647798348974</v>
      </c>
      <c r="BQ181" s="23">
        <f>EXP(-LN(2)/25)*BQ180+(1-EXP(-LN(2)/25))/(LN(2)/25)*Calculateur!BL181*Calculateur!BN181*VLOOKUP('Données projet'!$B$11,Paramètres!$A$1:$I$89,3,0)*0.475*44/12</f>
        <v>1.5276557691369947</v>
      </c>
      <c r="BR181" s="23">
        <f>EXP(-LN(2)/2)*BR180+(1-EXP(-LN(2)/2))/(LN(2)/2)*BL181*BO181*VLOOKUP('Données projet'!$B$11,Paramètres!$A$1:$I$89,3,0)*0.475*44/12</f>
        <v>3.4556070797075554E-17</v>
      </c>
      <c r="BS181" s="24">
        <f t="shared" si="169"/>
        <v>18.13230356748597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3.2566666666666606</v>
      </c>
      <c r="BY181" s="13">
        <f>IF('Données projet'!$A$114&gt;35,BY180+BX181-CG180,IF(A181&lt;'Données projet'!$A$114,$BV$205^A181,IF(A181='Données projet'!$A$114,'Données projet'!$B$114,BY180+BX181-CG180)))</f>
        <v>235.10666666666719</v>
      </c>
      <c r="BZ181" s="14">
        <f>BY181*VLOOKUP('Données projet'!$B$12,Paramètres!$A$1:$I$89,3,0)*VLOOKUP('Données projet'!$B$12,Paramètres!$A$1:$I$89,5,0)</f>
        <v>227.39516800000052</v>
      </c>
      <c r="CA181" s="14">
        <f t="shared" si="170"/>
        <v>55.719083135586125</v>
      </c>
      <c r="CB181" s="22">
        <f t="shared" si="171"/>
        <v>493.09065406114672</v>
      </c>
      <c r="CC181" s="62">
        <f t="shared" si="119"/>
        <v>786.42398739448004</v>
      </c>
      <c r="CD181" s="62">
        <f ca="1">AVERAGE(OFFSET($CC$3,0,0,'Données projet'!$E$12+1,1))-AVERAGE(OFFSET($H$3,0,0,'Données projet'!$E$12+1,1))</f>
        <v>618.83149423524605</v>
      </c>
      <c r="CE181" s="62">
        <f t="shared" si="148"/>
        <v>285.33582535802435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179.32109649546092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179.32109649546092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349.5718186624772</v>
      </c>
      <c r="CZ181" s="62">
        <f t="shared" si="150"/>
        <v>258.14152930815959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28.985701915402824</v>
      </c>
      <c r="DG181" s="23">
        <f>EXP(-LN(2)/25)*DG180+(1-EXP(-LN(2)/25))/(LN(2)/25)*Calculateur!DB181*Calculateur!DD181*VLOOKUP('Données projet'!$B$13,Paramètres!$A$1:$I$89,3,0)*0.475*44/12</f>
        <v>2.084450226385806</v>
      </c>
      <c r="DH181" s="23">
        <f>EXP(-LN(2)/2)*DH180+(1-EXP(-LN(2)/2))/(LN(2)/2)*DB181*DE181*VLOOKUP('Données projet'!$B$13,Paramètres!$A$1:$I$89,3,0)*0.475*44/12</f>
        <v>5.6524964006673578E-14</v>
      </c>
      <c r="DI181" s="24">
        <f t="shared" si="175"/>
        <v>31.070152141788686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8.5265128291212022E-14</v>
      </c>
      <c r="DP181" s="18">
        <f>DO181*VLOOKUP('Données projet'!$B$14,Paramètres!$A$1:$I$89,3,0)*VLOOKUP('Données projet'!$B$14,Paramètres!$A$1:$I$89,5,0)</f>
        <v>7.4487616075202836E-14</v>
      </c>
      <c r="DQ181" s="14">
        <f t="shared" si="176"/>
        <v>1.1580453144473142E-12</v>
      </c>
      <c r="DR181" s="22">
        <f t="shared" si="177"/>
        <v>2.1466615206600508E-12</v>
      </c>
      <c r="DS181" s="62">
        <f t="shared" si="125"/>
        <v>293.33333333333547</v>
      </c>
      <c r="DT181" s="62">
        <f ca="1">AVERAGE(OFFSET($DS$3,0,0,'Données projet'!$E$14+1,1))-AVERAGE(OFFSET($H$3,0,0,'Données projet'!$E$14+1,1))</f>
        <v>300.63505444445104</v>
      </c>
      <c r="DU181" s="62">
        <f t="shared" si="152"/>
        <v>266.32508105927997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20.470446006810487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20.470446006810487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353.37024194969638</v>
      </c>
      <c r="EP181" s="62">
        <f t="shared" si="154"/>
        <v>345.4750813433123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22.294090083773899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22.294090083773899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8.5265128291212022E-14</v>
      </c>
      <c r="FF181" s="18">
        <f>FE181*VLOOKUP('Données projet'!$B$16,Paramètres!$A$1:$I$89,3,0)*VLOOKUP('Données projet'!$B$16,Paramètres!$A$1:$I$89,5,0)</f>
        <v>5.5865712056402117E-14</v>
      </c>
      <c r="FG181" s="14">
        <f t="shared" si="182"/>
        <v>8.9811031843713517E-13</v>
      </c>
      <c r="FH181" s="22">
        <f t="shared" si="183"/>
        <v>1.6615082531095774E-12</v>
      </c>
      <c r="FI181" s="62">
        <f t="shared" si="131"/>
        <v>293.33333333333496</v>
      </c>
      <c r="FJ181" s="62">
        <f ca="1">AVERAGE(OFFSET($FI$3,0,0,'Données projet'!$E$16+1,1))-AVERAGE(OFFSET($H$3,0,0,'Données projet'!$E$16+1,1))</f>
        <v>263.30962868541337</v>
      </c>
      <c r="FK181" s="62">
        <f t="shared" si="156"/>
        <v>269.61868559913404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14.416732784192199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14.416732784192199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262.06511368698341</v>
      </c>
      <c r="T182" s="62">
        <f t="shared" si="142"/>
        <v>217.15709240080542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31.100286956412145</v>
      </c>
      <c r="AA182" s="23">
        <f>EXP(-LN(2)/25)*AA181+(1-EXP(-LN(2)/25))/(LN(2)/25)*Calculateur!V182*Calculateur!X182*VLOOKUP('Données projet'!$B$9,Paramètres!$A$1:$I$89,3,0)*0.475*44/12</f>
        <v>2.7098053903811556</v>
      </c>
      <c r="AB182" s="23">
        <f>EXP(-LN(2)/2)*AB181+(1-EXP(-LN(2)/2))/(LN(2)/2)*V182*Y182*VLOOKUP('Données projet'!$B$9,Paramètres!$A$1:$I$89,3,0)*0.475*44/12</f>
        <v>6.1959142764378708E-10</v>
      </c>
      <c r="AC182" s="24">
        <f t="shared" si="163"/>
        <v>33.81009234741289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287.83167869616227</v>
      </c>
      <c r="AO182" s="62">
        <f t="shared" si="144"/>
        <v>233.84231920589906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33.638251165574403</v>
      </c>
      <c r="AV182" s="23">
        <f>EXP(-LN(2)/25)*AV181+(1-EXP(-LN(2)/25))/(LN(2)/25)*Calculateur!AQ182*Calculateur!AS182*VLOOKUP('Données projet'!$B$10,Paramètres!$A$1:$I$89,3,0)*0.475*44/12</f>
        <v>3.3577560069390828</v>
      </c>
      <c r="AW182" s="23">
        <f>EXP(-LN(2)/2)*AW181+(1-EXP(-LN(2)/2))/(LN(2)/2)*AQ182*AT182*VLOOKUP('Données projet'!$B$10,Paramètres!$A$1:$I$89,3,0)*0.475*44/12</f>
        <v>1.9185994335005199E-11</v>
      </c>
      <c r="AX182" s="23">
        <f t="shared" si="166"/>
        <v>36.996007172532671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-1.064108801074326E-13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262.36903350767881</v>
      </c>
      <c r="BJ182" s="62">
        <f t="shared" si="146"/>
        <v>331.21009482262417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16.279040782858466</v>
      </c>
      <c r="BQ182" s="23">
        <f>EXP(-LN(2)/25)*BQ181+(1-EXP(-LN(2)/25))/(LN(2)/25)*Calculateur!BL182*Calculateur!BN182*VLOOKUP('Données projet'!$B$11,Paramètres!$A$1:$I$89,3,0)*0.475*44/12</f>
        <v>1.4858819417940183</v>
      </c>
      <c r="BR182" s="23">
        <f>EXP(-LN(2)/2)*BR181+(1-EXP(-LN(2)/2))/(LN(2)/2)*BL182*BO182*VLOOKUP('Données projet'!$B$11,Paramètres!$A$1:$I$89,3,0)*0.475*44/12</f>
        <v>2.4434831991774549E-17</v>
      </c>
      <c r="BS182" s="24">
        <f t="shared" si="169"/>
        <v>17.764922724652486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3.2566666666666606</v>
      </c>
      <c r="BY182" s="13">
        <f>IF('Données projet'!$A$114&gt;35,BY181+BX182-CG181,IF(A182&lt;'Données projet'!$A$114,$BV$205^A182,IF(A182='Données projet'!$A$114,'Données projet'!$B$114,BY181+BX182-CG181)))</f>
        <v>238.36333333333386</v>
      </c>
      <c r="BZ182" s="14">
        <f>BY182*VLOOKUP('Données projet'!$B$12,Paramètres!$A$1:$I$89,3,0)*VLOOKUP('Données projet'!$B$12,Paramètres!$A$1:$I$89,5,0)</f>
        <v>230.54501600000052</v>
      </c>
      <c r="CA182" s="14">
        <f t="shared" si="170"/>
        <v>56.400510494775887</v>
      </c>
      <c r="CB182" s="22">
        <f t="shared" si="171"/>
        <v>499.76345864506885</v>
      </c>
      <c r="CC182" s="62">
        <f t="shared" si="119"/>
        <v>793.09679197840217</v>
      </c>
      <c r="CD182" s="62">
        <f ca="1">AVERAGE(OFFSET($CC$3,0,0,'Données projet'!$E$12+1,1))-AVERAGE(OFFSET($H$3,0,0,'Données projet'!$E$12+1,1))</f>
        <v>618.83149423524605</v>
      </c>
      <c r="CE182" s="62">
        <f t="shared" si="148"/>
        <v>285.33582535802435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175.80471916825391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175.80471916825391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349.5718186624772</v>
      </c>
      <c r="CZ182" s="62">
        <f t="shared" si="150"/>
        <v>258.14152930815959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28.417309980374235</v>
      </c>
      <c r="DG182" s="23">
        <f>EXP(-LN(2)/25)*DG181+(1-EXP(-LN(2)/25))/(LN(2)/25)*Calculateur!DB182*Calculateur!DD182*VLOOKUP('Données projet'!$B$13,Paramètres!$A$1:$I$89,3,0)*0.475*44/12</f>
        <v>2.0274508253288128</v>
      </c>
      <c r="DH182" s="23">
        <f>EXP(-LN(2)/2)*DH181+(1-EXP(-LN(2)/2))/(LN(2)/2)*DB182*DE182*VLOOKUP('Données projet'!$B$13,Paramètres!$A$1:$I$89,3,0)*0.475*44/12</f>
        <v>3.9969185355444411E-14</v>
      </c>
      <c r="DI182" s="24">
        <f t="shared" si="175"/>
        <v>30.444760805703087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8.5265128291212022E-14</v>
      </c>
      <c r="DP182" s="18">
        <f>DO182*VLOOKUP('Données projet'!$B$14,Paramètres!$A$1:$I$89,3,0)*VLOOKUP('Données projet'!$B$14,Paramètres!$A$1:$I$89,5,0)</f>
        <v>7.4487616075202836E-14</v>
      </c>
      <c r="DQ182" s="14">
        <f t="shared" si="176"/>
        <v>1.1580453144473142E-12</v>
      </c>
      <c r="DR182" s="22">
        <f t="shared" si="177"/>
        <v>2.1466615206600508E-12</v>
      </c>
      <c r="DS182" s="62">
        <f t="shared" si="125"/>
        <v>293.33333333333547</v>
      </c>
      <c r="DT182" s="62">
        <f ca="1">AVERAGE(OFFSET($DS$3,0,0,'Données projet'!$E$14+1,1))-AVERAGE(OFFSET($H$3,0,0,'Données projet'!$E$14+1,1))</f>
        <v>300.63505444445104</v>
      </c>
      <c r="DU182" s="62">
        <f t="shared" si="152"/>
        <v>266.32508105927997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20.069033046356132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20.069033046356132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353.37024194969638</v>
      </c>
      <c r="EP182" s="62">
        <f t="shared" si="154"/>
        <v>345.4750813433123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21.856916575283346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21.856916575283346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8.5265128291212022E-14</v>
      </c>
      <c r="FF182" s="18">
        <f>FE182*VLOOKUP('Données projet'!$B$16,Paramètres!$A$1:$I$89,3,0)*VLOOKUP('Données projet'!$B$16,Paramètres!$A$1:$I$89,5,0)</f>
        <v>5.5865712056402117E-14</v>
      </c>
      <c r="FG182" s="14">
        <f t="shared" si="182"/>
        <v>8.9811031843713517E-13</v>
      </c>
      <c r="FH182" s="22">
        <f t="shared" si="183"/>
        <v>1.6615082531095774E-12</v>
      </c>
      <c r="FI182" s="62">
        <f t="shared" si="131"/>
        <v>293.33333333333496</v>
      </c>
      <c r="FJ182" s="62">
        <f ca="1">AVERAGE(OFFSET($FI$3,0,0,'Données projet'!$E$16+1,1))-AVERAGE(OFFSET($H$3,0,0,'Données projet'!$E$16+1,1))</f>
        <v>263.30962868541337</v>
      </c>
      <c r="FK182" s="62">
        <f t="shared" si="156"/>
        <v>269.61868559913404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14.134029447632917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14.134029447632917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262.06511368698341</v>
      </c>
      <c r="T183" s="62">
        <f t="shared" si="142"/>
        <v>217.15709240080542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30.490429298498881</v>
      </c>
      <c r="AA183" s="23">
        <f>EXP(-LN(2)/25)*AA182+(1-EXP(-LN(2)/25))/(LN(2)/25)*Calculateur!V183*Calculateur!X183*VLOOKUP('Données projet'!$B$9,Paramètres!$A$1:$I$89,3,0)*0.475*44/12</f>
        <v>2.6357056194787107</v>
      </c>
      <c r="AB183" s="23">
        <f>EXP(-LN(2)/2)*AB182+(1-EXP(-LN(2)/2))/(LN(2)/2)*V183*Y183*VLOOKUP('Données projet'!$B$9,Paramètres!$A$1:$I$89,3,0)*0.475*44/12</f>
        <v>4.3811730005197595E-10</v>
      </c>
      <c r="AC183" s="24">
        <f t="shared" si="163"/>
        <v>33.126134918415715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287.83167869616227</v>
      </c>
      <c r="AO183" s="62">
        <f t="shared" si="144"/>
        <v>233.84231920589906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32.978625577524781</v>
      </c>
      <c r="AV183" s="23">
        <f>EXP(-LN(2)/25)*AV182+(1-EXP(-LN(2)/25))/(LN(2)/25)*Calculateur!AQ183*Calculateur!AS183*VLOOKUP('Données projet'!$B$10,Paramètres!$A$1:$I$89,3,0)*0.475*44/12</f>
        <v>3.2659379923526193</v>
      </c>
      <c r="AW183" s="23">
        <f>EXP(-LN(2)/2)*AW182+(1-EXP(-LN(2)/2))/(LN(2)/2)*AQ183*AT183*VLOOKUP('Données projet'!$B$10,Paramètres!$A$1:$I$89,3,0)*0.475*44/12</f>
        <v>1.3566546698088862E-11</v>
      </c>
      <c r="AX183" s="23">
        <f t="shared" si="166"/>
        <v>36.244563569890964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-1.064108801074326E-13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262.36903350767881</v>
      </c>
      <c r="BJ183" s="62">
        <f t="shared" si="146"/>
        <v>331.21009482262417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15.959818722341058</v>
      </c>
      <c r="BQ183" s="23">
        <f>EXP(-LN(2)/25)*BQ182+(1-EXP(-LN(2)/25))/(LN(2)/25)*Calculateur!BL183*Calculateur!BN183*VLOOKUP('Données projet'!$B$11,Paramètres!$A$1:$I$89,3,0)*0.475*44/12</f>
        <v>1.4452504219565256</v>
      </c>
      <c r="BR183" s="23">
        <f>EXP(-LN(2)/2)*BR182+(1-EXP(-LN(2)/2))/(LN(2)/2)*BL183*BO183*VLOOKUP('Données projet'!$B$11,Paramètres!$A$1:$I$89,3,0)*0.475*44/12</f>
        <v>1.7278035398537777E-17</v>
      </c>
      <c r="BS183" s="24">
        <f t="shared" si="169"/>
        <v>17.405069144297585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>
        <f>VLOOKUP(A183,'Données projet'!$A$113:$I$133,2,0)</f>
        <v>241.62</v>
      </c>
      <c r="BW183" s="13">
        <f>VLOOKUP(A183,'Données projet'!$A$113:$I$133,9,0)</f>
        <v>3.2566666666666606</v>
      </c>
      <c r="BX183" s="13">
        <f t="array" ref="BX183">INDEX(BW:BW,MIN(IF(ISNUMBER(BW183:BW379),ROW(BW183:BW379),"")))</f>
        <v>3.2566666666666606</v>
      </c>
      <c r="BY183" s="13">
        <f>IF('Données projet'!$A$114&gt;35,BY182+BX183-CG182,IF(A183&lt;'Données projet'!$A$114,$BV$205^A183,IF(A183='Données projet'!$A$114,'Données projet'!$B$114,BY182+BX183-CG182)))</f>
        <v>241.62000000000052</v>
      </c>
      <c r="BZ183" s="14">
        <f>BY183*VLOOKUP('Données projet'!$B$12,Paramètres!$A$1:$I$89,3,0)*VLOOKUP('Données projet'!$B$12,Paramètres!$A$1:$I$89,5,0)</f>
        <v>233.69486400000051</v>
      </c>
      <c r="CA183" s="14">
        <f t="shared" si="170"/>
        <v>57.080854986256675</v>
      </c>
      <c r="CB183" s="22">
        <f t="shared" si="171"/>
        <v>506.43437723439791</v>
      </c>
      <c r="CC183" s="62">
        <f t="shared" si="119"/>
        <v>799.76771056773123</v>
      </c>
      <c r="CD183" s="62">
        <f ca="1">AVERAGE(OFFSET($CC$3,0,0,'Données projet'!$E$12+1,1))-AVERAGE(OFFSET($H$3,0,0,'Données projet'!$E$12+1,1))</f>
        <v>618.83149423524605</v>
      </c>
      <c r="CE183" s="62">
        <f t="shared" si="148"/>
        <v>285.33582535802435</v>
      </c>
      <c r="CF183" s="16">
        <f>IF(ISNA(VLOOKUP(A183,'Données projet'!$A$113:$I$133,3,0)),0,VLOOKUP(A183,'Données projet'!$A$113:$I$133,3,0))</f>
        <v>17</v>
      </c>
      <c r="CG183" s="16">
        <f>IF(ISNA(VLOOKUP(A183,'Données projet'!$A$113:$I$133,4,0)),0,VLOOKUP(A183,'Données projet'!$A$113:$I$133,4,0))</f>
        <v>77.72</v>
      </c>
      <c r="CH183" s="17">
        <f>IF(ISNA(VLOOKUP(A183,'Données projet'!$A$113:$I$133,5,0)),0%,VLOOKUP(A183,'Données projet'!$A$113:$I$133,5,0)*VLOOKUP('Données projet'!$B$12,Paramètres!$A$1:$I$89,7,0))</f>
        <v>0.34400000000000003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200.94337769633972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200.94337769633972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349.5718186624772</v>
      </c>
      <c r="CZ183" s="62">
        <f t="shared" si="150"/>
        <v>258.14152930815959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27.860063864506706</v>
      </c>
      <c r="DG183" s="23">
        <f>EXP(-LN(2)/25)*DG182+(1-EXP(-LN(2)/25))/(LN(2)/25)*Calculateur!DB183*Calculateur!DD183*VLOOKUP('Données projet'!$B$13,Paramètres!$A$1:$I$89,3,0)*0.475*44/12</f>
        <v>1.9720100758911914</v>
      </c>
      <c r="DH183" s="23">
        <f>EXP(-LN(2)/2)*DH182+(1-EXP(-LN(2)/2))/(LN(2)/2)*DB183*DE183*VLOOKUP('Données projet'!$B$13,Paramètres!$A$1:$I$89,3,0)*0.475*44/12</f>
        <v>2.8262482003336792E-14</v>
      </c>
      <c r="DI183" s="24">
        <f t="shared" si="175"/>
        <v>29.832073940397926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8.5265128291212022E-14</v>
      </c>
      <c r="DP183" s="18">
        <f>DO183*VLOOKUP('Données projet'!$B$14,Paramètres!$A$1:$I$89,3,0)*VLOOKUP('Données projet'!$B$14,Paramètres!$A$1:$I$89,5,0)</f>
        <v>7.4487616075202836E-14</v>
      </c>
      <c r="DQ183" s="14">
        <f t="shared" si="176"/>
        <v>1.1580453144473142E-12</v>
      </c>
      <c r="DR183" s="22">
        <f t="shared" si="177"/>
        <v>2.1466615206600508E-12</v>
      </c>
      <c r="DS183" s="62">
        <f t="shared" si="125"/>
        <v>293.33333333333547</v>
      </c>
      <c r="DT183" s="62">
        <f ca="1">AVERAGE(OFFSET($DS$3,0,0,'Données projet'!$E$14+1,1))-AVERAGE(OFFSET($H$3,0,0,'Données projet'!$E$14+1,1))</f>
        <v>300.63505444445104</v>
      </c>
      <c r="DU183" s="62">
        <f t="shared" si="152"/>
        <v>266.32508105927997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19.67549154921856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19.67549154921856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353.37024194969638</v>
      </c>
      <c r="EP183" s="62">
        <f t="shared" si="154"/>
        <v>345.4750813433123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21.428315772644783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21.428315772644783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8.5265128291212022E-14</v>
      </c>
      <c r="FF183" s="18">
        <f>FE183*VLOOKUP('Données projet'!$B$16,Paramètres!$A$1:$I$89,3,0)*VLOOKUP('Données projet'!$B$16,Paramètres!$A$1:$I$89,5,0)</f>
        <v>5.5865712056402117E-14</v>
      </c>
      <c r="FG183" s="14">
        <f t="shared" si="182"/>
        <v>8.9811031843713517E-13</v>
      </c>
      <c r="FH183" s="22">
        <f t="shared" si="183"/>
        <v>1.6615082531095774E-12</v>
      </c>
      <c r="FI183" s="62">
        <f t="shared" si="131"/>
        <v>293.33333333333496</v>
      </c>
      <c r="FJ183" s="62">
        <f ca="1">AVERAGE(OFFSET($FI$3,0,0,'Données projet'!$E$16+1,1))-AVERAGE(OFFSET($H$3,0,0,'Données projet'!$E$16+1,1))</f>
        <v>263.30962868541337</v>
      </c>
      <c r="FK183" s="62">
        <f t="shared" si="156"/>
        <v>269.61868559913404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13.856869751071555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13.856869751071555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262.06511368698341</v>
      </c>
      <c r="T184" s="62">
        <f t="shared" si="142"/>
        <v>217.15709240080542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29.892530577280858</v>
      </c>
      <c r="AA184" s="23">
        <f>EXP(-LN(2)/25)*AA183+(1-EXP(-LN(2)/25))/(LN(2)/25)*Calculateur!V184*Calculateur!X184*VLOOKUP('Données projet'!$B$9,Paramètres!$A$1:$I$89,3,0)*0.475*44/12</f>
        <v>2.5636321107083306</v>
      </c>
      <c r="AB184" s="23">
        <f>EXP(-LN(2)/2)*AB183+(1-EXP(-LN(2)/2))/(LN(2)/2)*V184*Y184*VLOOKUP('Données projet'!$B$9,Paramètres!$A$1:$I$89,3,0)*0.475*44/12</f>
        <v>3.0979571382189354E-10</v>
      </c>
      <c r="AC184" s="24">
        <f t="shared" si="163"/>
        <v>32.456162688298988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287.83167869616227</v>
      </c>
      <c r="AO184" s="62">
        <f t="shared" si="144"/>
        <v>233.84231920589906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32.33193484492493</v>
      </c>
      <c r="AV184" s="23">
        <f>EXP(-LN(2)/25)*AV183+(1-EXP(-LN(2)/25))/(LN(2)/25)*Calculateur!AQ184*Calculateur!AS184*VLOOKUP('Données projet'!$B$10,Paramètres!$A$1:$I$89,3,0)*0.475*44/12</f>
        <v>3.1766307462035224</v>
      </c>
      <c r="AW184" s="23">
        <f>EXP(-LN(2)/2)*AW183+(1-EXP(-LN(2)/2))/(LN(2)/2)*AQ184*AT184*VLOOKUP('Données projet'!$B$10,Paramètres!$A$1:$I$89,3,0)*0.475*44/12</f>
        <v>9.5929971675025997E-12</v>
      </c>
      <c r="AX184" s="23">
        <f t="shared" si="166"/>
        <v>35.508565591138044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-1.064108801074326E-13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262.36903350767881</v>
      </c>
      <c r="BJ184" s="62">
        <f t="shared" si="146"/>
        <v>331.21009482262417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15.646856411724166</v>
      </c>
      <c r="BQ184" s="23">
        <f>EXP(-LN(2)/25)*BQ183+(1-EXP(-LN(2)/25))/(LN(2)/25)*Calculateur!BL184*Calculateur!BN184*VLOOKUP('Données projet'!$B$11,Paramètres!$A$1:$I$89,3,0)*0.475*44/12</f>
        <v>1.405729973165708</v>
      </c>
      <c r="BR184" s="23">
        <f>EXP(-LN(2)/2)*BR183+(1-EXP(-LN(2)/2))/(LN(2)/2)*BL184*BO184*VLOOKUP('Données projet'!$B$11,Paramètres!$A$1:$I$89,3,0)*0.475*44/12</f>
        <v>1.2217415995887275E-17</v>
      </c>
      <c r="BS184" s="24">
        <f t="shared" si="169"/>
        <v>17.052586384889874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1.9533333333333285</v>
      </c>
      <c r="BY184" s="13">
        <f>IF('Données projet'!$A$114&gt;35,BY183+BX184-CG183,IF(A184&lt;'Données projet'!$A$114,$BV$205^A184,IF(A184='Données projet'!$A$114,'Données projet'!$B$114,BY183+BX184-CG183)))</f>
        <v>165.85333333333384</v>
      </c>
      <c r="BZ184" s="14">
        <f>BY184*VLOOKUP('Données projet'!$B$12,Paramètres!$A$1:$I$89,3,0)*VLOOKUP('Données projet'!$B$12,Paramètres!$A$1:$I$89,5,0)</f>
        <v>160.41334400000048</v>
      </c>
      <c r="CA184" s="14">
        <f t="shared" si="170"/>
        <v>40.935732295508117</v>
      </c>
      <c r="CB184" s="22">
        <f t="shared" si="171"/>
        <v>350.68297454801086</v>
      </c>
      <c r="CC184" s="62">
        <f t="shared" si="119"/>
        <v>644.01630788134412</v>
      </c>
      <c r="CD184" s="62">
        <f ca="1">AVERAGE(OFFSET($CC$3,0,0,'Données projet'!$E$12+1,1))-AVERAGE(OFFSET($H$3,0,0,'Données projet'!$E$12+1,1))</f>
        <v>618.83149423524605</v>
      </c>
      <c r="CE184" s="62">
        <f t="shared" si="148"/>
        <v>285.33582535802435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197.00300062307278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197.00300062307278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349.5718186624772</v>
      </c>
      <c r="CZ184" s="62">
        <f t="shared" si="150"/>
        <v>258.14152930815959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27.313745005084773</v>
      </c>
      <c r="DG184" s="23">
        <f>EXP(-LN(2)/25)*DG183+(1-EXP(-LN(2)/25))/(LN(2)/25)*Calculateur!DB184*Calculateur!DD184*VLOOKUP('Données projet'!$B$13,Paramètres!$A$1:$I$89,3,0)*0.475*44/12</f>
        <v>1.9180853566624438</v>
      </c>
      <c r="DH184" s="23">
        <f>EXP(-LN(2)/2)*DH183+(1-EXP(-LN(2)/2))/(LN(2)/2)*DB184*DE184*VLOOKUP('Données projet'!$B$13,Paramètres!$A$1:$I$89,3,0)*0.475*44/12</f>
        <v>1.9984592677722209E-14</v>
      </c>
      <c r="DI184" s="24">
        <f t="shared" si="175"/>
        <v>29.231830361747239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8.5265128291212022E-14</v>
      </c>
      <c r="DP184" s="18">
        <f>DO184*VLOOKUP('Données projet'!$B$14,Paramètres!$A$1:$I$89,3,0)*VLOOKUP('Données projet'!$B$14,Paramètres!$A$1:$I$89,5,0)</f>
        <v>7.4487616075202836E-14</v>
      </c>
      <c r="DQ184" s="14">
        <f t="shared" si="176"/>
        <v>1.1580453144473142E-12</v>
      </c>
      <c r="DR184" s="22">
        <f t="shared" si="177"/>
        <v>2.1466615206600508E-12</v>
      </c>
      <c r="DS184" s="62">
        <f t="shared" si="125"/>
        <v>293.33333333333547</v>
      </c>
      <c r="DT184" s="62">
        <f ca="1">AVERAGE(OFFSET($DS$3,0,0,'Données projet'!$E$14+1,1))-AVERAGE(OFFSET($H$3,0,0,'Données projet'!$E$14+1,1))</f>
        <v>300.63505444445104</v>
      </c>
      <c r="DU184" s="62">
        <f t="shared" si="152"/>
        <v>266.32508105927997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19.289667160803241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19.289667160803241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353.37024194969638</v>
      </c>
      <c r="EP184" s="62">
        <f t="shared" si="154"/>
        <v>345.4750813433123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21.008119570325288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21.008119570325288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8.5265128291212022E-14</v>
      </c>
      <c r="FF184" s="18">
        <f>FE184*VLOOKUP('Données projet'!$B$16,Paramètres!$A$1:$I$89,3,0)*VLOOKUP('Données projet'!$B$16,Paramètres!$A$1:$I$89,5,0)</f>
        <v>5.5865712056402117E-14</v>
      </c>
      <c r="FG184" s="14">
        <f t="shared" si="182"/>
        <v>8.9811031843713517E-13</v>
      </c>
      <c r="FH184" s="22">
        <f t="shared" si="183"/>
        <v>1.6615082531095774E-12</v>
      </c>
      <c r="FI184" s="62">
        <f t="shared" si="131"/>
        <v>293.33333333333496</v>
      </c>
      <c r="FJ184" s="62">
        <f ca="1">AVERAGE(OFFSET($FI$3,0,0,'Données projet'!$E$16+1,1))-AVERAGE(OFFSET($H$3,0,0,'Données projet'!$E$16+1,1))</f>
        <v>263.30962868541337</v>
      </c>
      <c r="FK184" s="62">
        <f t="shared" si="156"/>
        <v>269.61868559913404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13.585144987109038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13.585144987109038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262.06511368698341</v>
      </c>
      <c r="T185" s="62">
        <f t="shared" si="142"/>
        <v>217.15709240080542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29.306356285303711</v>
      </c>
      <c r="AA185" s="23">
        <f>EXP(-LN(2)/25)*AA184+(1-EXP(-LN(2)/25))/(LN(2)/25)*Calculateur!V185*Calculateur!X185*VLOOKUP('Données projet'!$B$9,Paramètres!$A$1:$I$89,3,0)*0.475*44/12</f>
        <v>2.4935294558254579</v>
      </c>
      <c r="AB185" s="23">
        <f>EXP(-LN(2)/2)*AB184+(1-EXP(-LN(2)/2))/(LN(2)/2)*V185*Y185*VLOOKUP('Données projet'!$B$9,Paramètres!$A$1:$I$89,3,0)*0.475*44/12</f>
        <v>2.1905865002598797E-10</v>
      </c>
      <c r="AC185" s="24">
        <f t="shared" si="163"/>
        <v>31.799885741348227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287.83167869616227</v>
      </c>
      <c r="AO185" s="62">
        <f t="shared" si="144"/>
        <v>233.84231920589906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31.697925323148969</v>
      </c>
      <c r="AV185" s="23">
        <f>EXP(-LN(2)/25)*AV184+(1-EXP(-LN(2)/25))/(LN(2)/25)*Calculateur!AQ185*Calculateur!AS185*VLOOKUP('Données projet'!$B$10,Paramètres!$A$1:$I$89,3,0)*0.475*44/12</f>
        <v>3.0897656113968366</v>
      </c>
      <c r="AW185" s="23">
        <f>EXP(-LN(2)/2)*AW184+(1-EXP(-LN(2)/2))/(LN(2)/2)*AQ185*AT185*VLOOKUP('Données projet'!$B$10,Paramètres!$A$1:$I$89,3,0)*0.475*44/12</f>
        <v>6.7832733490444311E-12</v>
      </c>
      <c r="AX185" s="23">
        <f t="shared" si="166"/>
        <v>34.787690934552593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-1.064108801074326E-13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262.36903350767881</v>
      </c>
      <c r="BJ185" s="62">
        <f t="shared" si="146"/>
        <v>331.21009482262417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15.340031101130309</v>
      </c>
      <c r="BQ185" s="23">
        <f>EXP(-LN(2)/25)*BQ184+(1-EXP(-LN(2)/25))/(LN(2)/25)*Calculateur!BL185*Calculateur!BN185*VLOOKUP('Données projet'!$B$11,Paramètres!$A$1:$I$89,3,0)*0.475*44/12</f>
        <v>1.3672902131253653</v>
      </c>
      <c r="BR185" s="23">
        <f>EXP(-LN(2)/2)*BR184+(1-EXP(-LN(2)/2))/(LN(2)/2)*BL185*BO185*VLOOKUP('Données projet'!$B$11,Paramètres!$A$1:$I$89,3,0)*0.475*44/12</f>
        <v>8.6390176992688885E-18</v>
      </c>
      <c r="BS185" s="24">
        <f t="shared" si="169"/>
        <v>16.707321314255676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1.9533333333333285</v>
      </c>
      <c r="BY185" s="13">
        <f>IF('Données projet'!$A$114&gt;35,BY184+BX185-CG184,IF(A185&lt;'Données projet'!$A$114,$BV$205^A185,IF(A185='Données projet'!$A$114,'Données projet'!$B$114,BY184+BX185-CG184)))</f>
        <v>167.80666666666716</v>
      </c>
      <c r="BZ185" s="14">
        <f>BY185*VLOOKUP('Données projet'!$B$12,Paramètres!$A$1:$I$89,3,0)*VLOOKUP('Données projet'!$B$12,Paramètres!$A$1:$I$89,5,0)</f>
        <v>162.30260800000048</v>
      </c>
      <c r="CA185" s="14">
        <f t="shared" si="170"/>
        <v>41.361442378534058</v>
      </c>
      <c r="CB185" s="22">
        <f t="shared" si="171"/>
        <v>354.71488774261428</v>
      </c>
      <c r="CC185" s="62">
        <f t="shared" si="119"/>
        <v>648.04822107594759</v>
      </c>
      <c r="CD185" s="62">
        <f ca="1">AVERAGE(OFFSET($CC$3,0,0,'Données projet'!$E$12+1,1))-AVERAGE(OFFSET($H$3,0,0,'Données projet'!$E$12+1,1))</f>
        <v>618.83149423524605</v>
      </c>
      <c r="CE185" s="62">
        <f t="shared" si="148"/>
        <v>285.33582535802435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193.13989194081989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193.13989194081989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349.5718186624772</v>
      </c>
      <c r="CZ185" s="62">
        <f t="shared" si="150"/>
        <v>258.14152930815959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26.7781391252745</v>
      </c>
      <c r="DG185" s="23">
        <f>EXP(-LN(2)/25)*DG184+(1-EXP(-LN(2)/25))/(LN(2)/25)*Calculateur!DB185*Calculateur!DD185*VLOOKUP('Données projet'!$B$13,Paramètres!$A$1:$I$89,3,0)*0.475*44/12</f>
        <v>1.8656352117167843</v>
      </c>
      <c r="DH185" s="23">
        <f>EXP(-LN(2)/2)*DH184+(1-EXP(-LN(2)/2))/(LN(2)/2)*DB185*DE185*VLOOKUP('Données projet'!$B$13,Paramètres!$A$1:$I$89,3,0)*0.475*44/12</f>
        <v>1.4131241001668399E-14</v>
      </c>
      <c r="DI185" s="24">
        <f t="shared" si="175"/>
        <v>28.643774336991299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8.5265128291212022E-14</v>
      </c>
      <c r="DP185" s="18">
        <f>DO185*VLOOKUP('Données projet'!$B$14,Paramètres!$A$1:$I$89,3,0)*VLOOKUP('Données projet'!$B$14,Paramètres!$A$1:$I$89,5,0)</f>
        <v>7.4487616075202836E-14</v>
      </c>
      <c r="DQ185" s="14">
        <f t="shared" si="176"/>
        <v>1.1580453144473142E-12</v>
      </c>
      <c r="DR185" s="22">
        <f t="shared" si="177"/>
        <v>2.1466615206600508E-12</v>
      </c>
      <c r="DS185" s="62">
        <f t="shared" si="125"/>
        <v>293.33333333333547</v>
      </c>
      <c r="DT185" s="62">
        <f ca="1">AVERAGE(OFFSET($DS$3,0,0,'Données projet'!$E$14+1,1))-AVERAGE(OFFSET($H$3,0,0,'Données projet'!$E$14+1,1))</f>
        <v>300.63505444445104</v>
      </c>
      <c r="DU185" s="62">
        <f t="shared" si="152"/>
        <v>266.32508105927997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18.911408553315106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18.911408553315106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353.37024194969638</v>
      </c>
      <c r="EP185" s="62">
        <f t="shared" si="154"/>
        <v>345.4750813433123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20.596163159238902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20.596163159238902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8.5265128291212022E-14</v>
      </c>
      <c r="FF185" s="18">
        <f>FE185*VLOOKUP('Données projet'!$B$16,Paramètres!$A$1:$I$89,3,0)*VLOOKUP('Données projet'!$B$16,Paramètres!$A$1:$I$89,5,0)</f>
        <v>5.5865712056402117E-14</v>
      </c>
      <c r="FG185" s="14">
        <f t="shared" si="182"/>
        <v>8.9811031843713517E-13</v>
      </c>
      <c r="FH185" s="22">
        <f t="shared" si="183"/>
        <v>1.6615082531095774E-12</v>
      </c>
      <c r="FI185" s="62">
        <f t="shared" si="131"/>
        <v>293.33333333333496</v>
      </c>
      <c r="FJ185" s="62">
        <f ca="1">AVERAGE(OFFSET($FI$3,0,0,'Données projet'!$E$16+1,1))-AVERAGE(OFFSET($H$3,0,0,'Données projet'!$E$16+1,1))</f>
        <v>263.30962868541337</v>
      </c>
      <c r="FK185" s="62">
        <f t="shared" si="156"/>
        <v>269.61868559913404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13.318748580032086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13.318748580032086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262.06511368698341</v>
      </c>
      <c r="T186" s="62">
        <f t="shared" si="142"/>
        <v>217.15709240080542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28.731676513661217</v>
      </c>
      <c r="AA186" s="23">
        <f>EXP(-LN(2)/25)*AA185+(1-EXP(-LN(2)/25))/(LN(2)/25)*Calculateur!V186*Calculateur!X186*VLOOKUP('Données projet'!$B$9,Paramètres!$A$1:$I$89,3,0)*0.475*44/12</f>
        <v>2.4253437617268956</v>
      </c>
      <c r="AB186" s="23">
        <f>EXP(-LN(2)/2)*AB185+(1-EXP(-LN(2)/2))/(LN(2)/2)*V186*Y186*VLOOKUP('Données projet'!$B$9,Paramètres!$A$1:$I$89,3,0)*0.475*44/12</f>
        <v>1.5489785691094677E-10</v>
      </c>
      <c r="AC186" s="24">
        <f t="shared" si="163"/>
        <v>31.157020275543012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287.83167869616227</v>
      </c>
      <c r="AO186" s="62">
        <f t="shared" si="144"/>
        <v>233.84231920589906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31.076348341387408</v>
      </c>
      <c r="AV186" s="23">
        <f>EXP(-LN(2)/25)*AV185+(1-EXP(-LN(2)/25))/(LN(2)/25)*Calculateur!AQ186*Calculateur!AS186*VLOOKUP('Données projet'!$B$10,Paramètres!$A$1:$I$89,3,0)*0.475*44/12</f>
        <v>3.0052758082694782</v>
      </c>
      <c r="AW186" s="23">
        <f>EXP(-LN(2)/2)*AW185+(1-EXP(-LN(2)/2))/(LN(2)/2)*AQ186*AT186*VLOOKUP('Données projet'!$B$10,Paramètres!$A$1:$I$89,3,0)*0.475*44/12</f>
        <v>4.7964985837512999E-12</v>
      </c>
      <c r="AX186" s="23">
        <f t="shared" si="166"/>
        <v>34.081624149661685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-1.064108801074326E-13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262.36903350767881</v>
      </c>
      <c r="BJ186" s="62">
        <f t="shared" si="146"/>
        <v>331.21009482262417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15.039222447732238</v>
      </c>
      <c r="BQ186" s="23">
        <f>EXP(-LN(2)/25)*BQ185+(1-EXP(-LN(2)/25))/(LN(2)/25)*Calculateur!BL186*Calculateur!BN186*VLOOKUP('Données projet'!$B$11,Paramètres!$A$1:$I$89,3,0)*0.475*44/12</f>
        <v>1.3299015903447848</v>
      </c>
      <c r="BR186" s="23">
        <f>EXP(-LN(2)/2)*BR185+(1-EXP(-LN(2)/2))/(LN(2)/2)*BL186*BO186*VLOOKUP('Données projet'!$B$11,Paramètres!$A$1:$I$89,3,0)*0.475*44/12</f>
        <v>6.1087079979436373E-18</v>
      </c>
      <c r="BS186" s="24">
        <f t="shared" si="169"/>
        <v>16.369124038077022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>
        <f>VLOOKUP(A186,'Données projet'!$A$113:$I$133,2,0)</f>
        <v>169.76</v>
      </c>
      <c r="BW186" s="13">
        <f>VLOOKUP(A186,'Données projet'!$A$113:$I$133,9,0)</f>
        <v>1.9533333333333285</v>
      </c>
      <c r="BX186" s="13">
        <f t="array" ref="BX186">INDEX(BW:BW,MIN(IF(ISNUMBER(BW186:BW382),ROW(BW186:BW382),"")))</f>
        <v>1.9533333333333285</v>
      </c>
      <c r="BY186" s="13">
        <f>IF('Données projet'!$A$114&gt;35,BY185+BX186-CG185,IF(A186&lt;'Données projet'!$A$114,$BV$205^A186,IF(A186='Données projet'!$A$114,'Données projet'!$B$114,BY185+BX186-CG185)))</f>
        <v>169.76000000000047</v>
      </c>
      <c r="BZ186" s="14">
        <f>BY186*VLOOKUP('Données projet'!$B$12,Paramètres!$A$1:$I$89,3,0)*VLOOKUP('Données projet'!$B$12,Paramètres!$A$1:$I$89,5,0)</f>
        <v>164.19187200000047</v>
      </c>
      <c r="CA186" s="14">
        <f t="shared" si="170"/>
        <v>41.786576026680912</v>
      </c>
      <c r="CB186" s="22">
        <f t="shared" si="171"/>
        <v>358.7457969798034</v>
      </c>
      <c r="CC186" s="62">
        <f t="shared" si="119"/>
        <v>652.07913031313672</v>
      </c>
      <c r="CD186" s="62">
        <f ca="1">AVERAGE(OFFSET($CC$3,0,0,'Données projet'!$E$12+1,1))-AVERAGE(OFFSET($H$3,0,0,'Données projet'!$E$12+1,1))</f>
        <v>618.83149423524605</v>
      </c>
      <c r="CE186" s="62">
        <f t="shared" si="148"/>
        <v>285.33582535802435</v>
      </c>
      <c r="CF186" s="16">
        <f>IF(ISNA(VLOOKUP(A186,'Données projet'!$A$113:$I$133,3,0)),0,VLOOKUP(A186,'Données projet'!$A$113:$I$133,3,0))</f>
        <v>18</v>
      </c>
      <c r="CG186" s="16">
        <f>IF(ISNA(VLOOKUP(A186,'Données projet'!$A$113:$I$133,4,0)),0,VLOOKUP(A186,'Données projet'!$A$113:$I$133,4,0))</f>
        <v>169.76</v>
      </c>
      <c r="CH186" s="17">
        <f>IF(ISNA(VLOOKUP(A186,'Données projet'!$A$113:$I$133,5,0)),0%,VLOOKUP(A186,'Données projet'!$A$113:$I$133,5,0)*VLOOKUP('Données projet'!$B$12,Paramètres!$A$1:$I$89,7,0))</f>
        <v>0.34400000000000003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251.79171882684892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251.79171882684892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349.5718186624772</v>
      </c>
      <c r="CZ186" s="62">
        <f t="shared" si="150"/>
        <v>258.14152930815959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26.253036150079978</v>
      </c>
      <c r="DG186" s="23">
        <f>EXP(-LN(2)/25)*DG185+(1-EXP(-LN(2)/25))/(LN(2)/25)*Calculateur!DB186*Calculateur!DD186*VLOOKUP('Données projet'!$B$13,Paramètres!$A$1:$I$89,3,0)*0.475*44/12</f>
        <v>1.8146193187428969</v>
      </c>
      <c r="DH186" s="23">
        <f>EXP(-LN(2)/2)*DH185+(1-EXP(-LN(2)/2))/(LN(2)/2)*DB186*DE186*VLOOKUP('Données projet'!$B$13,Paramètres!$A$1:$I$89,3,0)*0.475*44/12</f>
        <v>9.9922963388611059E-15</v>
      </c>
      <c r="DI186" s="24">
        <f t="shared" si="175"/>
        <v>28.067655468822885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8.5265128291212022E-14</v>
      </c>
      <c r="DP186" s="18">
        <f>DO186*VLOOKUP('Données projet'!$B$14,Paramètres!$A$1:$I$89,3,0)*VLOOKUP('Données projet'!$B$14,Paramètres!$A$1:$I$89,5,0)</f>
        <v>7.4487616075202836E-14</v>
      </c>
      <c r="DQ186" s="14">
        <f t="shared" si="176"/>
        <v>1.1580453144473142E-12</v>
      </c>
      <c r="DR186" s="22">
        <f t="shared" si="177"/>
        <v>2.1466615206600508E-12</v>
      </c>
      <c r="DS186" s="62">
        <f t="shared" si="125"/>
        <v>293.33333333333547</v>
      </c>
      <c r="DT186" s="62">
        <f ca="1">AVERAGE(OFFSET($DS$3,0,0,'Données projet'!$E$14+1,1))-AVERAGE(OFFSET($H$3,0,0,'Données projet'!$E$14+1,1))</f>
        <v>300.63505444445104</v>
      </c>
      <c r="DU186" s="62">
        <f t="shared" si="152"/>
        <v>266.32508105927997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18.540567366404844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18.540567366404844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353.37024194969638</v>
      </c>
      <c r="EP186" s="62">
        <f t="shared" si="154"/>
        <v>345.4750813433123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20.192284962105319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20.192284962105319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8.5265128291212022E-14</v>
      </c>
      <c r="FF186" s="18">
        <f>FE186*VLOOKUP('Données projet'!$B$16,Paramètres!$A$1:$I$89,3,0)*VLOOKUP('Données projet'!$B$16,Paramètres!$A$1:$I$89,5,0)</f>
        <v>5.5865712056402117E-14</v>
      </c>
      <c r="FG186" s="14">
        <f t="shared" si="182"/>
        <v>8.9811031843713517E-13</v>
      </c>
      <c r="FH186" s="22">
        <f t="shared" si="183"/>
        <v>1.6615082531095774E-12</v>
      </c>
      <c r="FI186" s="62">
        <f t="shared" si="131"/>
        <v>293.33333333333496</v>
      </c>
      <c r="FJ186" s="62">
        <f ca="1">AVERAGE(OFFSET($FI$3,0,0,'Données projet'!$E$16+1,1))-AVERAGE(OFFSET($H$3,0,0,'Données projet'!$E$16+1,1))</f>
        <v>263.30962868541337</v>
      </c>
      <c r="FK186" s="62">
        <f t="shared" si="156"/>
        <v>269.61868559913404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13.057576044012148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13.057576044012148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262.06511368698341</v>
      </c>
      <c r="T187" s="62">
        <f t="shared" si="142"/>
        <v>217.15709240080542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28.168265861820583</v>
      </c>
      <c r="AA187" s="23">
        <f>EXP(-LN(2)/25)*AA186+(1-EXP(-LN(2)/25))/(LN(2)/25)*Calculateur!V187*Calculateur!X187*VLOOKUP('Données projet'!$B$9,Paramètres!$A$1:$I$89,3,0)*0.475*44/12</f>
        <v>2.3590226090191884</v>
      </c>
      <c r="AB187" s="23">
        <f>EXP(-LN(2)/2)*AB186+(1-EXP(-LN(2)/2))/(LN(2)/2)*V187*Y187*VLOOKUP('Données projet'!$B$9,Paramètres!$A$1:$I$89,3,0)*0.475*44/12</f>
        <v>1.0952932501299399E-10</v>
      </c>
      <c r="AC187" s="24">
        <f t="shared" si="163"/>
        <v>30.527288470949301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287.83167869616227</v>
      </c>
      <c r="AO187" s="62">
        <f t="shared" si="144"/>
        <v>233.84231920589906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30.466960105113667</v>
      </c>
      <c r="AV187" s="23">
        <f>EXP(-LN(2)/25)*AV186+(1-EXP(-LN(2)/25))/(LN(2)/25)*Calculateur!AQ187*Calculateur!AS187*VLOOKUP('Données projet'!$B$10,Paramètres!$A$1:$I$89,3,0)*0.475*44/12</f>
        <v>2.9230963832517634</v>
      </c>
      <c r="AW187" s="23">
        <f>EXP(-LN(2)/2)*AW186+(1-EXP(-LN(2)/2))/(LN(2)/2)*AQ187*AT187*VLOOKUP('Données projet'!$B$10,Paramètres!$A$1:$I$89,3,0)*0.475*44/12</f>
        <v>3.3916366745222155E-12</v>
      </c>
      <c r="AX187" s="23">
        <f t="shared" si="166"/>
        <v>33.39005648836882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-1.064108801074326E-13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262.36903350767881</v>
      </c>
      <c r="BJ187" s="62">
        <f t="shared" si="146"/>
        <v>331.21009482262417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14.744312468552142</v>
      </c>
      <c r="BQ187" s="23">
        <f>EXP(-LN(2)/25)*BQ186+(1-EXP(-LN(2)/25))/(LN(2)/25)*Calculateur!BL187*Calculateur!BN187*VLOOKUP('Données projet'!$B$11,Paramètres!$A$1:$I$89,3,0)*0.475*44/12</f>
        <v>1.2935353614203215</v>
      </c>
      <c r="BR187" s="23">
        <f>EXP(-LN(2)/2)*BR186+(1-EXP(-LN(2)/2))/(LN(2)/2)*BL187*BO187*VLOOKUP('Données projet'!$B$11,Paramètres!$A$1:$I$89,3,0)*0.475*44/12</f>
        <v>4.3195088496344442E-18</v>
      </c>
      <c r="BS187" s="24">
        <f t="shared" si="169"/>
        <v>16.037847829972463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4.8316906031686813E-13</v>
      </c>
      <c r="BZ187" s="14">
        <f>BY187*VLOOKUP('Données projet'!$B$12,Paramètres!$A$1:$I$89,3,0)*VLOOKUP('Données projet'!$B$12,Paramètres!$A$1:$I$89,5,0)</f>
        <v>4.6732111513847483E-13</v>
      </c>
      <c r="CA187" s="14">
        <f t="shared" si="170"/>
        <v>5.8671100737071438E-12</v>
      </c>
      <c r="CB187" s="22">
        <f t="shared" si="171"/>
        <v>1.1032467653906121E-11</v>
      </c>
      <c r="CC187" s="62">
        <f t="shared" si="119"/>
        <v>293.33333333334434</v>
      </c>
      <c r="CD187" s="62">
        <f ca="1">AVERAGE(OFFSET($CC$3,0,0,'Données projet'!$E$12+1,1))-AVERAGE(OFFSET($H$3,0,0,'Données projet'!$E$12+1,1))</f>
        <v>618.83149423524605</v>
      </c>
      <c r="CE187" s="62">
        <f t="shared" si="148"/>
        <v>285.33582535802435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246.85423679843836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246.85423679843836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349.5718186624772</v>
      </c>
      <c r="CZ187" s="62">
        <f t="shared" si="150"/>
        <v>258.14152930815959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25.738230123947833</v>
      </c>
      <c r="DG187" s="23">
        <f>EXP(-LN(2)/25)*DG186+(1-EXP(-LN(2)/25))/(LN(2)/25)*Calculateur!DB187*Calculateur!DD187*VLOOKUP('Données projet'!$B$13,Paramètres!$A$1:$I$89,3,0)*0.475*44/12</f>
        <v>1.7649984580451898</v>
      </c>
      <c r="DH187" s="23">
        <f>EXP(-LN(2)/2)*DH186+(1-EXP(-LN(2)/2))/(LN(2)/2)*DB187*DE187*VLOOKUP('Données projet'!$B$13,Paramètres!$A$1:$I$89,3,0)*0.475*44/12</f>
        <v>7.0656205008342004E-15</v>
      </c>
      <c r="DI187" s="24">
        <f t="shared" si="175"/>
        <v>27.503228581993032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8.5265128291212022E-14</v>
      </c>
      <c r="DP187" s="18">
        <f>DO187*VLOOKUP('Données projet'!$B$14,Paramètres!$A$1:$I$89,3,0)*VLOOKUP('Données projet'!$B$14,Paramètres!$A$1:$I$89,5,0)</f>
        <v>7.4487616075202836E-14</v>
      </c>
      <c r="DQ187" s="14">
        <f t="shared" si="176"/>
        <v>1.1580453144473142E-12</v>
      </c>
      <c r="DR187" s="22">
        <f t="shared" si="177"/>
        <v>2.1466615206600508E-12</v>
      </c>
      <c r="DS187" s="62">
        <f t="shared" si="125"/>
        <v>293.33333333333547</v>
      </c>
      <c r="DT187" s="62">
        <f ca="1">AVERAGE(OFFSET($DS$3,0,0,'Données projet'!$E$14+1,1))-AVERAGE(OFFSET($H$3,0,0,'Données projet'!$E$14+1,1))</f>
        <v>300.63505444445104</v>
      </c>
      <c r="DU187" s="62">
        <f t="shared" si="152"/>
        <v>266.32508105927997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18.176998148979102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18.176998148979102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353.37024194969638</v>
      </c>
      <c r="EP187" s="62">
        <f t="shared" si="154"/>
        <v>345.4750813433123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19.79632657007615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19.79632657007615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8.5265128291212022E-14</v>
      </c>
      <c r="FF187" s="18">
        <f>FE187*VLOOKUP('Données projet'!$B$16,Paramètres!$A$1:$I$89,3,0)*VLOOKUP('Données projet'!$B$16,Paramètres!$A$1:$I$89,5,0)</f>
        <v>5.5865712056402117E-14</v>
      </c>
      <c r="FG187" s="14">
        <f t="shared" si="182"/>
        <v>8.9811031843713517E-13</v>
      </c>
      <c r="FH187" s="22">
        <f t="shared" si="183"/>
        <v>1.6615082531095774E-12</v>
      </c>
      <c r="FI187" s="62">
        <f t="shared" si="131"/>
        <v>293.33333333333496</v>
      </c>
      <c r="FJ187" s="62">
        <f ca="1">AVERAGE(OFFSET($FI$3,0,0,'Données projet'!$E$16+1,1))-AVERAGE(OFFSET($H$3,0,0,'Données projet'!$E$16+1,1))</f>
        <v>263.30962868541337</v>
      </c>
      <c r="FK187" s="62">
        <f t="shared" si="156"/>
        <v>269.61868559913404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12.801524942124043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12.801524942124043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262.06511368698341</v>
      </c>
      <c r="T188" s="62">
        <f t="shared" si="142"/>
        <v>217.15709240080542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27.61590334921598</v>
      </c>
      <c r="AA188" s="23">
        <f>EXP(-LN(2)/25)*AA187+(1-EXP(-LN(2)/25))/(LN(2)/25)*Calculateur!V188*Calculateur!X188*VLOOKUP('Données projet'!$B$9,Paramètres!$A$1:$I$89,3,0)*0.475*44/12</f>
        <v>2.2945150117199513</v>
      </c>
      <c r="AB188" s="23">
        <f>EXP(-LN(2)/2)*AB187+(1-EXP(-LN(2)/2))/(LN(2)/2)*V188*Y188*VLOOKUP('Données projet'!$B$9,Paramètres!$A$1:$I$89,3,0)*0.475*44/12</f>
        <v>7.7448928455473385E-11</v>
      </c>
      <c r="AC188" s="24">
        <f t="shared" si="163"/>
        <v>29.910418361013381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287.83167869616227</v>
      </c>
      <c r="AO188" s="62">
        <f t="shared" si="144"/>
        <v>233.84231920589906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29.869521600463134</v>
      </c>
      <c r="AV188" s="23">
        <f>EXP(-LN(2)/25)*AV187+(1-EXP(-LN(2)/25))/(LN(2)/25)*Calculateur!AQ188*Calculateur!AS188*VLOOKUP('Données projet'!$B$10,Paramètres!$A$1:$I$89,3,0)*0.475*44/12</f>
        <v>2.8431641589327858</v>
      </c>
      <c r="AW188" s="23">
        <f>EXP(-LN(2)/2)*AW187+(1-EXP(-LN(2)/2))/(LN(2)/2)*AQ188*AT188*VLOOKUP('Données projet'!$B$10,Paramètres!$A$1:$I$89,3,0)*0.475*44/12</f>
        <v>2.3982492918756499E-12</v>
      </c>
      <c r="AX188" s="23">
        <f t="shared" si="166"/>
        <v>32.712685759398319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-1.064108801074326E-13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262.36903350767881</v>
      </c>
      <c r="BJ188" s="62">
        <f t="shared" si="146"/>
        <v>331.21009482262417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14.455185494186441</v>
      </c>
      <c r="BQ188" s="23">
        <f>EXP(-LN(2)/25)*BQ187+(1-EXP(-LN(2)/25))/(LN(2)/25)*Calculateur!BL188*Calculateur!BN188*VLOOKUP('Données projet'!$B$11,Paramètres!$A$1:$I$89,3,0)*0.475*44/12</f>
        <v>1.2581635689382147</v>
      </c>
      <c r="BR188" s="23">
        <f>EXP(-LN(2)/2)*BR187+(1-EXP(-LN(2)/2))/(LN(2)/2)*BL188*BO188*VLOOKUP('Données projet'!$B$11,Paramètres!$A$1:$I$89,3,0)*0.475*44/12</f>
        <v>3.0543539989718186E-18</v>
      </c>
      <c r="BS188" s="24">
        <f t="shared" si="169"/>
        <v>15.713349063124657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4.8316906031686813E-13</v>
      </c>
      <c r="BZ188" s="14">
        <f>BY188*VLOOKUP('Données projet'!$B$12,Paramètres!$A$1:$I$89,3,0)*VLOOKUP('Données projet'!$B$12,Paramètres!$A$1:$I$89,5,0)</f>
        <v>4.6732111513847483E-13</v>
      </c>
      <c r="CA188" s="14">
        <f t="shared" si="170"/>
        <v>5.8671100737071438E-12</v>
      </c>
      <c r="CB188" s="22">
        <f t="shared" si="171"/>
        <v>1.1032467653906121E-11</v>
      </c>
      <c r="CC188" s="62">
        <f t="shared" si="119"/>
        <v>293.33333333334434</v>
      </c>
      <c r="CD188" s="62">
        <f ca="1">AVERAGE(OFFSET($CC$3,0,0,'Données projet'!$E$12+1,1))-AVERAGE(OFFSET($H$3,0,0,'Données projet'!$E$12+1,1))</f>
        <v>618.83149423524605</v>
      </c>
      <c r="CE188" s="62">
        <f t="shared" si="148"/>
        <v>285.33582535802435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242.01357578103827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242.01357578103827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349.5718186624772</v>
      </c>
      <c r="CZ188" s="62">
        <f t="shared" si="150"/>
        <v>258.14152930815959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25.233519129987467</v>
      </c>
      <c r="DG188" s="23">
        <f>EXP(-LN(2)/25)*DG187+(1-EXP(-LN(2)/25))/(LN(2)/25)*Calculateur!DB188*Calculateur!DD188*VLOOKUP('Données projet'!$B$13,Paramètres!$A$1:$I$89,3,0)*0.475*44/12</f>
        <v>1.7167344823927091</v>
      </c>
      <c r="DH188" s="23">
        <f>EXP(-LN(2)/2)*DH187+(1-EXP(-LN(2)/2))/(LN(2)/2)*DB188*DE188*VLOOKUP('Données projet'!$B$13,Paramètres!$A$1:$I$89,3,0)*0.475*44/12</f>
        <v>4.9961481694305537E-15</v>
      </c>
      <c r="DI188" s="24">
        <f t="shared" si="175"/>
        <v>26.95025361238018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8.5265128291212022E-14</v>
      </c>
      <c r="DP188" s="18">
        <f>DO188*VLOOKUP('Données projet'!$B$14,Paramètres!$A$1:$I$89,3,0)*VLOOKUP('Données projet'!$B$14,Paramètres!$A$1:$I$89,5,0)</f>
        <v>7.4487616075202836E-14</v>
      </c>
      <c r="DQ188" s="14">
        <f t="shared" si="176"/>
        <v>1.1580453144473142E-12</v>
      </c>
      <c r="DR188" s="22">
        <f t="shared" si="177"/>
        <v>2.1466615206600508E-12</v>
      </c>
      <c r="DS188" s="62">
        <f t="shared" si="125"/>
        <v>293.33333333333547</v>
      </c>
      <c r="DT188" s="62">
        <f ca="1">AVERAGE(OFFSET($DS$3,0,0,'Données projet'!$E$14+1,1))-AVERAGE(OFFSET($H$3,0,0,'Données projet'!$E$14+1,1))</f>
        <v>300.63505444445104</v>
      </c>
      <c r="DU188" s="62">
        <f t="shared" si="152"/>
        <v>266.32508105927997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17.820558302151756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17.820558302151756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353.37024194969638</v>
      </c>
      <c r="EP188" s="62">
        <f t="shared" si="154"/>
        <v>345.4750813433123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19.408132680603899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19.408132680603899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8.5265128291212022E-14</v>
      </c>
      <c r="FF188" s="18">
        <f>FE188*VLOOKUP('Données projet'!$B$16,Paramètres!$A$1:$I$89,3,0)*VLOOKUP('Données projet'!$B$16,Paramètres!$A$1:$I$89,5,0)</f>
        <v>5.5865712056402117E-14</v>
      </c>
      <c r="FG188" s="14">
        <f t="shared" si="182"/>
        <v>8.9811031843713517E-13</v>
      </c>
      <c r="FH188" s="22">
        <f t="shared" si="183"/>
        <v>1.6615082531095774E-12</v>
      </c>
      <c r="FI188" s="62">
        <f t="shared" si="131"/>
        <v>293.33333333333496</v>
      </c>
      <c r="FJ188" s="62">
        <f ca="1">AVERAGE(OFFSET($FI$3,0,0,'Données projet'!$E$16+1,1))-AVERAGE(OFFSET($H$3,0,0,'Données projet'!$E$16+1,1))</f>
        <v>263.30962868541337</v>
      </c>
      <c r="FK188" s="62">
        <f t="shared" si="156"/>
        <v>269.61868559913404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12.550494846168213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12.550494846168213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262.06511368698341</v>
      </c>
      <c r="T189" s="62">
        <f t="shared" si="142"/>
        <v>217.15709240080542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27.074372328575688</v>
      </c>
      <c r="AA189" s="23">
        <f>EXP(-LN(2)/25)*AA188+(1-EXP(-LN(2)/25))/(LN(2)/25)*Calculateur!V189*Calculateur!X189*VLOOKUP('Données projet'!$B$9,Paramètres!$A$1:$I$89,3,0)*0.475*44/12</f>
        <v>2.2317713780611688</v>
      </c>
      <c r="AB189" s="23">
        <f>EXP(-LN(2)/2)*AB188+(1-EXP(-LN(2)/2))/(LN(2)/2)*V189*Y189*VLOOKUP('Données projet'!$B$9,Paramètres!$A$1:$I$89,3,0)*0.475*44/12</f>
        <v>5.4764662506496993E-11</v>
      </c>
      <c r="AC189" s="24">
        <f t="shared" si="163"/>
        <v>29.306143706691621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287.83167869616227</v>
      </c>
      <c r="AO189" s="62">
        <f t="shared" si="144"/>
        <v>233.84231920589906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29.28379850048729</v>
      </c>
      <c r="AV189" s="23">
        <f>EXP(-LN(2)/25)*AV188+(1-EXP(-LN(2)/25))/(LN(2)/25)*Calculateur!AQ189*Calculateur!AS189*VLOOKUP('Données projet'!$B$10,Paramètres!$A$1:$I$89,3,0)*0.475*44/12</f>
        <v>2.765417685491264</v>
      </c>
      <c r="AW189" s="23">
        <f>EXP(-LN(2)/2)*AW188+(1-EXP(-LN(2)/2))/(LN(2)/2)*AQ189*AT189*VLOOKUP('Données projet'!$B$10,Paramètres!$A$1:$I$89,3,0)*0.475*44/12</f>
        <v>1.6958183372611078E-12</v>
      </c>
      <c r="AX189" s="23">
        <f t="shared" si="166"/>
        <v>32.049216185980249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-1.064108801074326E-13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262.36903350767881</v>
      </c>
      <c r="BJ189" s="62">
        <f t="shared" si="146"/>
        <v>331.21009482262417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14.17172812343801</v>
      </c>
      <c r="BQ189" s="23">
        <f>EXP(-LN(2)/25)*BQ188+(1-EXP(-LN(2)/25))/(LN(2)/25)*Calculateur!BL189*Calculateur!BN189*VLOOKUP('Données projet'!$B$11,Paramètres!$A$1:$I$89,3,0)*0.475*44/12</f>
        <v>1.2237590199816526</v>
      </c>
      <c r="BR189" s="23">
        <f>EXP(-LN(2)/2)*BR188+(1-EXP(-LN(2)/2))/(LN(2)/2)*BL189*BO189*VLOOKUP('Données projet'!$B$11,Paramètres!$A$1:$I$89,3,0)*0.475*44/12</f>
        <v>2.1597544248172221E-18</v>
      </c>
      <c r="BS189" s="24">
        <f t="shared" si="169"/>
        <v>15.395487143419663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4.8316906031686813E-13</v>
      </c>
      <c r="BZ189" s="14">
        <f>BY189*VLOOKUP('Données projet'!$B$12,Paramètres!$A$1:$I$89,3,0)*VLOOKUP('Données projet'!$B$12,Paramètres!$A$1:$I$89,5,0)</f>
        <v>4.6732111513847483E-13</v>
      </c>
      <c r="CA189" s="14">
        <f t="shared" si="170"/>
        <v>5.8671100737071438E-12</v>
      </c>
      <c r="CB189" s="22">
        <f t="shared" si="171"/>
        <v>1.1032467653906121E-11</v>
      </c>
      <c r="CC189" s="62">
        <f t="shared" si="119"/>
        <v>293.33333333334434</v>
      </c>
      <c r="CD189" s="62">
        <f ca="1">AVERAGE(OFFSET($CC$3,0,0,'Données projet'!$E$12+1,1))-AVERAGE(OFFSET($H$3,0,0,'Données projet'!$E$12+1,1))</f>
        <v>618.83149423524605</v>
      </c>
      <c r="CE189" s="62">
        <f t="shared" si="148"/>
        <v>285.33582535802435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237.26783717367769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237.26783717367769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349.5718186624772</v>
      </c>
      <c r="CZ189" s="62">
        <f t="shared" si="150"/>
        <v>258.14152930815959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24.738705210775354</v>
      </c>
      <c r="DG189" s="23">
        <f>EXP(-LN(2)/25)*DG188+(1-EXP(-LN(2)/25))/(LN(2)/25)*Calculateur!DB189*Calculateur!DD189*VLOOKUP('Données projet'!$B$13,Paramètres!$A$1:$I$89,3,0)*0.475*44/12</f>
        <v>1.6697902876925377</v>
      </c>
      <c r="DH189" s="23">
        <f>EXP(-LN(2)/2)*DH188+(1-EXP(-LN(2)/2))/(LN(2)/2)*DB189*DE189*VLOOKUP('Données projet'!$B$13,Paramètres!$A$1:$I$89,3,0)*0.475*44/12</f>
        <v>3.5328102504171006E-15</v>
      </c>
      <c r="DI189" s="24">
        <f t="shared" si="175"/>
        <v>26.408495498467897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8.5265128291212022E-14</v>
      </c>
      <c r="DP189" s="18">
        <f>DO189*VLOOKUP('Données projet'!$B$14,Paramètres!$A$1:$I$89,3,0)*VLOOKUP('Données projet'!$B$14,Paramètres!$A$1:$I$89,5,0)</f>
        <v>7.4487616075202836E-14</v>
      </c>
      <c r="DQ189" s="14">
        <f t="shared" si="176"/>
        <v>1.1580453144473142E-12</v>
      </c>
      <c r="DR189" s="22">
        <f t="shared" si="177"/>
        <v>2.1466615206600508E-12</v>
      </c>
      <c r="DS189" s="62">
        <f t="shared" si="125"/>
        <v>293.33333333333547</v>
      </c>
      <c r="DT189" s="62">
        <f ca="1">AVERAGE(OFFSET($DS$3,0,0,'Données projet'!$E$14+1,1))-AVERAGE(OFFSET($H$3,0,0,'Données projet'!$E$14+1,1))</f>
        <v>300.63505444445104</v>
      </c>
      <c r="DU189" s="62">
        <f t="shared" si="152"/>
        <v>266.32508105927997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17.471108023313853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17.471108023313853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353.37024194969638</v>
      </c>
      <c r="EP189" s="62">
        <f t="shared" si="154"/>
        <v>345.4750813433123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19.027551036529307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19.027551036529307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8.5265128291212022E-14</v>
      </c>
      <c r="FF189" s="18">
        <f>FE189*VLOOKUP('Données projet'!$B$16,Paramètres!$A$1:$I$89,3,0)*VLOOKUP('Données projet'!$B$16,Paramètres!$A$1:$I$89,5,0)</f>
        <v>5.5865712056402117E-14</v>
      </c>
      <c r="FG189" s="14">
        <f t="shared" si="182"/>
        <v>8.9811031843713517E-13</v>
      </c>
      <c r="FH189" s="22">
        <f t="shared" si="183"/>
        <v>1.6615082531095774E-12</v>
      </c>
      <c r="FI189" s="62">
        <f t="shared" si="131"/>
        <v>293.33333333333496</v>
      </c>
      <c r="FJ189" s="62">
        <f ca="1">AVERAGE(OFFSET($FI$3,0,0,'Données projet'!$E$16+1,1))-AVERAGE(OFFSET($H$3,0,0,'Données projet'!$E$16+1,1))</f>
        <v>263.30962868541337</v>
      </c>
      <c r="FK189" s="62">
        <f t="shared" si="156"/>
        <v>269.61868559913404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12.304387297280838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12.304387297280838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262.06511368698341</v>
      </c>
      <c r="T190" s="62">
        <f t="shared" si="142"/>
        <v>217.15709240080542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26.543460400948842</v>
      </c>
      <c r="AA190" s="23">
        <f>EXP(-LN(2)/25)*AA189+(1-EXP(-LN(2)/25))/(LN(2)/25)*Calculateur!V190*Calculateur!X190*VLOOKUP('Données projet'!$B$9,Paramètres!$A$1:$I$89,3,0)*0.475*44/12</f>
        <v>2.1707434723643302</v>
      </c>
      <c r="AB190" s="23">
        <f>EXP(-LN(2)/2)*AB189+(1-EXP(-LN(2)/2))/(LN(2)/2)*V190*Y190*VLOOKUP('Données projet'!$B$9,Paramètres!$A$1:$I$89,3,0)*0.475*44/12</f>
        <v>3.8724464227736692E-11</v>
      </c>
      <c r="AC190" s="24">
        <f t="shared" si="163"/>
        <v>28.714203873351895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287.83167869616227</v>
      </c>
      <c r="AO190" s="62">
        <f t="shared" si="144"/>
        <v>233.84231920589906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28.709561073246157</v>
      </c>
      <c r="AV190" s="23">
        <f>EXP(-LN(2)/25)*AV189+(1-EXP(-LN(2)/25))/(LN(2)/25)*Calculateur!AQ190*Calculateur!AS190*VLOOKUP('Données projet'!$B$10,Paramètres!$A$1:$I$89,3,0)*0.475*44/12</f>
        <v>2.6897971934545097</v>
      </c>
      <c r="AW190" s="23">
        <f>EXP(-LN(2)/2)*AW189+(1-EXP(-LN(2)/2))/(LN(2)/2)*AQ190*AT190*VLOOKUP('Données projet'!$B$10,Paramètres!$A$1:$I$89,3,0)*0.475*44/12</f>
        <v>1.199124645937825E-12</v>
      </c>
      <c r="AX190" s="23">
        <f t="shared" si="166"/>
        <v>31.399358266701867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-1.064108801074326E-13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262.36903350767881</v>
      </c>
      <c r="BJ190" s="62">
        <f t="shared" si="146"/>
        <v>331.21009482262417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13.893829178838031</v>
      </c>
      <c r="BQ190" s="23">
        <f>EXP(-LN(2)/25)*BQ189+(1-EXP(-LN(2)/25))/(LN(2)/25)*Calculateur!BL190*Calculateur!BN190*VLOOKUP('Données projet'!$B$11,Paramètres!$A$1:$I$89,3,0)*0.475*44/12</f>
        <v>1.1902952652255643</v>
      </c>
      <c r="BR190" s="23">
        <f>EXP(-LN(2)/2)*BR189+(1-EXP(-LN(2)/2))/(LN(2)/2)*BL190*BO190*VLOOKUP('Données projet'!$B$11,Paramètres!$A$1:$I$89,3,0)*0.475*44/12</f>
        <v>1.5271769994859093E-18</v>
      </c>
      <c r="BS190" s="24">
        <f t="shared" si="169"/>
        <v>15.084124444063596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4.8316906031686813E-13</v>
      </c>
      <c r="BZ190" s="14">
        <f>BY190*VLOOKUP('Données projet'!$B$12,Paramètres!$A$1:$I$89,3,0)*VLOOKUP('Données projet'!$B$12,Paramètres!$A$1:$I$89,5,0)</f>
        <v>4.6732111513847483E-13</v>
      </c>
      <c r="CA190" s="14">
        <f t="shared" si="170"/>
        <v>5.8671100737071438E-12</v>
      </c>
      <c r="CB190" s="22">
        <f t="shared" si="171"/>
        <v>1.1032467653906121E-11</v>
      </c>
      <c r="CC190" s="62">
        <f t="shared" si="119"/>
        <v>293.33333333334434</v>
      </c>
      <c r="CD190" s="62">
        <f ca="1">AVERAGE(OFFSET($CC$3,0,0,'Données projet'!$E$12+1,1))-AVERAGE(OFFSET($H$3,0,0,'Données projet'!$E$12+1,1))</f>
        <v>618.83149423524605</v>
      </c>
      <c r="CE190" s="62">
        <f t="shared" si="148"/>
        <v>285.33582535802435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232.61515960579271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232.61515960579271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349.5718186624772</v>
      </c>
      <c r="CZ190" s="62">
        <f t="shared" si="150"/>
        <v>258.14152930815959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24.2535942907123</v>
      </c>
      <c r="DG190" s="23">
        <f>EXP(-LN(2)/25)*DG189+(1-EXP(-LN(2)/25))/(LN(2)/25)*Calculateur!DB190*Calculateur!DD190*VLOOKUP('Données projet'!$B$13,Paramètres!$A$1:$I$89,3,0)*0.475*44/12</f>
        <v>1.6241297844651303</v>
      </c>
      <c r="DH190" s="23">
        <f>EXP(-LN(2)/2)*DH189+(1-EXP(-LN(2)/2))/(LN(2)/2)*DB190*DE190*VLOOKUP('Données projet'!$B$13,Paramètres!$A$1:$I$89,3,0)*0.475*44/12</f>
        <v>2.4980740847152773E-15</v>
      </c>
      <c r="DI190" s="24">
        <f t="shared" si="175"/>
        <v>25.877724075177433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8.5265128291212022E-14</v>
      </c>
      <c r="DP190" s="18">
        <f>DO190*VLOOKUP('Données projet'!$B$14,Paramètres!$A$1:$I$89,3,0)*VLOOKUP('Données projet'!$B$14,Paramètres!$A$1:$I$89,5,0)</f>
        <v>7.4487616075202836E-14</v>
      </c>
      <c r="DQ190" s="14">
        <f t="shared" si="176"/>
        <v>1.1580453144473142E-12</v>
      </c>
      <c r="DR190" s="22">
        <f t="shared" si="177"/>
        <v>2.1466615206600508E-12</v>
      </c>
      <c r="DS190" s="62">
        <f t="shared" si="125"/>
        <v>293.33333333333547</v>
      </c>
      <c r="DT190" s="62">
        <f ca="1">AVERAGE(OFFSET($DS$3,0,0,'Données projet'!$E$14+1,1))-AVERAGE(OFFSET($H$3,0,0,'Données projet'!$E$14+1,1))</f>
        <v>300.63505444445104</v>
      </c>
      <c r="DU190" s="62">
        <f t="shared" si="152"/>
        <v>266.32508105927997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17.128510251300337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17.128510251300337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353.37024194969638</v>
      </c>
      <c r="EP190" s="62">
        <f t="shared" si="154"/>
        <v>345.4750813433123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18.654432366363135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18.654432366363135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8.5265128291212022E-14</v>
      </c>
      <c r="FF190" s="18">
        <f>FE190*VLOOKUP('Données projet'!$B$16,Paramètres!$A$1:$I$89,3,0)*VLOOKUP('Données projet'!$B$16,Paramètres!$A$1:$I$89,5,0)</f>
        <v>5.5865712056402117E-14</v>
      </c>
      <c r="FG190" s="14">
        <f t="shared" si="182"/>
        <v>8.9811031843713517E-13</v>
      </c>
      <c r="FH190" s="22">
        <f t="shared" si="183"/>
        <v>1.6615082531095774E-12</v>
      </c>
      <c r="FI190" s="62">
        <f t="shared" si="131"/>
        <v>293.33333333333496</v>
      </c>
      <c r="FJ190" s="62">
        <f ca="1">AVERAGE(OFFSET($FI$3,0,0,'Données projet'!$E$16+1,1))-AVERAGE(OFFSET($H$3,0,0,'Données projet'!$E$16+1,1))</f>
        <v>263.30962868541337</v>
      </c>
      <c r="FK190" s="62">
        <f t="shared" si="156"/>
        <v>269.61868559913404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12.063105767316362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12.063105767316362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262.06511368698341</v>
      </c>
      <c r="T191" s="62">
        <f t="shared" si="142"/>
        <v>217.15709240080542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26.022959332398457</v>
      </c>
      <c r="AA191" s="23">
        <f>EXP(-LN(2)/25)*AA190+(1-EXP(-LN(2)/25))/(LN(2)/25)*Calculateur!V191*Calculateur!X191*VLOOKUP('Données projet'!$B$9,Paramètres!$A$1:$I$89,3,0)*0.475*44/12</f>
        <v>2.1113843779580899</v>
      </c>
      <c r="AB191" s="23">
        <f>EXP(-LN(2)/2)*AB190+(1-EXP(-LN(2)/2))/(LN(2)/2)*V191*Y191*VLOOKUP('Données projet'!$B$9,Paramètres!$A$1:$I$89,3,0)*0.475*44/12</f>
        <v>2.7382331253248497E-11</v>
      </c>
      <c r="AC191" s="24">
        <f t="shared" si="163"/>
        <v>28.134343710383927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287.83167869616227</v>
      </c>
      <c r="AO191" s="62">
        <f t="shared" si="144"/>
        <v>233.84231920589906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28.146584091702977</v>
      </c>
      <c r="AV191" s="23">
        <f>EXP(-LN(2)/25)*AV190+(1-EXP(-LN(2)/25))/(LN(2)/25)*Calculateur!AQ191*Calculateur!AS191*VLOOKUP('Données projet'!$B$10,Paramètres!$A$1:$I$89,3,0)*0.475*44/12</f>
        <v>2.6162445477492096</v>
      </c>
      <c r="AW191" s="23">
        <f>EXP(-LN(2)/2)*AW190+(1-EXP(-LN(2)/2))/(LN(2)/2)*AQ191*AT191*VLOOKUP('Données projet'!$B$10,Paramètres!$A$1:$I$89,3,0)*0.475*44/12</f>
        <v>8.4790916863055388E-13</v>
      </c>
      <c r="AX191" s="23">
        <f t="shared" si="166"/>
        <v>30.762828639453037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-1.064108801074326E-13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262.36903350767881</v>
      </c>
      <c r="BJ191" s="62">
        <f t="shared" si="146"/>
        <v>331.21009482262417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13.621379663040038</v>
      </c>
      <c r="BQ191" s="23">
        <f>EXP(-LN(2)/25)*BQ190+(1-EXP(-LN(2)/25))/(LN(2)/25)*Calculateur!BL191*Calculateur!BN191*VLOOKUP('Données projet'!$B$11,Paramètres!$A$1:$I$89,3,0)*0.475*44/12</f>
        <v>1.1577465786030636</v>
      </c>
      <c r="BR191" s="23">
        <f>EXP(-LN(2)/2)*BR190+(1-EXP(-LN(2)/2))/(LN(2)/2)*BL191*BO191*VLOOKUP('Données projet'!$B$11,Paramètres!$A$1:$I$89,3,0)*0.475*44/12</f>
        <v>1.0798772124086111E-18</v>
      </c>
      <c r="BS191" s="24">
        <f t="shared" si="169"/>
        <v>14.779126241643102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4.8316906031686813E-13</v>
      </c>
      <c r="BZ191" s="14">
        <f>BY191*VLOOKUP('Données projet'!$B$12,Paramètres!$A$1:$I$89,3,0)*VLOOKUP('Données projet'!$B$12,Paramètres!$A$1:$I$89,5,0)</f>
        <v>4.6732111513847483E-13</v>
      </c>
      <c r="CA191" s="14">
        <f t="shared" si="170"/>
        <v>5.8671100737071438E-12</v>
      </c>
      <c r="CB191" s="22">
        <f t="shared" si="171"/>
        <v>1.1032467653906121E-11</v>
      </c>
      <c r="CC191" s="62">
        <f t="shared" si="119"/>
        <v>293.33333333334434</v>
      </c>
      <c r="CD191" s="62">
        <f ca="1">AVERAGE(OFFSET($CC$3,0,0,'Données projet'!$E$12+1,1))-AVERAGE(OFFSET($H$3,0,0,'Données projet'!$E$12+1,1))</f>
        <v>618.83149423524605</v>
      </c>
      <c r="CE191" s="62">
        <f t="shared" si="148"/>
        <v>285.33582535802435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228.05371820716087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228.05371820716087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349.5718186624772</v>
      </c>
      <c r="CZ191" s="62">
        <f t="shared" si="150"/>
        <v>258.14152930815959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23.777996099903238</v>
      </c>
      <c r="DG191" s="23">
        <f>EXP(-LN(2)/25)*DG190+(1-EXP(-LN(2)/25))/(LN(2)/25)*Calculateur!DB191*Calculateur!DD191*VLOOKUP('Données projet'!$B$13,Paramètres!$A$1:$I$89,3,0)*0.475*44/12</f>
        <v>1.5797178700996579</v>
      </c>
      <c r="DH191" s="23">
        <f>EXP(-LN(2)/2)*DH190+(1-EXP(-LN(2)/2))/(LN(2)/2)*DB191*DE191*VLOOKUP('Données projet'!$B$13,Paramètres!$A$1:$I$89,3,0)*0.475*44/12</f>
        <v>1.7664051252085507E-15</v>
      </c>
      <c r="DI191" s="24">
        <f t="shared" si="175"/>
        <v>25.357713970002894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8.5265128291212022E-14</v>
      </c>
      <c r="DP191" s="18">
        <f>DO191*VLOOKUP('Données projet'!$B$14,Paramètres!$A$1:$I$89,3,0)*VLOOKUP('Données projet'!$B$14,Paramètres!$A$1:$I$89,5,0)</f>
        <v>7.4487616075202836E-14</v>
      </c>
      <c r="DQ191" s="14">
        <f t="shared" si="176"/>
        <v>1.1580453144473142E-12</v>
      </c>
      <c r="DR191" s="22">
        <f t="shared" si="177"/>
        <v>2.1466615206600508E-12</v>
      </c>
      <c r="DS191" s="62">
        <f t="shared" si="125"/>
        <v>293.33333333333547</v>
      </c>
      <c r="DT191" s="62">
        <f ca="1">AVERAGE(OFFSET($DS$3,0,0,'Données projet'!$E$14+1,1))-AVERAGE(OFFSET($H$3,0,0,'Données projet'!$E$14+1,1))</f>
        <v>300.63505444445104</v>
      </c>
      <c r="DU191" s="62">
        <f t="shared" si="152"/>
        <v>266.32508105927997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16.792630612631999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16.792630612631999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353.37024194969638</v>
      </c>
      <c r="EP191" s="62">
        <f t="shared" si="154"/>
        <v>345.4750813433123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18.288630325739007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18.288630325739007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8.5265128291212022E-14</v>
      </c>
      <c r="FF191" s="18">
        <f>FE191*VLOOKUP('Données projet'!$B$16,Paramètres!$A$1:$I$89,3,0)*VLOOKUP('Données projet'!$B$16,Paramètres!$A$1:$I$89,5,0)</f>
        <v>5.5865712056402117E-14</v>
      </c>
      <c r="FG191" s="14">
        <f t="shared" si="182"/>
        <v>8.9811031843713517E-13</v>
      </c>
      <c r="FH191" s="22">
        <f t="shared" si="183"/>
        <v>1.6615082531095774E-12</v>
      </c>
      <c r="FI191" s="62">
        <f t="shared" si="131"/>
        <v>293.33333333333496</v>
      </c>
      <c r="FJ191" s="62">
        <f ca="1">AVERAGE(OFFSET($FI$3,0,0,'Données projet'!$E$16+1,1))-AVERAGE(OFFSET($H$3,0,0,'Données projet'!$E$16+1,1))</f>
        <v>263.30962868541337</v>
      </c>
      <c r="FK191" s="62">
        <f t="shared" si="156"/>
        <v>269.61868559913404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11.826555620987287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11.826555620987287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262.06511368698341</v>
      </c>
      <c r="T192" s="62">
        <f t="shared" si="142"/>
        <v>217.15709240080542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25.512664972328043</v>
      </c>
      <c r="AA192" s="23">
        <f>EXP(-LN(2)/25)*AA191+(1-EXP(-LN(2)/25))/(LN(2)/25)*Calculateur!V192*Calculateur!X192*VLOOKUP('Données projet'!$B$9,Paramètres!$A$1:$I$89,3,0)*0.475*44/12</f>
        <v>2.053648461109947</v>
      </c>
      <c r="AB192" s="23">
        <f>EXP(-LN(2)/2)*AB191+(1-EXP(-LN(2)/2))/(LN(2)/2)*V192*Y192*VLOOKUP('Données projet'!$B$9,Paramètres!$A$1:$I$89,3,0)*0.475*44/12</f>
        <v>1.9362232113868346E-11</v>
      </c>
      <c r="AC192" s="24">
        <f t="shared" si="163"/>
        <v>27.566313433457353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287.83167869616227</v>
      </c>
      <c r="AO192" s="62">
        <f t="shared" si="144"/>
        <v>233.84231920589906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27.594646745385806</v>
      </c>
      <c r="AV192" s="23">
        <f>EXP(-LN(2)/25)*AV191+(1-EXP(-LN(2)/25))/(LN(2)/25)*Calculateur!AQ192*Calculateur!AS192*VLOOKUP('Données projet'!$B$10,Paramètres!$A$1:$I$89,3,0)*0.475*44/12</f>
        <v>2.544703203008686</v>
      </c>
      <c r="AW192" s="23">
        <f>EXP(-LN(2)/2)*AW191+(1-EXP(-LN(2)/2))/(LN(2)/2)*AQ192*AT192*VLOOKUP('Données projet'!$B$10,Paramètres!$A$1:$I$89,3,0)*0.475*44/12</f>
        <v>5.9956232296891248E-13</v>
      </c>
      <c r="AX192" s="23">
        <f t="shared" si="166"/>
        <v>30.139349948395093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-1.064108801074326E-13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262.36903350767881</v>
      </c>
      <c r="BJ192" s="62">
        <f t="shared" si="146"/>
        <v>331.21009482262417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13.354272716069049</v>
      </c>
      <c r="BQ192" s="23">
        <f>EXP(-LN(2)/25)*BQ191+(1-EXP(-LN(2)/25))/(LN(2)/25)*Calculateur!BL192*Calculateur!BN192*VLOOKUP('Données projet'!$B$11,Paramètres!$A$1:$I$89,3,0)*0.475*44/12</f>
        <v>1.1260879375279162</v>
      </c>
      <c r="BR192" s="23">
        <f>EXP(-LN(2)/2)*BR191+(1-EXP(-LN(2)/2))/(LN(2)/2)*BL192*BO192*VLOOKUP('Données projet'!$B$11,Paramètres!$A$1:$I$89,3,0)*0.475*44/12</f>
        <v>7.6358849974295466E-19</v>
      </c>
      <c r="BS192" s="24">
        <f t="shared" si="169"/>
        <v>14.480360653596966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4.8316906031686813E-13</v>
      </c>
      <c r="BZ192" s="14">
        <f>BY192*VLOOKUP('Données projet'!$B$12,Paramètres!$A$1:$I$89,3,0)*VLOOKUP('Données projet'!$B$12,Paramètres!$A$1:$I$89,5,0)</f>
        <v>4.6732111513847483E-13</v>
      </c>
      <c r="CA192" s="14">
        <f t="shared" si="170"/>
        <v>5.8671100737071438E-12</v>
      </c>
      <c r="CB192" s="22">
        <f t="shared" si="171"/>
        <v>1.1032467653906121E-11</v>
      </c>
      <c r="CC192" s="62">
        <f t="shared" si="119"/>
        <v>293.33333333334434</v>
      </c>
      <c r="CD192" s="62">
        <f ca="1">AVERAGE(OFFSET($CC$3,0,0,'Données projet'!$E$12+1,1))-AVERAGE(OFFSET($H$3,0,0,'Données projet'!$E$12+1,1))</f>
        <v>618.83149423524605</v>
      </c>
      <c r="CE192" s="62">
        <f t="shared" si="148"/>
        <v>285.33582535802435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223.58172389215167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223.58172389215167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349.5718186624772</v>
      </c>
      <c r="CZ192" s="62">
        <f t="shared" si="150"/>
        <v>258.14152930815959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23.311724099529691</v>
      </c>
      <c r="DG192" s="23">
        <f>EXP(-LN(2)/25)*DG191+(1-EXP(-LN(2)/25))/(LN(2)/25)*Calculateur!DB192*Calculateur!DD192*VLOOKUP('Données projet'!$B$13,Paramètres!$A$1:$I$89,3,0)*0.475*44/12</f>
        <v>1.5365204018680305</v>
      </c>
      <c r="DH192" s="23">
        <f>EXP(-LN(2)/2)*DH191+(1-EXP(-LN(2)/2))/(LN(2)/2)*DB192*DE192*VLOOKUP('Données projet'!$B$13,Paramètres!$A$1:$I$89,3,0)*0.475*44/12</f>
        <v>1.2490370423576388E-15</v>
      </c>
      <c r="DI192" s="24">
        <f t="shared" si="175"/>
        <v>24.848244501397723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8.5265128291212022E-14</v>
      </c>
      <c r="DP192" s="18">
        <f>DO192*VLOOKUP('Données projet'!$B$14,Paramètres!$A$1:$I$89,3,0)*VLOOKUP('Données projet'!$B$14,Paramètres!$A$1:$I$89,5,0)</f>
        <v>7.4487616075202836E-14</v>
      </c>
      <c r="DQ192" s="14">
        <f t="shared" si="176"/>
        <v>1.1580453144473142E-12</v>
      </c>
      <c r="DR192" s="22">
        <f t="shared" si="177"/>
        <v>2.1466615206600508E-12</v>
      </c>
      <c r="DS192" s="62">
        <f t="shared" si="125"/>
        <v>293.33333333333547</v>
      </c>
      <c r="DT192" s="62">
        <f ca="1">AVERAGE(OFFSET($DS$3,0,0,'Données projet'!$E$14+1,1))-AVERAGE(OFFSET($H$3,0,0,'Données projet'!$E$14+1,1))</f>
        <v>300.63505444445104</v>
      </c>
      <c r="DU192" s="62">
        <f t="shared" si="152"/>
        <v>266.32508105927997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16.463337368811597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16.463337368811597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353.37024194969638</v>
      </c>
      <c r="EP192" s="62">
        <f t="shared" si="154"/>
        <v>345.4750813433123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17.930001440014301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17.930001440014301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8.5265128291212022E-14</v>
      </c>
      <c r="FF192" s="18">
        <f>FE192*VLOOKUP('Données projet'!$B$16,Paramètres!$A$1:$I$89,3,0)*VLOOKUP('Données projet'!$B$16,Paramètres!$A$1:$I$89,5,0)</f>
        <v>5.5865712056402117E-14</v>
      </c>
      <c r="FG192" s="14">
        <f t="shared" si="182"/>
        <v>8.9811031843713517E-13</v>
      </c>
      <c r="FH192" s="22">
        <f t="shared" si="183"/>
        <v>1.6615082531095774E-12</v>
      </c>
      <c r="FI192" s="62">
        <f t="shared" si="131"/>
        <v>293.33333333333496</v>
      </c>
      <c r="FJ192" s="62">
        <f ca="1">AVERAGE(OFFSET($FI$3,0,0,'Données projet'!$E$16+1,1))-AVERAGE(OFFSET($H$3,0,0,'Données projet'!$E$16+1,1))</f>
        <v>263.30962868541337</v>
      </c>
      <c r="FK192" s="62">
        <f t="shared" si="156"/>
        <v>269.61868559913404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11.594644078746382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11.594644078746382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262.06511368698341</v>
      </c>
      <c r="T193" s="62">
        <f t="shared" si="142"/>
        <v>217.15709240080542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25.012377173409785</v>
      </c>
      <c r="AA193" s="23">
        <f>EXP(-LN(2)/25)*AA192+(1-EXP(-LN(2)/25))/(LN(2)/25)*Calculateur!V193*Calculateur!X193*VLOOKUP('Données projet'!$B$9,Paramètres!$A$1:$I$89,3,0)*0.475*44/12</f>
        <v>1.9974913359442166</v>
      </c>
      <c r="AB193" s="23">
        <f>EXP(-LN(2)/2)*AB192+(1-EXP(-LN(2)/2))/(LN(2)/2)*V193*Y193*VLOOKUP('Données projet'!$B$9,Paramètres!$A$1:$I$89,3,0)*0.475*44/12</f>
        <v>1.3691165626624248E-11</v>
      </c>
      <c r="AC193" s="24">
        <f t="shared" si="163"/>
        <v>27.009868509367692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287.83167869616227</v>
      </c>
      <c r="AO193" s="62">
        <f t="shared" si="144"/>
        <v>233.84231920589906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27.053532553781373</v>
      </c>
      <c r="AV193" s="23">
        <f>EXP(-LN(2)/25)*AV192+(1-EXP(-LN(2)/25))/(LN(2)/25)*Calculateur!AQ193*Calculateur!AS193*VLOOKUP('Données projet'!$B$10,Paramètres!$A$1:$I$89,3,0)*0.475*44/12</f>
        <v>2.475118160102288</v>
      </c>
      <c r="AW193" s="23">
        <f>EXP(-LN(2)/2)*AW192+(1-EXP(-LN(2)/2))/(LN(2)/2)*AQ193*AT193*VLOOKUP('Données projet'!$B$10,Paramètres!$A$1:$I$89,3,0)*0.475*44/12</f>
        <v>4.2395458431527694E-13</v>
      </c>
      <c r="AX193" s="23">
        <f t="shared" si="166"/>
        <v>29.528650713884083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-1.064108801074326E-13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262.36903350767881</v>
      </c>
      <c r="BJ193" s="62">
        <f t="shared" si="146"/>
        <v>331.21009482262417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13.09240357340901</v>
      </c>
      <c r="BQ193" s="23">
        <f>EXP(-LN(2)/25)*BQ192+(1-EXP(-LN(2)/25))/(LN(2)/25)*Calculateur!BL193*Calculateur!BN193*VLOOKUP('Données projet'!$B$11,Paramètres!$A$1:$I$89,3,0)*0.475*44/12</f>
        <v>1.0952950036578244</v>
      </c>
      <c r="BR193" s="23">
        <f>EXP(-LN(2)/2)*BR192+(1-EXP(-LN(2)/2))/(LN(2)/2)*BL193*BO193*VLOOKUP('Données projet'!$B$11,Paramètres!$A$1:$I$89,3,0)*0.475*44/12</f>
        <v>5.3993860620430553E-19</v>
      </c>
      <c r="BS193" s="24">
        <f t="shared" si="169"/>
        <v>14.187698577066834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4.8316906031686813E-13</v>
      </c>
      <c r="BZ193" s="14">
        <f>BY193*VLOOKUP('Données projet'!$B$12,Paramètres!$A$1:$I$89,3,0)*VLOOKUP('Données projet'!$B$12,Paramètres!$A$1:$I$89,5,0)</f>
        <v>4.6732111513847483E-13</v>
      </c>
      <c r="CA193" s="14">
        <f t="shared" si="170"/>
        <v>5.8671100737071438E-12</v>
      </c>
      <c r="CB193" s="22">
        <f t="shared" si="171"/>
        <v>1.1032467653906121E-11</v>
      </c>
      <c r="CC193" s="62">
        <f t="shared" si="119"/>
        <v>293.33333333334434</v>
      </c>
      <c r="CD193" s="62">
        <f ca="1">AVERAGE(OFFSET($CC$3,0,0,'Données projet'!$E$12+1,1))-AVERAGE(OFFSET($H$3,0,0,'Données projet'!$E$12+1,1))</f>
        <v>618.83149423524605</v>
      </c>
      <c r="CE193" s="62">
        <f t="shared" si="148"/>
        <v>285.33582535802435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219.19742265801258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219.19742265801258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349.5718186624772</v>
      </c>
      <c r="CZ193" s="62">
        <f t="shared" si="150"/>
        <v>258.14152930815959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22.854595408685629</v>
      </c>
      <c r="DG193" s="23">
        <f>EXP(-LN(2)/25)*DG192+(1-EXP(-LN(2)/25))/(LN(2)/25)*Calculateur!DB193*Calculateur!DD193*VLOOKUP('Données projet'!$B$13,Paramètres!$A$1:$I$89,3,0)*0.475*44/12</f>
        <v>1.4945041706768531</v>
      </c>
      <c r="DH193" s="23">
        <f>EXP(-LN(2)/2)*DH192+(1-EXP(-LN(2)/2))/(LN(2)/2)*DB193*DE193*VLOOKUP('Données projet'!$B$13,Paramètres!$A$1:$I$89,3,0)*0.475*44/12</f>
        <v>8.8320256260427545E-16</v>
      </c>
      <c r="DI193" s="24">
        <f t="shared" si="175"/>
        <v>24.34909957936248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8.5265128291212022E-14</v>
      </c>
      <c r="DP193" s="18">
        <f>DO193*VLOOKUP('Données projet'!$B$14,Paramètres!$A$1:$I$89,3,0)*VLOOKUP('Données projet'!$B$14,Paramètres!$A$1:$I$89,5,0)</f>
        <v>7.4487616075202836E-14</v>
      </c>
      <c r="DQ193" s="14">
        <f t="shared" si="176"/>
        <v>1.1580453144473142E-12</v>
      </c>
      <c r="DR193" s="22">
        <f t="shared" si="177"/>
        <v>2.1466615206600508E-12</v>
      </c>
      <c r="DS193" s="62">
        <f t="shared" si="125"/>
        <v>293.33333333333547</v>
      </c>
      <c r="DT193" s="62">
        <f ca="1">AVERAGE(OFFSET($DS$3,0,0,'Données projet'!$E$14+1,1))-AVERAGE(OFFSET($H$3,0,0,'Données projet'!$E$14+1,1))</f>
        <v>300.63505444445104</v>
      </c>
      <c r="DU193" s="62">
        <f t="shared" si="152"/>
        <v>266.32508105927997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16.140501364653467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16.140501364653467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353.37024194969638</v>
      </c>
      <c r="EP193" s="62">
        <f t="shared" si="154"/>
        <v>345.4750813433123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17.578405047996636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17.578405047996636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8.5265128291212022E-14</v>
      </c>
      <c r="FF193" s="18">
        <f>FE193*VLOOKUP('Données projet'!$B$16,Paramètres!$A$1:$I$89,3,0)*VLOOKUP('Données projet'!$B$16,Paramètres!$A$1:$I$89,5,0)</f>
        <v>5.5865712056402117E-14</v>
      </c>
      <c r="FG193" s="14">
        <f t="shared" si="182"/>
        <v>8.9811031843713517E-13</v>
      </c>
      <c r="FH193" s="22">
        <f t="shared" si="183"/>
        <v>1.6615082531095774E-12</v>
      </c>
      <c r="FI193" s="62">
        <f t="shared" si="131"/>
        <v>293.33333333333496</v>
      </c>
      <c r="FJ193" s="62">
        <f ca="1">AVERAGE(OFFSET($FI$3,0,0,'Données projet'!$E$16+1,1))-AVERAGE(OFFSET($H$3,0,0,'Données projet'!$E$16+1,1))</f>
        <v>263.30962868541337</v>
      </c>
      <c r="FK193" s="62">
        <f t="shared" si="156"/>
        <v>269.61868559913404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11.367280180396749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11.367280180396749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262.06511368698341</v>
      </c>
      <c r="T194" s="62">
        <f t="shared" si="142"/>
        <v>217.15709240080542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24.521899713082885</v>
      </c>
      <c r="AA194" s="23">
        <f>EXP(-LN(2)/25)*AA193+(1-EXP(-LN(2)/25))/(LN(2)/25)*Calculateur!V194*Calculateur!X194*VLOOKUP('Données projet'!$B$9,Paramètres!$A$1:$I$89,3,0)*0.475*44/12</f>
        <v>1.9428698303193179</v>
      </c>
      <c r="AB194" s="23">
        <f>EXP(-LN(2)/2)*AB193+(1-EXP(-LN(2)/2))/(LN(2)/2)*V194*Y194*VLOOKUP('Données projet'!$B$9,Paramètres!$A$1:$I$89,3,0)*0.475*44/12</f>
        <v>9.6811160569341731E-12</v>
      </c>
      <c r="AC194" s="24">
        <f t="shared" si="163"/>
        <v>26.464769543411883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287.83167869616227</v>
      </c>
      <c r="AO194" s="62">
        <f t="shared" si="144"/>
        <v>233.84231920589906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26.523029281427238</v>
      </c>
      <c r="AV194" s="23">
        <f>EXP(-LN(2)/25)*AV193+(1-EXP(-LN(2)/25))/(LN(2)/25)*Calculateur!AQ194*Calculateur!AS194*VLOOKUP('Données projet'!$B$10,Paramètres!$A$1:$I$89,3,0)*0.475*44/12</f>
        <v>2.4074359238534839</v>
      </c>
      <c r="AW194" s="23">
        <f>EXP(-LN(2)/2)*AW193+(1-EXP(-LN(2)/2))/(LN(2)/2)*AQ194*AT194*VLOOKUP('Données projet'!$B$10,Paramètres!$A$1:$I$89,3,0)*0.475*44/12</f>
        <v>2.9978116148445624E-13</v>
      </c>
      <c r="AX194" s="23">
        <f t="shared" si="166"/>
        <v>28.930465205281021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-1.064108801074326E-13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262.36903350767881</v>
      </c>
      <c r="BJ194" s="62">
        <f t="shared" si="146"/>
        <v>331.21009482262417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12.835669524912129</v>
      </c>
      <c r="BQ194" s="23">
        <f>EXP(-LN(2)/25)*BQ193+(1-EXP(-LN(2)/25))/(LN(2)/25)*Calculateur!BL194*Calculateur!BN194*VLOOKUP('Données projet'!$B$11,Paramètres!$A$1:$I$89,3,0)*0.475*44/12</f>
        <v>1.0653441041837404</v>
      </c>
      <c r="BR194" s="23">
        <f>EXP(-LN(2)/2)*BR193+(1-EXP(-LN(2)/2))/(LN(2)/2)*BL194*BO194*VLOOKUP('Données projet'!$B$11,Paramètres!$A$1:$I$89,3,0)*0.475*44/12</f>
        <v>3.8179424987147733E-19</v>
      </c>
      <c r="BS194" s="24">
        <f t="shared" si="169"/>
        <v>13.901013629095869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4.8316906031686813E-13</v>
      </c>
      <c r="BZ194" s="14">
        <f>BY194*VLOOKUP('Données projet'!$B$12,Paramètres!$A$1:$I$89,3,0)*VLOOKUP('Données projet'!$B$12,Paramètres!$A$1:$I$89,5,0)</f>
        <v>4.6732111513847483E-13</v>
      </c>
      <c r="CA194" s="14">
        <f t="shared" si="170"/>
        <v>5.8671100737071438E-12</v>
      </c>
      <c r="CB194" s="22">
        <f t="shared" si="171"/>
        <v>1.1032467653906121E-11</v>
      </c>
      <c r="CC194" s="62">
        <f t="shared" si="119"/>
        <v>293.33333333334434</v>
      </c>
      <c r="CD194" s="62">
        <f ca="1">AVERAGE(OFFSET($CC$3,0,0,'Données projet'!$E$12+1,1))-AVERAGE(OFFSET($H$3,0,0,'Données projet'!$E$12+1,1))</f>
        <v>618.83149423524605</v>
      </c>
      <c r="CE194" s="62">
        <f t="shared" si="148"/>
        <v>285.33582535802435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214.89909489691527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214.89909489691527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349.5718186624772</v>
      </c>
      <c r="CZ194" s="62">
        <f t="shared" si="150"/>
        <v>258.14152930815959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22.406430732648051</v>
      </c>
      <c r="DG194" s="23">
        <f>EXP(-LN(2)/25)*DG193+(1-EXP(-LN(2)/25))/(LN(2)/25)*Calculateur!DB194*Calculateur!DD194*VLOOKUP('Données projet'!$B$13,Paramètres!$A$1:$I$89,3,0)*0.475*44/12</f>
        <v>1.4536368755371361</v>
      </c>
      <c r="DH194" s="23">
        <f>EXP(-LN(2)/2)*DH193+(1-EXP(-LN(2)/2))/(LN(2)/2)*DB194*DE194*VLOOKUP('Données projet'!$B$13,Paramètres!$A$1:$I$89,3,0)*0.475*44/12</f>
        <v>6.2451852117881951E-16</v>
      </c>
      <c r="DI194" s="24">
        <f t="shared" si="175"/>
        <v>23.860067608185187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8.5265128291212022E-14</v>
      </c>
      <c r="DP194" s="18">
        <f>DO194*VLOOKUP('Données projet'!$B$14,Paramètres!$A$1:$I$89,3,0)*VLOOKUP('Données projet'!$B$14,Paramètres!$A$1:$I$89,5,0)</f>
        <v>7.4487616075202836E-14</v>
      </c>
      <c r="DQ194" s="14">
        <f t="shared" si="176"/>
        <v>1.1580453144473142E-12</v>
      </c>
      <c r="DR194" s="22">
        <f t="shared" si="177"/>
        <v>2.1466615206600508E-12</v>
      </c>
      <c r="DS194" s="62">
        <f t="shared" si="125"/>
        <v>293.33333333333547</v>
      </c>
      <c r="DT194" s="62">
        <f ca="1">AVERAGE(OFFSET($DS$3,0,0,'Données projet'!$E$14+1,1))-AVERAGE(OFFSET($H$3,0,0,'Données projet'!$E$14+1,1))</f>
        <v>300.63505444445104</v>
      </c>
      <c r="DU194" s="62">
        <f t="shared" si="152"/>
        <v>266.32508105927997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15.823995977626359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15.823995977626359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353.37024194969638</v>
      </c>
      <c r="EP194" s="62">
        <f t="shared" si="154"/>
        <v>345.4750813433123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17.233703246773814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17.233703246773814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8.5265128291212022E-14</v>
      </c>
      <c r="FF194" s="18">
        <f>FE194*VLOOKUP('Données projet'!$B$16,Paramètres!$A$1:$I$89,3,0)*VLOOKUP('Données projet'!$B$16,Paramètres!$A$1:$I$89,5,0)</f>
        <v>5.5865712056402117E-14</v>
      </c>
      <c r="FG194" s="14">
        <f t="shared" si="182"/>
        <v>8.9811031843713517E-13</v>
      </c>
      <c r="FH194" s="22">
        <f t="shared" si="183"/>
        <v>1.6615082531095774E-12</v>
      </c>
      <c r="FI194" s="62">
        <f t="shared" si="131"/>
        <v>293.33333333333496</v>
      </c>
      <c r="FJ194" s="62">
        <f ca="1">AVERAGE(OFFSET($FI$3,0,0,'Données projet'!$E$16+1,1))-AVERAGE(OFFSET($H$3,0,0,'Données projet'!$E$16+1,1))</f>
        <v>263.30962868541337</v>
      </c>
      <c r="FK194" s="62">
        <f t="shared" si="156"/>
        <v>269.61868559913404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11.144374749415467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11.144374749415467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262.06511368698341</v>
      </c>
      <c r="T195" s="62">
        <f t="shared" si="142"/>
        <v>217.15709240080542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24.041040216591284</v>
      </c>
      <c r="AA195" s="23">
        <f>EXP(-LN(2)/25)*AA194+(1-EXP(-LN(2)/25))/(LN(2)/25)*Calculateur!V195*Calculateur!X195*VLOOKUP('Données projet'!$B$9,Paramètres!$A$1:$I$89,3,0)*0.475*44/12</f>
        <v>1.8897419526381523</v>
      </c>
      <c r="AB195" s="23">
        <f>EXP(-LN(2)/2)*AB194+(1-EXP(-LN(2)/2))/(LN(2)/2)*V195*Y195*VLOOKUP('Données projet'!$B$9,Paramètres!$A$1:$I$89,3,0)*0.475*44/12</f>
        <v>6.8455828133121242E-12</v>
      </c>
      <c r="AC195" s="24">
        <f t="shared" si="163"/>
        <v>25.930782169236284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287.83167869616227</v>
      </c>
      <c r="AO195" s="62">
        <f t="shared" si="144"/>
        <v>233.84231920589906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26.002928854668919</v>
      </c>
      <c r="AV195" s="23">
        <f>EXP(-LN(2)/25)*AV194+(1-EXP(-LN(2)/25))/(LN(2)/25)*Calculateur!AQ195*Calculateur!AS195*VLOOKUP('Données projet'!$B$10,Paramètres!$A$1:$I$89,3,0)*0.475*44/12</f>
        <v>2.3416044619141574</v>
      </c>
      <c r="AW195" s="23">
        <f>EXP(-LN(2)/2)*AW194+(1-EXP(-LN(2)/2))/(LN(2)/2)*AQ195*AT195*VLOOKUP('Données projet'!$B$10,Paramètres!$A$1:$I$89,3,0)*0.475*44/12</f>
        <v>2.1197729215763847E-13</v>
      </c>
      <c r="AX195" s="23">
        <f t="shared" si="166"/>
        <v>28.344533316583291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-1.064108801074326E-13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262.36903350767881</v>
      </c>
      <c r="BJ195" s="62">
        <f t="shared" si="146"/>
        <v>331.21009482262417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12.583969874513965</v>
      </c>
      <c r="BQ195" s="23">
        <f>EXP(-LN(2)/25)*BQ194+(1-EXP(-LN(2)/25))/(LN(2)/25)*Calculateur!BL195*Calculateur!BN195*VLOOKUP('Données projet'!$B$11,Paramètres!$A$1:$I$89,3,0)*0.475*44/12</f>
        <v>1.0362122136308245</v>
      </c>
      <c r="BR195" s="23">
        <f>EXP(-LN(2)/2)*BR194+(1-EXP(-LN(2)/2))/(LN(2)/2)*BL195*BO195*VLOOKUP('Données projet'!$B$11,Paramètres!$A$1:$I$89,3,0)*0.475*44/12</f>
        <v>2.6996930310215277E-19</v>
      </c>
      <c r="BS195" s="24">
        <f t="shared" si="169"/>
        <v>13.620182088144789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4.8316906031686813E-13</v>
      </c>
      <c r="BZ195" s="14">
        <f>BY195*VLOOKUP('Données projet'!$B$12,Paramètres!$A$1:$I$89,3,0)*VLOOKUP('Données projet'!$B$12,Paramètres!$A$1:$I$89,5,0)</f>
        <v>4.6732111513847483E-13</v>
      </c>
      <c r="CA195" s="14">
        <f t="shared" si="170"/>
        <v>5.8671100737071438E-12</v>
      </c>
      <c r="CB195" s="22">
        <f t="shared" si="171"/>
        <v>1.1032467653906121E-11</v>
      </c>
      <c r="CC195" s="62">
        <f t="shared" si="119"/>
        <v>293.33333333334434</v>
      </c>
      <c r="CD195" s="62">
        <f ca="1">AVERAGE(OFFSET($CC$3,0,0,'Données projet'!$E$12+1,1))-AVERAGE(OFFSET($H$3,0,0,'Données projet'!$E$12+1,1))</f>
        <v>618.83149423524605</v>
      </c>
      <c r="CE195" s="62">
        <f t="shared" si="148"/>
        <v>285.33582535802435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210.68505472149201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210.68505472149201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349.5718186624772</v>
      </c>
      <c r="CZ195" s="62">
        <f t="shared" si="150"/>
        <v>258.14152930815959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21.967054292554106</v>
      </c>
      <c r="DG195" s="23">
        <f>EXP(-LN(2)/25)*DG194+(1-EXP(-LN(2)/25))/(LN(2)/25)*Calculateur!DB195*Calculateur!DD195*VLOOKUP('Données projet'!$B$13,Paramètres!$A$1:$I$89,3,0)*0.475*44/12</f>
        <v>1.4138870987321321</v>
      </c>
      <c r="DH195" s="23">
        <f>EXP(-LN(2)/2)*DH194+(1-EXP(-LN(2)/2))/(LN(2)/2)*DB195*DE195*VLOOKUP('Données projet'!$B$13,Paramètres!$A$1:$I$89,3,0)*0.475*44/12</f>
        <v>4.4160128130213782E-16</v>
      </c>
      <c r="DI195" s="24">
        <f t="shared" si="175"/>
        <v>23.380941391286239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8.5265128291212022E-14</v>
      </c>
      <c r="DP195" s="18">
        <f>DO195*VLOOKUP('Données projet'!$B$14,Paramètres!$A$1:$I$89,3,0)*VLOOKUP('Données projet'!$B$14,Paramètres!$A$1:$I$89,5,0)</f>
        <v>7.4487616075202836E-14</v>
      </c>
      <c r="DQ195" s="14">
        <f t="shared" si="176"/>
        <v>1.1580453144473142E-12</v>
      </c>
      <c r="DR195" s="22">
        <f t="shared" si="177"/>
        <v>2.1466615206600508E-12</v>
      </c>
      <c r="DS195" s="62">
        <f t="shared" si="125"/>
        <v>293.33333333333547</v>
      </c>
      <c r="DT195" s="62">
        <f ca="1">AVERAGE(OFFSET($DS$3,0,0,'Données projet'!$E$14+1,1))-AVERAGE(OFFSET($H$3,0,0,'Données projet'!$E$14+1,1))</f>
        <v>300.63505444445104</v>
      </c>
      <c r="DU195" s="62">
        <f t="shared" si="152"/>
        <v>266.32508105927997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15.513697068189627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15.513697068189627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353.37024194969638</v>
      </c>
      <c r="EP195" s="62">
        <f t="shared" si="154"/>
        <v>345.4750813433123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16.895760837625634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16.895760837625634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8.5265128291212022E-14</v>
      </c>
      <c r="FF195" s="18">
        <f>FE195*VLOOKUP('Données projet'!$B$16,Paramètres!$A$1:$I$89,3,0)*VLOOKUP('Données projet'!$B$16,Paramètres!$A$1:$I$89,5,0)</f>
        <v>5.5865712056402117E-14</v>
      </c>
      <c r="FG195" s="14">
        <f t="shared" si="182"/>
        <v>8.9811031843713517E-13</v>
      </c>
      <c r="FH195" s="22">
        <f t="shared" si="183"/>
        <v>1.6615082531095774E-12</v>
      </c>
      <c r="FI195" s="62">
        <f t="shared" si="131"/>
        <v>293.33333333333496</v>
      </c>
      <c r="FJ195" s="62">
        <f ca="1">AVERAGE(OFFSET($FI$3,0,0,'Données projet'!$E$16+1,1))-AVERAGE(OFFSET($H$3,0,0,'Données projet'!$E$16+1,1))</f>
        <v>263.30962868541337</v>
      </c>
      <c r="FK195" s="62">
        <f t="shared" si="156"/>
        <v>269.61868559913404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10.92584035797684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10.92584035797684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262.06511368698341</v>
      </c>
      <c r="T196" s="62">
        <f t="shared" si="142"/>
        <v>217.15709240080542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23.569610081530552</v>
      </c>
      <c r="AA196" s="23">
        <f>EXP(-LN(2)/25)*AA195+(1-EXP(-LN(2)/25))/(LN(2)/25)*Calculateur!V196*Calculateur!X196*VLOOKUP('Données projet'!$B$9,Paramètres!$A$1:$I$89,3,0)*0.475*44/12</f>
        <v>1.8380668595660516</v>
      </c>
      <c r="AB196" s="23">
        <f>EXP(-LN(2)/2)*AB195+(1-EXP(-LN(2)/2))/(LN(2)/2)*V196*Y196*VLOOKUP('Données projet'!$B$9,Paramètres!$A$1:$I$89,3,0)*0.475*44/12</f>
        <v>4.8405580284670865E-12</v>
      </c>
      <c r="AC196" s="24">
        <f t="shared" si="163"/>
        <v>25.407676941101442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287.83167869616227</v>
      </c>
      <c r="AO196" s="62">
        <f t="shared" si="144"/>
        <v>233.84231920589906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25.493027280049397</v>
      </c>
      <c r="AV196" s="23">
        <f>EXP(-LN(2)/25)*AV195+(1-EXP(-LN(2)/25))/(LN(2)/25)*Calculateur!AQ196*Calculateur!AS196*VLOOKUP('Données projet'!$B$10,Paramètres!$A$1:$I$89,3,0)*0.475*44/12</f>
        <v>2.277573164763488</v>
      </c>
      <c r="AW196" s="23">
        <f>EXP(-LN(2)/2)*AW195+(1-EXP(-LN(2)/2))/(LN(2)/2)*AQ196*AT196*VLOOKUP('Données projet'!$B$10,Paramètres!$A$1:$I$89,3,0)*0.475*44/12</f>
        <v>1.4989058074222812E-13</v>
      </c>
      <c r="AX196" s="23">
        <f t="shared" si="166"/>
        <v>27.770600444813034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-1.064108801074326E-13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262.36903350767881</v>
      </c>
      <c r="BJ196" s="62">
        <f t="shared" si="146"/>
        <v>331.21009482262417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12.33720590073848</v>
      </c>
      <c r="BQ196" s="23">
        <f>EXP(-LN(2)/25)*BQ195+(1-EXP(-LN(2)/25))/(LN(2)/25)*Calculateur!BL196*Calculateur!BN196*VLOOKUP('Données projet'!$B$11,Paramètres!$A$1:$I$89,3,0)*0.475*44/12</f>
        <v>1.0078769361570576</v>
      </c>
      <c r="BR196" s="23">
        <f>EXP(-LN(2)/2)*BR195+(1-EXP(-LN(2)/2))/(LN(2)/2)*BL196*BO196*VLOOKUP('Données projet'!$B$11,Paramètres!$A$1:$I$89,3,0)*0.475*44/12</f>
        <v>1.9089712493573866E-19</v>
      </c>
      <c r="BS196" s="24">
        <f t="shared" si="169"/>
        <v>13.345082836895537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4.8316906031686813E-13</v>
      </c>
      <c r="BZ196" s="14">
        <f>BY196*VLOOKUP('Données projet'!$B$12,Paramètres!$A$1:$I$89,3,0)*VLOOKUP('Données projet'!$B$12,Paramètres!$A$1:$I$89,5,0)</f>
        <v>4.6732111513847483E-13</v>
      </c>
      <c r="CA196" s="14">
        <f t="shared" si="170"/>
        <v>5.8671100737071438E-12</v>
      </c>
      <c r="CB196" s="22">
        <f t="shared" si="171"/>
        <v>1.1032467653906121E-11</v>
      </c>
      <c r="CC196" s="62">
        <f t="shared" ref="CC196:CC203" si="195">CB196+(BT196+BU196)*44/12</f>
        <v>293.33333333334434</v>
      </c>
      <c r="CD196" s="62">
        <f ca="1">AVERAGE(OFFSET($CC$3,0,0,'Données projet'!$E$12+1,1))-AVERAGE(OFFSET($H$3,0,0,'Données projet'!$E$12+1,1))</f>
        <v>618.83149423524605</v>
      </c>
      <c r="CE196" s="62">
        <f t="shared" si="148"/>
        <v>285.33582535802435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206.55364930359809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206.55364930359809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349.5718186624772</v>
      </c>
      <c r="CZ196" s="62">
        <f t="shared" si="150"/>
        <v>258.14152930815959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21.536293756457241</v>
      </c>
      <c r="DG196" s="23">
        <f>EXP(-LN(2)/25)*DG195+(1-EXP(-LN(2)/25))/(LN(2)/25)*Calculateur!DB196*Calculateur!DD196*VLOOKUP('Données projet'!$B$13,Paramètres!$A$1:$I$89,3,0)*0.475*44/12</f>
        <v>1.3752242816642108</v>
      </c>
      <c r="DH196" s="23">
        <f>EXP(-LN(2)/2)*DH195+(1-EXP(-LN(2)/2))/(LN(2)/2)*DB196*DE196*VLOOKUP('Données projet'!$B$13,Paramètres!$A$1:$I$89,3,0)*0.475*44/12</f>
        <v>3.1225926058940981E-16</v>
      </c>
      <c r="DI196" s="24">
        <f t="shared" si="175"/>
        <v>22.91151803812145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8.5265128291212022E-14</v>
      </c>
      <c r="DP196" s="18">
        <f>DO196*VLOOKUP('Données projet'!$B$14,Paramètres!$A$1:$I$89,3,0)*VLOOKUP('Données projet'!$B$14,Paramètres!$A$1:$I$89,5,0)</f>
        <v>7.4487616075202836E-14</v>
      </c>
      <c r="DQ196" s="14">
        <f t="shared" si="176"/>
        <v>1.1580453144473142E-12</v>
      </c>
      <c r="DR196" s="22">
        <f t="shared" si="177"/>
        <v>2.1466615206600508E-12</v>
      </c>
      <c r="DS196" s="62">
        <f t="shared" ref="DS196:DS203" si="197">DR196+(DJ196+DK196)*44/12</f>
        <v>293.33333333333547</v>
      </c>
      <c r="DT196" s="62">
        <f ca="1">AVERAGE(OFFSET($DS$3,0,0,'Données projet'!$E$14+1,1))-AVERAGE(OFFSET($H$3,0,0,'Données projet'!$E$14+1,1))</f>
        <v>300.63505444445104</v>
      </c>
      <c r="DU196" s="62">
        <f t="shared" si="152"/>
        <v>266.32508105927997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15.209482931103304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15.209482931103304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353.37024194969638</v>
      </c>
      <c r="EP196" s="62">
        <f t="shared" si="154"/>
        <v>345.4750813433123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16.564445272996334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16.564445272996334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8.5265128291212022E-14</v>
      </c>
      <c r="FF196" s="18">
        <f>FE196*VLOOKUP('Données projet'!$B$16,Paramètres!$A$1:$I$89,3,0)*VLOOKUP('Données projet'!$B$16,Paramètres!$A$1:$I$89,5,0)</f>
        <v>5.5865712056402117E-14</v>
      </c>
      <c r="FG196" s="14">
        <f t="shared" si="182"/>
        <v>8.9811031843713517E-13</v>
      </c>
      <c r="FH196" s="22">
        <f t="shared" si="183"/>
        <v>1.6615082531095774E-12</v>
      </c>
      <c r="FI196" s="62">
        <f t="shared" ref="FI196:FI203" si="199">FH196+(EZ196+FA196)*44/12</f>
        <v>293.33333333333496</v>
      </c>
      <c r="FJ196" s="62">
        <f ca="1">AVERAGE(OFFSET($FI$3,0,0,'Données projet'!$E$16+1,1))-AVERAGE(OFFSET($H$3,0,0,'Données projet'!$E$16+1,1))</f>
        <v>263.30962868541337</v>
      </c>
      <c r="FK196" s="62">
        <f t="shared" si="156"/>
        <v>269.61868559913404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10.711591292661508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10.711591292661508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262.06511368698341</v>
      </c>
      <c r="T197" s="62">
        <f t="shared" ref="T197:T203" si="204">$T$3</f>
        <v>217.15709240080542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23.107424403874372</v>
      </c>
      <c r="AA197" s="23">
        <f>EXP(-LN(2)/25)*AA196+(1-EXP(-LN(2)/25))/(LN(2)/25)*Calculateur!V197*Calculateur!X197*VLOOKUP('Données projet'!$B$9,Paramètres!$A$1:$I$89,3,0)*0.475*44/12</f>
        <v>1.7878048246314828</v>
      </c>
      <c r="AB197" s="23">
        <f>EXP(-LN(2)/2)*AB196+(1-EXP(-LN(2)/2))/(LN(2)/2)*V197*Y197*VLOOKUP('Données projet'!$B$9,Paramètres!$A$1:$I$89,3,0)*0.475*44/12</f>
        <v>3.4227914066560621E-12</v>
      </c>
      <c r="AC197" s="24">
        <f t="shared" si="163"/>
        <v>24.895229228509276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287.83167869616227</v>
      </c>
      <c r="AO197" s="62">
        <f t="shared" ref="AO197:AO203" si="205">$AO$3</f>
        <v>233.84231920589906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24.993124564298913</v>
      </c>
      <c r="AV197" s="23">
        <f>EXP(-LN(2)/25)*AV196+(1-EXP(-LN(2)/25))/(LN(2)/25)*Calculateur!AQ197*Calculateur!AS197*VLOOKUP('Données projet'!$B$10,Paramètres!$A$1:$I$89,3,0)*0.475*44/12</f>
        <v>2.215292806800663</v>
      </c>
      <c r="AW197" s="23">
        <f>EXP(-LN(2)/2)*AW196+(1-EXP(-LN(2)/2))/(LN(2)/2)*AQ197*AT197*VLOOKUP('Données projet'!$B$10,Paramètres!$A$1:$I$89,3,0)*0.475*44/12</f>
        <v>1.0598864607881924E-13</v>
      </c>
      <c r="AX197" s="23">
        <f t="shared" si="166"/>
        <v>27.208417371099682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-1.064108801074326E-13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262.36903350767881</v>
      </c>
      <c r="BJ197" s="62">
        <f t="shared" ref="BJ197:BJ203" si="206">$BJ$3</f>
        <v>331.21009482262417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12.095280817977571</v>
      </c>
      <c r="BQ197" s="23">
        <f>EXP(-LN(2)/25)*BQ196+(1-EXP(-LN(2)/25))/(LN(2)/25)*Calculateur!BL197*Calculateur!BN197*VLOOKUP('Données projet'!$B$11,Paramètres!$A$1:$I$89,3,0)*0.475*44/12</f>
        <v>0.98031648833589835</v>
      </c>
      <c r="BR197" s="23">
        <f>EXP(-LN(2)/2)*BR196+(1-EXP(-LN(2)/2))/(LN(2)/2)*BL197*BO197*VLOOKUP('Données projet'!$B$11,Paramètres!$A$1:$I$89,3,0)*0.475*44/12</f>
        <v>1.3498465155107638E-19</v>
      </c>
      <c r="BS197" s="24">
        <f t="shared" si="169"/>
        <v>13.075597306313469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4.8316906031686813E-13</v>
      </c>
      <c r="BZ197" s="14">
        <f>BY197*VLOOKUP('Données projet'!$B$12,Paramètres!$A$1:$I$89,3,0)*VLOOKUP('Données projet'!$B$12,Paramètres!$A$1:$I$89,5,0)</f>
        <v>4.6732111513847483E-13</v>
      </c>
      <c r="CA197" s="14">
        <f t="shared" si="170"/>
        <v>5.8671100737071438E-12</v>
      </c>
      <c r="CB197" s="22">
        <f t="shared" si="171"/>
        <v>1.1032467653906121E-11</v>
      </c>
      <c r="CC197" s="62">
        <f t="shared" si="195"/>
        <v>293.33333333334434</v>
      </c>
      <c r="CD197" s="62">
        <f ca="1">AVERAGE(OFFSET($CC$3,0,0,'Données projet'!$E$12+1,1))-AVERAGE(OFFSET($H$3,0,0,'Données projet'!$E$12+1,1))</f>
        <v>618.83149423524605</v>
      </c>
      <c r="CE197" s="62">
        <f t="shared" ref="CE197:CE203" si="207">$CE$3</f>
        <v>285.33582535802435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202.5032582260406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202.5032582260406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349.5718186624772</v>
      </c>
      <c r="CZ197" s="62">
        <f t="shared" ref="CZ197:CZ203" si="208">$CZ$3</f>
        <v>258.14152930815959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21.11398017173525</v>
      </c>
      <c r="DG197" s="23">
        <f>EXP(-LN(2)/25)*DG196+(1-EXP(-LN(2)/25))/(LN(2)/25)*Calculateur!DB197*Calculateur!DD197*VLOOKUP('Données projet'!$B$13,Paramètres!$A$1:$I$89,3,0)*0.475*44/12</f>
        <v>1.3376187013622012</v>
      </c>
      <c r="DH197" s="23">
        <f>EXP(-LN(2)/2)*DH196+(1-EXP(-LN(2)/2))/(LN(2)/2)*DB197*DE197*VLOOKUP('Données projet'!$B$13,Paramètres!$A$1:$I$89,3,0)*0.475*44/12</f>
        <v>2.2080064065106894E-16</v>
      </c>
      <c r="DI197" s="24">
        <f t="shared" si="175"/>
        <v>22.451598873097453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8.5265128291212022E-14</v>
      </c>
      <c r="DP197" s="18">
        <f>DO197*VLOOKUP('Données projet'!$B$14,Paramètres!$A$1:$I$89,3,0)*VLOOKUP('Données projet'!$B$14,Paramètres!$A$1:$I$89,5,0)</f>
        <v>7.4487616075202836E-14</v>
      </c>
      <c r="DQ197" s="14">
        <f t="shared" si="176"/>
        <v>1.1580453144473142E-12</v>
      </c>
      <c r="DR197" s="22">
        <f t="shared" si="177"/>
        <v>2.1466615206600508E-12</v>
      </c>
      <c r="DS197" s="62">
        <f t="shared" si="197"/>
        <v>293.33333333333547</v>
      </c>
      <c r="DT197" s="62">
        <f ca="1">AVERAGE(OFFSET($DS$3,0,0,'Données projet'!$E$14+1,1))-AVERAGE(OFFSET($H$3,0,0,'Données projet'!$E$14+1,1))</f>
        <v>300.63505444445104</v>
      </c>
      <c r="DU197" s="62">
        <f t="shared" ref="DU197:DU203" si="209">$DU$3</f>
        <v>266.32508105927997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14.911234247692942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14.911234247692942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353.37024194969638</v>
      </c>
      <c r="EP197" s="62">
        <f t="shared" ref="EP197:EP203" si="210">$EP$3</f>
        <v>345.4750813433123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16.239626604506874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16.239626604506874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8.5265128291212022E-14</v>
      </c>
      <c r="FF197" s="18">
        <f>FE197*VLOOKUP('Données projet'!$B$16,Paramètres!$A$1:$I$89,3,0)*VLOOKUP('Données projet'!$B$16,Paramètres!$A$1:$I$89,5,0)</f>
        <v>5.5865712056402117E-14</v>
      </c>
      <c r="FG197" s="14">
        <f t="shared" si="182"/>
        <v>8.9811031843713517E-13</v>
      </c>
      <c r="FH197" s="22">
        <f t="shared" si="183"/>
        <v>1.6615082531095774E-12</v>
      </c>
      <c r="FI197" s="62">
        <f t="shared" si="199"/>
        <v>293.33333333333496</v>
      </c>
      <c r="FJ197" s="62">
        <f ca="1">AVERAGE(OFFSET($FI$3,0,0,'Données projet'!$E$16+1,1))-AVERAGE(OFFSET($H$3,0,0,'Données projet'!$E$16+1,1))</f>
        <v>263.30962868541337</v>
      </c>
      <c r="FK197" s="62">
        <f t="shared" ref="FK197:FK203" si="211">$FK$3</f>
        <v>269.61868559913404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10.501543520837982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10.501543520837982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262.06511368698341</v>
      </c>
      <c r="T198" s="62">
        <f t="shared" si="204"/>
        <v>217.15709240080542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22.6543019054516</v>
      </c>
      <c r="AA198" s="23">
        <f>EXP(-LN(2)/25)*AA197+(1-EXP(-LN(2)/25))/(LN(2)/25)*Calculateur!V198*Calculateur!X198*VLOOKUP('Données projet'!$B$9,Paramètres!$A$1:$I$89,3,0)*0.475*44/12</f>
        <v>1.7389172076853652</v>
      </c>
      <c r="AB198" s="23">
        <f>EXP(-LN(2)/2)*AB197+(1-EXP(-LN(2)/2))/(LN(2)/2)*V198*Y198*VLOOKUP('Données projet'!$B$9,Paramètres!$A$1:$I$89,3,0)*0.475*44/12</f>
        <v>2.4202790142335433E-12</v>
      </c>
      <c r="AC198" s="24">
        <f t="shared" si="163"/>
        <v>24.393219113139384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287.83167869616227</v>
      </c>
      <c r="AO198" s="62">
        <f t="shared" si="205"/>
        <v>233.84231920589906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24.503024635893745</v>
      </c>
      <c r="AV198" s="23">
        <f>EXP(-LN(2)/25)*AV197+(1-EXP(-LN(2)/25))/(LN(2)/25)*Calculateur!AQ198*Calculateur!AS198*VLOOKUP('Données projet'!$B$10,Paramètres!$A$1:$I$89,3,0)*0.475*44/12</f>
        <v>2.1547155085015133</v>
      </c>
      <c r="AW198" s="23">
        <f>EXP(-LN(2)/2)*AW197+(1-EXP(-LN(2)/2))/(LN(2)/2)*AQ198*AT198*VLOOKUP('Données projet'!$B$10,Paramètres!$A$1:$I$89,3,0)*0.475*44/12</f>
        <v>7.494529037111406E-14</v>
      </c>
      <c r="AX198" s="23">
        <f t="shared" si="166"/>
        <v>26.657740144395333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-1.064108801074326E-13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262.36903350767881</v>
      </c>
      <c r="BJ198" s="62">
        <f t="shared" si="206"/>
        <v>331.21009482262417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11.858099738529873</v>
      </c>
      <c r="BQ198" s="23">
        <f>EXP(-LN(2)/25)*BQ197+(1-EXP(-LN(2)/25))/(LN(2)/25)*Calculateur!BL198*Calculateur!BN198*VLOOKUP('Données projet'!$B$11,Paramètres!$A$1:$I$89,3,0)*0.475*44/12</f>
        <v>0.95350968240974965</v>
      </c>
      <c r="BR198" s="23">
        <f>EXP(-LN(2)/2)*BR197+(1-EXP(-LN(2)/2))/(LN(2)/2)*BL198*BO198*VLOOKUP('Données projet'!$B$11,Paramètres!$A$1:$I$89,3,0)*0.475*44/12</f>
        <v>9.5448562467869332E-20</v>
      </c>
      <c r="BS198" s="24">
        <f t="shared" si="169"/>
        <v>12.811609420939623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4.8316906031686813E-13</v>
      </c>
      <c r="BZ198" s="14">
        <f>BY198*VLOOKUP('Données projet'!$B$12,Paramètres!$A$1:$I$89,3,0)*VLOOKUP('Données projet'!$B$12,Paramètres!$A$1:$I$89,5,0)</f>
        <v>4.6732111513847483E-13</v>
      </c>
      <c r="CA198" s="14">
        <f t="shared" si="170"/>
        <v>5.8671100737071438E-12</v>
      </c>
      <c r="CB198" s="22">
        <f t="shared" si="171"/>
        <v>1.1032467653906121E-11</v>
      </c>
      <c r="CC198" s="62">
        <f t="shared" si="195"/>
        <v>293.33333333334434</v>
      </c>
      <c r="CD198" s="62">
        <f ca="1">AVERAGE(OFFSET($CC$3,0,0,'Données projet'!$E$12+1,1))-AVERAGE(OFFSET($H$3,0,0,'Données projet'!$E$12+1,1))</f>
        <v>618.83149423524605</v>
      </c>
      <c r="CE198" s="62">
        <f t="shared" si="207"/>
        <v>285.33582535802435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198.53229284701939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198.53229284701939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349.5718186624772</v>
      </c>
      <c r="CZ198" s="62">
        <f t="shared" si="208"/>
        <v>258.14152930815959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20.699947898823805</v>
      </c>
      <c r="DG198" s="23">
        <f>EXP(-LN(2)/25)*DG197+(1-EXP(-LN(2)/25))/(LN(2)/25)*Calculateur!DB198*Calculateur!DD198*VLOOKUP('Données projet'!$B$13,Paramètres!$A$1:$I$89,3,0)*0.475*44/12</f>
        <v>1.3010414476311414</v>
      </c>
      <c r="DH198" s="23">
        <f>EXP(-LN(2)/2)*DH197+(1-EXP(-LN(2)/2))/(LN(2)/2)*DB198*DE198*VLOOKUP('Données projet'!$B$13,Paramètres!$A$1:$I$89,3,0)*0.475*44/12</f>
        <v>1.5612963029470493E-16</v>
      </c>
      <c r="DI198" s="24">
        <f t="shared" si="175"/>
        <v>22.000989346454947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8.5265128291212022E-14</v>
      </c>
      <c r="DP198" s="18">
        <f>DO198*VLOOKUP('Données projet'!$B$14,Paramètres!$A$1:$I$89,3,0)*VLOOKUP('Données projet'!$B$14,Paramètres!$A$1:$I$89,5,0)</f>
        <v>7.4487616075202836E-14</v>
      </c>
      <c r="DQ198" s="14">
        <f t="shared" si="176"/>
        <v>1.1580453144473142E-12</v>
      </c>
      <c r="DR198" s="22">
        <f t="shared" si="177"/>
        <v>2.1466615206600508E-12</v>
      </c>
      <c r="DS198" s="62">
        <f t="shared" si="197"/>
        <v>293.33333333333547</v>
      </c>
      <c r="DT198" s="62">
        <f ca="1">AVERAGE(OFFSET($DS$3,0,0,'Données projet'!$E$14+1,1))-AVERAGE(OFFSET($H$3,0,0,'Données projet'!$E$14+1,1))</f>
        <v>300.63505444445104</v>
      </c>
      <c r="DU198" s="62">
        <f t="shared" si="209"/>
        <v>266.32508105927997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14.618834039050522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14.618834039050522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353.37024194969638</v>
      </c>
      <c r="EP198" s="62">
        <f t="shared" si="210"/>
        <v>345.4750813433123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15.921177431986667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15.921177431986667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8.5265128291212022E-14</v>
      </c>
      <c r="FF198" s="18">
        <f>FE198*VLOOKUP('Données projet'!$B$16,Paramètres!$A$1:$I$89,3,0)*VLOOKUP('Données projet'!$B$16,Paramètres!$A$1:$I$89,5,0)</f>
        <v>5.5865712056402117E-14</v>
      </c>
      <c r="FG198" s="14">
        <f t="shared" si="182"/>
        <v>8.9811031843713517E-13</v>
      </c>
      <c r="FH198" s="22">
        <f t="shared" si="183"/>
        <v>1.6615082531095774E-12</v>
      </c>
      <c r="FI198" s="62">
        <f t="shared" si="199"/>
        <v>293.33333333333496</v>
      </c>
      <c r="FJ198" s="62">
        <f ca="1">AVERAGE(OFFSET($FI$3,0,0,'Données projet'!$E$16+1,1))-AVERAGE(OFFSET($H$3,0,0,'Données projet'!$E$16+1,1))</f>
        <v>263.30962868541337</v>
      </c>
      <c r="FK198" s="62">
        <f t="shared" si="211"/>
        <v>269.61868559913404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10.295614657703425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10.295614657703425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262.06511368698341</v>
      </c>
      <c r="T199" s="62">
        <f t="shared" si="204"/>
        <v>217.15709240080542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22.210064862845467</v>
      </c>
      <c r="AA199" s="23">
        <f>EXP(-LN(2)/25)*AA198+(1-EXP(-LN(2)/25))/(LN(2)/25)*Calculateur!V199*Calculateur!X199*VLOOKUP('Données projet'!$B$9,Paramètres!$A$1:$I$89,3,0)*0.475*44/12</f>
        <v>1.6913664251955272</v>
      </c>
      <c r="AB199" s="23">
        <f>EXP(-LN(2)/2)*AB198+(1-EXP(-LN(2)/2))/(LN(2)/2)*V199*Y199*VLOOKUP('Données projet'!$B$9,Paramètres!$A$1:$I$89,3,0)*0.475*44/12</f>
        <v>1.711395703328031E-12</v>
      </c>
      <c r="AC199" s="24">
        <f t="shared" si="163"/>
        <v>23.901431288042708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287.83167869616227</v>
      </c>
      <c r="AO199" s="62">
        <f t="shared" si="205"/>
        <v>233.84231920589906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24.022535268153163</v>
      </c>
      <c r="AV199" s="23">
        <f>EXP(-LN(2)/25)*AV198+(1-EXP(-LN(2)/25))/(LN(2)/25)*Calculateur!AQ199*Calculateur!AS199*VLOOKUP('Données projet'!$B$10,Paramètres!$A$1:$I$89,3,0)*0.475*44/12</f>
        <v>2.0957946996099754</v>
      </c>
      <c r="AW199" s="23">
        <f>EXP(-LN(2)/2)*AW198+(1-EXP(-LN(2)/2))/(LN(2)/2)*AQ199*AT199*VLOOKUP('Données projet'!$B$10,Paramètres!$A$1:$I$89,3,0)*0.475*44/12</f>
        <v>5.2994323039409618E-14</v>
      </c>
      <c r="AX199" s="23">
        <f t="shared" si="166"/>
        <v>26.118329967763191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-1.064108801074326E-13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262.36903350767881</v>
      </c>
      <c r="BJ199" s="62">
        <f t="shared" si="206"/>
        <v>331.21009482262417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11.62556963538397</v>
      </c>
      <c r="BQ199" s="23">
        <f>EXP(-LN(2)/25)*BQ198+(1-EXP(-LN(2)/25))/(LN(2)/25)*Calculateur!BL199*Calculateur!BN199*VLOOKUP('Données projet'!$B$11,Paramètres!$A$1:$I$89,3,0)*0.475*44/12</f>
        <v>0.92743591000136016</v>
      </c>
      <c r="BR199" s="23">
        <f>EXP(-LN(2)/2)*BR198+(1-EXP(-LN(2)/2))/(LN(2)/2)*BL199*BO199*VLOOKUP('Données projet'!$B$11,Paramètres!$A$1:$I$89,3,0)*0.475*44/12</f>
        <v>6.7492325775538191E-20</v>
      </c>
      <c r="BS199" s="24">
        <f t="shared" si="169"/>
        <v>12.55300554538533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4.8316906031686813E-13</v>
      </c>
      <c r="BZ199" s="14">
        <f>BY199*VLOOKUP('Données projet'!$B$12,Paramètres!$A$1:$I$89,3,0)*VLOOKUP('Données projet'!$B$12,Paramètres!$A$1:$I$89,5,0)</f>
        <v>4.6732111513847483E-13</v>
      </c>
      <c r="CA199" s="14">
        <f t="shared" si="170"/>
        <v>5.8671100737071438E-12</v>
      </c>
      <c r="CB199" s="22">
        <f t="shared" si="171"/>
        <v>1.1032467653906121E-11</v>
      </c>
      <c r="CC199" s="62">
        <f t="shared" si="195"/>
        <v>293.33333333334434</v>
      </c>
      <c r="CD199" s="62">
        <f ca="1">AVERAGE(OFFSET($CC$3,0,0,'Données projet'!$E$12+1,1))-AVERAGE(OFFSET($H$3,0,0,'Données projet'!$E$12+1,1))</f>
        <v>618.83149423524605</v>
      </c>
      <c r="CE199" s="62">
        <f t="shared" si="207"/>
        <v>285.33582535802435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194.63919567703107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194.63919567703107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349.5718186624772</v>
      </c>
      <c r="CZ199" s="62">
        <f t="shared" si="208"/>
        <v>258.14152930815959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20.294034546249403</v>
      </c>
      <c r="DG199" s="23">
        <f>EXP(-LN(2)/25)*DG198+(1-EXP(-LN(2)/25))/(LN(2)/25)*Calculateur!DB199*Calculateur!DD199*VLOOKUP('Données projet'!$B$13,Paramètres!$A$1:$I$89,3,0)*0.475*44/12</f>
        <v>1.2654644008268716</v>
      </c>
      <c r="DH199" s="23">
        <f>EXP(-LN(2)/2)*DH198+(1-EXP(-LN(2)/2))/(LN(2)/2)*DB199*DE199*VLOOKUP('Données projet'!$B$13,Paramètres!$A$1:$I$89,3,0)*0.475*44/12</f>
        <v>1.1040032032553448E-16</v>
      </c>
      <c r="DI199" s="24">
        <f t="shared" si="175"/>
        <v>21.559498947076275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8.5265128291212022E-14</v>
      </c>
      <c r="DP199" s="18">
        <f>DO199*VLOOKUP('Données projet'!$B$14,Paramètres!$A$1:$I$89,3,0)*VLOOKUP('Données projet'!$B$14,Paramètres!$A$1:$I$89,5,0)</f>
        <v>7.4487616075202836E-14</v>
      </c>
      <c r="DQ199" s="14">
        <f t="shared" si="176"/>
        <v>1.1580453144473142E-12</v>
      </c>
      <c r="DR199" s="22">
        <f t="shared" si="177"/>
        <v>2.1466615206600508E-12</v>
      </c>
      <c r="DS199" s="62">
        <f t="shared" si="197"/>
        <v>293.33333333333547</v>
      </c>
      <c r="DT199" s="62">
        <f ca="1">AVERAGE(OFFSET($DS$3,0,0,'Données projet'!$E$14+1,1))-AVERAGE(OFFSET($H$3,0,0,'Données projet'!$E$14+1,1))</f>
        <v>300.63505444445104</v>
      </c>
      <c r="DU199" s="62">
        <f t="shared" si="209"/>
        <v>266.32508105927997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14.332167620153063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14.332167620153063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353.37024194969638</v>
      </c>
      <c r="EP199" s="62">
        <f t="shared" si="210"/>
        <v>345.4750813433123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15.608972853504765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15.608972853504765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8.5265128291212022E-14</v>
      </c>
      <c r="FF199" s="18">
        <f>FE199*VLOOKUP('Données projet'!$B$16,Paramètres!$A$1:$I$89,3,0)*VLOOKUP('Données projet'!$B$16,Paramètres!$A$1:$I$89,5,0)</f>
        <v>5.5865712056402117E-14</v>
      </c>
      <c r="FG199" s="14">
        <f t="shared" si="182"/>
        <v>8.9811031843713517E-13</v>
      </c>
      <c r="FH199" s="22">
        <f t="shared" si="183"/>
        <v>1.6615082531095774E-12</v>
      </c>
      <c r="FI199" s="62">
        <f t="shared" si="199"/>
        <v>293.33333333333496</v>
      </c>
      <c r="FJ199" s="62">
        <f ca="1">AVERAGE(OFFSET($FI$3,0,0,'Données projet'!$E$16+1,1))-AVERAGE(OFFSET($H$3,0,0,'Données projet'!$E$16+1,1))</f>
        <v>263.30962868541337</v>
      </c>
      <c r="FK199" s="62">
        <f t="shared" si="211"/>
        <v>269.61868559913404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10.093723933970733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10.093723933970733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262.06511368698341</v>
      </c>
      <c r="T200" s="62">
        <f t="shared" si="204"/>
        <v>217.15709240080542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21.774539037686999</v>
      </c>
      <c r="AA200" s="23">
        <f>EXP(-LN(2)/25)*AA199+(1-EXP(-LN(2)/25))/(LN(2)/25)*Calculateur!V200*Calculateur!X200*VLOOKUP('Données projet'!$B$9,Paramètres!$A$1:$I$89,3,0)*0.475*44/12</f>
        <v>1.6451159213534607</v>
      </c>
      <c r="AB200" s="23">
        <f>EXP(-LN(2)/2)*AB199+(1-EXP(-LN(2)/2))/(LN(2)/2)*V200*Y200*VLOOKUP('Données projet'!$B$9,Paramètres!$A$1:$I$89,3,0)*0.475*44/12</f>
        <v>1.2101395071167716E-12</v>
      </c>
      <c r="AC200" s="24">
        <f t="shared" si="163"/>
        <v>23.419654959041672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287.83167869616227</v>
      </c>
      <c r="AO200" s="62">
        <f t="shared" si="205"/>
        <v>233.84231920589906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23.551468003844398</v>
      </c>
      <c r="AV200" s="23">
        <f>EXP(-LN(2)/25)*AV199+(1-EXP(-LN(2)/25))/(LN(2)/25)*Calculateur!AQ200*Calculateur!AS200*VLOOKUP('Données projet'!$B$10,Paramètres!$A$1:$I$89,3,0)*0.475*44/12</f>
        <v>2.0384850833360875</v>
      </c>
      <c r="AW200" s="23">
        <f>EXP(-LN(2)/2)*AW199+(1-EXP(-LN(2)/2))/(LN(2)/2)*AQ200*AT200*VLOOKUP('Données projet'!$B$10,Paramètres!$A$1:$I$89,3,0)*0.475*44/12</f>
        <v>3.747264518555703E-14</v>
      </c>
      <c r="AX200" s="23">
        <f t="shared" si="166"/>
        <v>25.589953087180525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-1.064108801074326E-13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262.36903350767881</v>
      </c>
      <c r="BJ200" s="62">
        <f t="shared" si="206"/>
        <v>331.21009482262417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11.397599305731401</v>
      </c>
      <c r="BQ200" s="23">
        <f>EXP(-LN(2)/25)*BQ199+(1-EXP(-LN(2)/25))/(LN(2)/25)*Calculateur!BL200*Calculateur!BN200*VLOOKUP('Données projet'!$B$11,Paramètres!$A$1:$I$89,3,0)*0.475*44/12</f>
        <v>0.90207512627063813</v>
      </c>
      <c r="BR200" s="23">
        <f>EXP(-LN(2)/2)*BR199+(1-EXP(-LN(2)/2))/(LN(2)/2)*BL200*BO200*VLOOKUP('Données projet'!$B$11,Paramètres!$A$1:$I$89,3,0)*0.475*44/12</f>
        <v>4.7724281233934666E-20</v>
      </c>
      <c r="BS200" s="24">
        <f t="shared" si="169"/>
        <v>12.299674432002039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4.8316906031686813E-13</v>
      </c>
      <c r="BZ200" s="14">
        <f>BY200*VLOOKUP('Données projet'!$B$12,Paramètres!$A$1:$I$89,3,0)*VLOOKUP('Données projet'!$B$12,Paramètres!$A$1:$I$89,5,0)</f>
        <v>4.6732111513847483E-13</v>
      </c>
      <c r="CA200" s="14">
        <f t="shared" si="170"/>
        <v>5.8671100737071438E-12</v>
      </c>
      <c r="CB200" s="22">
        <f t="shared" si="171"/>
        <v>1.1032467653906121E-11</v>
      </c>
      <c r="CC200" s="62">
        <f t="shared" si="195"/>
        <v>293.33333333334434</v>
      </c>
      <c r="CD200" s="62">
        <f ca="1">AVERAGE(OFFSET($CC$3,0,0,'Données projet'!$E$12+1,1))-AVERAGE(OFFSET($H$3,0,0,'Données projet'!$E$12+1,1))</f>
        <v>618.83149423524605</v>
      </c>
      <c r="CE200" s="62">
        <f t="shared" si="207"/>
        <v>285.33582535802435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190.8224397679914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190.8224397679914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349.5718186624772</v>
      </c>
      <c r="CZ200" s="62">
        <f t="shared" si="208"/>
        <v>258.14152930815959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19.896080906936287</v>
      </c>
      <c r="DG200" s="23">
        <f>EXP(-LN(2)/25)*DG199+(1-EXP(-LN(2)/25))/(LN(2)/25)*Calculateur!DB200*Calculateur!DD200*VLOOKUP('Données projet'!$B$13,Paramètres!$A$1:$I$89,3,0)*0.475*44/12</f>
        <v>1.2308602102383803</v>
      </c>
      <c r="DH200" s="23">
        <f>EXP(-LN(2)/2)*DH199+(1-EXP(-LN(2)/2))/(LN(2)/2)*DB200*DE200*VLOOKUP('Données projet'!$B$13,Paramètres!$A$1:$I$89,3,0)*0.475*44/12</f>
        <v>7.8064815147352476E-17</v>
      </c>
      <c r="DI200" s="24">
        <f t="shared" si="175"/>
        <v>21.126941117174667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8.5265128291212022E-14</v>
      </c>
      <c r="DP200" s="18">
        <f>DO200*VLOOKUP('Données projet'!$B$14,Paramètres!$A$1:$I$89,3,0)*VLOOKUP('Données projet'!$B$14,Paramètres!$A$1:$I$89,5,0)</f>
        <v>7.4487616075202836E-14</v>
      </c>
      <c r="DQ200" s="14">
        <f t="shared" si="176"/>
        <v>1.1580453144473142E-12</v>
      </c>
      <c r="DR200" s="22">
        <f t="shared" si="177"/>
        <v>2.1466615206600508E-12</v>
      </c>
      <c r="DS200" s="62">
        <f t="shared" si="197"/>
        <v>293.33333333333547</v>
      </c>
      <c r="DT200" s="62">
        <f ca="1">AVERAGE(OFFSET($DS$3,0,0,'Données projet'!$E$14+1,1))-AVERAGE(OFFSET($H$3,0,0,'Données projet'!$E$14+1,1))</f>
        <v>300.63505444445104</v>
      </c>
      <c r="DU200" s="62">
        <f t="shared" si="209"/>
        <v>266.32508105927997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14.051122554880934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14.051122554880934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353.37024194969638</v>
      </c>
      <c r="EP200" s="62">
        <f t="shared" si="210"/>
        <v>345.4750813433123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15.302890416380903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15.302890416380903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8.5265128291212022E-14</v>
      </c>
      <c r="FF200" s="18">
        <f>FE200*VLOOKUP('Données projet'!$B$16,Paramètres!$A$1:$I$89,3,0)*VLOOKUP('Données projet'!$B$16,Paramètres!$A$1:$I$89,5,0)</f>
        <v>5.5865712056402117E-14</v>
      </c>
      <c r="FG200" s="14">
        <f t="shared" si="182"/>
        <v>8.9811031843713517E-13</v>
      </c>
      <c r="FH200" s="22">
        <f t="shared" si="183"/>
        <v>1.6615082531095774E-12</v>
      </c>
      <c r="FI200" s="62">
        <f t="shared" si="199"/>
        <v>293.33333333333496</v>
      </c>
      <c r="FJ200" s="62">
        <f ca="1">AVERAGE(OFFSET($FI$3,0,0,'Données projet'!$E$16+1,1))-AVERAGE(OFFSET($H$3,0,0,'Données projet'!$E$16+1,1))</f>
        <v>263.30962868541337</v>
      </c>
      <c r="FK200" s="62">
        <f t="shared" si="211"/>
        <v>269.61868559913404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9.8957921641892561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9.8957921641892561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262.06511368698341</v>
      </c>
      <c r="T201" s="62">
        <f t="shared" si="204"/>
        <v>217.15709240080542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21.347553608315366</v>
      </c>
      <c r="AA201" s="23">
        <f>EXP(-LN(2)/25)*AA200+(1-EXP(-LN(2)/25))/(LN(2)/25)*Calculateur!V201*Calculateur!X201*VLOOKUP('Données projet'!$B$9,Paramètres!$A$1:$I$89,3,0)*0.475*44/12</f>
        <v>1.600130139971164</v>
      </c>
      <c r="AB201" s="23">
        <f>EXP(-LN(2)/2)*AB200+(1-EXP(-LN(2)/2))/(LN(2)/2)*V201*Y201*VLOOKUP('Données projet'!$B$9,Paramètres!$A$1:$I$89,3,0)*0.475*44/12</f>
        <v>8.5569785166401552E-13</v>
      </c>
      <c r="AC201" s="24">
        <f t="shared" si="163"/>
        <v>22.947683748287385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287.83167869616227</v>
      </c>
      <c r="AO201" s="62">
        <f t="shared" si="205"/>
        <v>233.84231920589906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23.08963808126607</v>
      </c>
      <c r="AV201" s="23">
        <f>EXP(-LN(2)/25)*AV200+(1-EXP(-LN(2)/25))/(LN(2)/25)*Calculateur!AQ201*Calculateur!AS201*VLOOKUP('Données projet'!$B$10,Paramètres!$A$1:$I$89,3,0)*0.475*44/12</f>
        <v>1.9827426015329905</v>
      </c>
      <c r="AW201" s="23">
        <f>EXP(-LN(2)/2)*AW200+(1-EXP(-LN(2)/2))/(LN(2)/2)*AQ201*AT201*VLOOKUP('Données projet'!$B$10,Paramètres!$A$1:$I$89,3,0)*0.475*44/12</f>
        <v>2.6497161519704809E-14</v>
      </c>
      <c r="AX201" s="23">
        <f t="shared" si="166"/>
        <v>25.072380682799086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-1.064108801074326E-13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262.36903350767881</v>
      </c>
      <c r="BJ201" s="62">
        <f t="shared" si="206"/>
        <v>331.21009482262417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11.174099335195146</v>
      </c>
      <c r="BQ201" s="23">
        <f>EXP(-LN(2)/25)*BQ200+(1-EXP(-LN(2)/25))/(LN(2)/25)*Calculateur!BL201*Calculateur!BN201*VLOOKUP('Données projet'!$B$11,Paramètres!$A$1:$I$89,3,0)*0.475*44/12</f>
        <v>0.87740783450469839</v>
      </c>
      <c r="BR201" s="23">
        <f>EXP(-LN(2)/2)*BR200+(1-EXP(-LN(2)/2))/(LN(2)/2)*BL201*BO201*VLOOKUP('Données projet'!$B$11,Paramètres!$A$1:$I$89,3,0)*0.475*44/12</f>
        <v>3.3746162887769096E-20</v>
      </c>
      <c r="BS201" s="24">
        <f t="shared" si="169"/>
        <v>12.051507169699844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4.8316906031686813E-13</v>
      </c>
      <c r="BZ201" s="14">
        <f>BY201*VLOOKUP('Données projet'!$B$12,Paramètres!$A$1:$I$89,3,0)*VLOOKUP('Données projet'!$B$12,Paramètres!$A$1:$I$89,5,0)</f>
        <v>4.6732111513847483E-13</v>
      </c>
      <c r="CA201" s="14">
        <f t="shared" si="170"/>
        <v>5.8671100737071438E-12</v>
      </c>
      <c r="CB201" s="22">
        <f t="shared" si="171"/>
        <v>1.1032467653906121E-11</v>
      </c>
      <c r="CC201" s="62">
        <f t="shared" si="195"/>
        <v>293.33333333334434</v>
      </c>
      <c r="CD201" s="62">
        <f ca="1">AVERAGE(OFFSET($CC$3,0,0,'Données projet'!$E$12+1,1))-AVERAGE(OFFSET($H$3,0,0,'Données projet'!$E$12+1,1))</f>
        <v>618.83149423524605</v>
      </c>
      <c r="CE201" s="62">
        <f t="shared" si="207"/>
        <v>285.33582535802435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187.08052811433677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187.08052811433677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349.5718186624772</v>
      </c>
      <c r="CZ201" s="62">
        <f t="shared" si="208"/>
        <v>258.14152930815959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19.505930895762347</v>
      </c>
      <c r="DG201" s="23">
        <f>EXP(-LN(2)/25)*DG200+(1-EXP(-LN(2)/25))/(LN(2)/25)*Calculateur!DB201*Calculateur!DD201*VLOOKUP('Données projet'!$B$13,Paramètres!$A$1:$I$89,3,0)*0.475*44/12</f>
        <v>1.1972022730612866</v>
      </c>
      <c r="DH201" s="23">
        <f>EXP(-LN(2)/2)*DH200+(1-EXP(-LN(2)/2))/(LN(2)/2)*DB201*DE201*VLOOKUP('Données projet'!$B$13,Paramètres!$A$1:$I$89,3,0)*0.475*44/12</f>
        <v>5.5200160162767252E-17</v>
      </c>
      <c r="DI201" s="24">
        <f t="shared" si="175"/>
        <v>20.703133168823634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8.5265128291212022E-14</v>
      </c>
      <c r="DP201" s="18">
        <f>DO201*VLOOKUP('Données projet'!$B$14,Paramètres!$A$1:$I$89,3,0)*VLOOKUP('Données projet'!$B$14,Paramètres!$A$1:$I$89,5,0)</f>
        <v>7.4487616075202836E-14</v>
      </c>
      <c r="DQ201" s="14">
        <f t="shared" si="176"/>
        <v>1.1580453144473142E-12</v>
      </c>
      <c r="DR201" s="22">
        <f t="shared" si="177"/>
        <v>2.1466615206600508E-12</v>
      </c>
      <c r="DS201" s="62">
        <f t="shared" si="197"/>
        <v>293.33333333333547</v>
      </c>
      <c r="DT201" s="62">
        <f ca="1">AVERAGE(OFFSET($DS$3,0,0,'Données projet'!$E$14+1,1))-AVERAGE(OFFSET($H$3,0,0,'Données projet'!$E$14+1,1))</f>
        <v>300.63505444445104</v>
      </c>
      <c r="DU201" s="62">
        <f t="shared" si="209"/>
        <v>266.32508105927997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13.775588611918227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13.775588611918227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353.37024194969638</v>
      </c>
      <c r="EP201" s="62">
        <f t="shared" si="210"/>
        <v>345.4750813433123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15.002810069157187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15.002810069157187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8.5265128291212022E-14</v>
      </c>
      <c r="FF201" s="18">
        <f>FE201*VLOOKUP('Données projet'!$B$16,Paramètres!$A$1:$I$89,3,0)*VLOOKUP('Données projet'!$B$16,Paramètres!$A$1:$I$89,5,0)</f>
        <v>5.5865712056402117E-14</v>
      </c>
      <c r="FG201" s="14">
        <f t="shared" si="182"/>
        <v>8.9811031843713517E-13</v>
      </c>
      <c r="FH201" s="22">
        <f t="shared" si="183"/>
        <v>1.6615082531095774E-12</v>
      </c>
      <c r="FI201" s="62">
        <f t="shared" si="199"/>
        <v>293.33333333333496</v>
      </c>
      <c r="FJ201" s="62">
        <f ca="1">AVERAGE(OFFSET($FI$3,0,0,'Données projet'!$E$16+1,1))-AVERAGE(OFFSET($H$3,0,0,'Données projet'!$E$16+1,1))</f>
        <v>263.30962868541337</v>
      </c>
      <c r="FK201" s="62">
        <f t="shared" si="211"/>
        <v>269.61868559913404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9.7017417156867349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9.7017417156867349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262.06511368698341</v>
      </c>
      <c r="T202" s="62">
        <f t="shared" si="204"/>
        <v>217.15709240080542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20.928941102778314</v>
      </c>
      <c r="AA202" s="23">
        <f>EXP(-LN(2)/25)*AA201+(1-EXP(-LN(2)/25))/(LN(2)/25)*Calculateur!V202*Calculateur!X202*VLOOKUP('Données projet'!$B$9,Paramètres!$A$1:$I$89,3,0)*0.475*44/12</f>
        <v>1.5563744971464657</v>
      </c>
      <c r="AB202" s="23">
        <f>EXP(-LN(2)/2)*AB201+(1-EXP(-LN(2)/2))/(LN(2)/2)*V202*Y202*VLOOKUP('Données projet'!$B$9,Paramètres!$A$1:$I$89,3,0)*0.475*44/12</f>
        <v>6.0506975355838582E-13</v>
      </c>
      <c r="AC202" s="24">
        <f t="shared" si="163"/>
        <v>22.485315599925382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287.83167869616227</v>
      </c>
      <c r="AO202" s="62">
        <f t="shared" si="205"/>
        <v>233.84231920589906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22.636864361781061</v>
      </c>
      <c r="AV202" s="23">
        <f>EXP(-LN(2)/25)*AV201+(1-EXP(-LN(2)/25))/(LN(2)/25)*Calculateur!AQ202*Calculateur!AS202*VLOOKUP('Données projet'!$B$10,Paramètres!$A$1:$I$89,3,0)*0.475*44/12</f>
        <v>1.928524400826169</v>
      </c>
      <c r="AW202" s="23">
        <f>EXP(-LN(2)/2)*AW201+(1-EXP(-LN(2)/2))/(LN(2)/2)*AQ202*AT202*VLOOKUP('Données projet'!$B$10,Paramètres!$A$1:$I$89,3,0)*0.475*44/12</f>
        <v>1.8736322592778515E-14</v>
      </c>
      <c r="AX202" s="23">
        <f t="shared" si="166"/>
        <v>24.565388762607249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-1.064108801074326E-13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262.36903350767881</v>
      </c>
      <c r="BJ202" s="62">
        <f t="shared" si="206"/>
        <v>331.21009482262417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10.954982062759587</v>
      </c>
      <c r="BQ202" s="23">
        <f>EXP(-LN(2)/25)*BQ201+(1-EXP(-LN(2)/25))/(LN(2)/25)*Calculateur!BL202*Calculateur!BN202*VLOOKUP('Données projet'!$B$11,Paramètres!$A$1:$I$89,3,0)*0.475*44/12</f>
        <v>0.85341507112929471</v>
      </c>
      <c r="BR202" s="23">
        <f>EXP(-LN(2)/2)*BR201+(1-EXP(-LN(2)/2))/(LN(2)/2)*BL202*BO202*VLOOKUP('Données projet'!$B$11,Paramètres!$A$1:$I$89,3,0)*0.475*44/12</f>
        <v>2.3862140616967333E-20</v>
      </c>
      <c r="BS202" s="24">
        <f t="shared" si="169"/>
        <v>11.808397133888882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4.8316906031686813E-13</v>
      </c>
      <c r="BZ202" s="14">
        <f>BY202*VLOOKUP('Données projet'!$B$12,Paramètres!$A$1:$I$89,3,0)*VLOOKUP('Données projet'!$B$12,Paramètres!$A$1:$I$89,5,0)</f>
        <v>4.6732111513847483E-13</v>
      </c>
      <c r="CA202" s="14">
        <f t="shared" si="170"/>
        <v>5.8671100737071438E-12</v>
      </c>
      <c r="CB202" s="22">
        <f t="shared" si="171"/>
        <v>1.1032467653906121E-11</v>
      </c>
      <c r="CC202" s="62">
        <f t="shared" si="195"/>
        <v>293.33333333334434</v>
      </c>
      <c r="CD202" s="62">
        <f ca="1">AVERAGE(OFFSET($CC$3,0,0,'Données projet'!$E$12+1,1))-AVERAGE(OFFSET($H$3,0,0,'Données projet'!$E$12+1,1))</f>
        <v>618.83149423524605</v>
      </c>
      <c r="CE202" s="62">
        <f t="shared" si="207"/>
        <v>285.33582535802435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183.41199306586955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183.41199306586955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349.5718186624772</v>
      </c>
      <c r="CZ202" s="62">
        <f t="shared" si="208"/>
        <v>258.14152930815959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19.12343148833952</v>
      </c>
      <c r="DG202" s="23">
        <f>EXP(-LN(2)/25)*DG201+(1-EXP(-LN(2)/25))/(LN(2)/25)*Calculateur!DB202*Calculateur!DD202*VLOOKUP('Données projet'!$B$13,Paramètres!$A$1:$I$89,3,0)*0.475*44/12</f>
        <v>1.1644647139462945</v>
      </c>
      <c r="DH202" s="23">
        <f>EXP(-LN(2)/2)*DH201+(1-EXP(-LN(2)/2))/(LN(2)/2)*DB202*DE202*VLOOKUP('Données projet'!$B$13,Paramètres!$A$1:$I$89,3,0)*0.475*44/12</f>
        <v>3.9032407573676244E-17</v>
      </c>
      <c r="DI202" s="24">
        <f t="shared" si="175"/>
        <v>20.287896202285815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8.5265128291212022E-14</v>
      </c>
      <c r="DP202" s="18">
        <f>DO202*VLOOKUP('Données projet'!$B$14,Paramètres!$A$1:$I$89,3,0)*VLOOKUP('Données projet'!$B$14,Paramètres!$A$1:$I$89,5,0)</f>
        <v>7.4487616075202836E-14</v>
      </c>
      <c r="DQ202" s="14">
        <f t="shared" si="176"/>
        <v>1.1580453144473142E-12</v>
      </c>
      <c r="DR202" s="22">
        <f t="shared" si="177"/>
        <v>2.1466615206600508E-12</v>
      </c>
      <c r="DS202" s="62">
        <f t="shared" si="197"/>
        <v>293.33333333333547</v>
      </c>
      <c r="DT202" s="62">
        <f ca="1">AVERAGE(OFFSET($DS$3,0,0,'Données projet'!$E$14+1,1))-AVERAGE(OFFSET($H$3,0,0,'Données projet'!$E$14+1,1))</f>
        <v>300.63505444445104</v>
      </c>
      <c r="DU202" s="62">
        <f t="shared" si="209"/>
        <v>266.32508105927997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13.505457721517908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13.505457721517908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353.37024194969638</v>
      </c>
      <c r="EP202" s="62">
        <f t="shared" si="210"/>
        <v>345.4750813433123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14.708614114511589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14.708614114511589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8.5265128291212022E-14</v>
      </c>
      <c r="FF202" s="18">
        <f>FE202*VLOOKUP('Données projet'!$B$16,Paramètres!$A$1:$I$89,3,0)*VLOOKUP('Données projet'!$B$16,Paramètres!$A$1:$I$89,5,0)</f>
        <v>5.5865712056402117E-14</v>
      </c>
      <c r="FG202" s="14">
        <f t="shared" si="182"/>
        <v>8.9811031843713517E-13</v>
      </c>
      <c r="FH202" s="22">
        <f t="shared" si="183"/>
        <v>1.6615082531095774E-12</v>
      </c>
      <c r="FI202" s="62">
        <f t="shared" si="199"/>
        <v>293.33333333333496</v>
      </c>
      <c r="FJ202" s="62">
        <f ca="1">AVERAGE(OFFSET($FI$3,0,0,'Données projet'!$E$16+1,1))-AVERAGE(OFFSET($H$3,0,0,'Données projet'!$E$16+1,1))</f>
        <v>263.30962868541337</v>
      </c>
      <c r="FK202" s="62">
        <f t="shared" si="211"/>
        <v>269.61868559913404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9.5114964781202627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9.5114964781202627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262.06511368698341</v>
      </c>
      <c r="T203" s="62">
        <f t="shared" si="204"/>
        <v>217.15709240080542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20.518537333146426</v>
      </c>
      <c r="AA203" s="23">
        <f>EXP(-LN(2)/25)*AA202+(1-EXP(-LN(2)/25))/(LN(2)/25)*Calculateur!V203*Calculateur!X203*VLOOKUP('Données projet'!$B$9,Paramètres!$A$1:$I$89,3,0)*0.475*44/12</f>
        <v>1.513815354675818</v>
      </c>
      <c r="AB203" s="23">
        <f>EXP(-LN(2)/2)*AB202+(1-EXP(-LN(2)/2))/(LN(2)/2)*V203*Y203*VLOOKUP('Données projet'!$B$9,Paramètres!$A$1:$I$89,3,0)*0.475*44/12</f>
        <v>4.2784892583200776E-13</v>
      </c>
      <c r="AC203" s="24">
        <f t="shared" si="163"/>
        <v>22.032352687822669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287.83167869616227</v>
      </c>
      <c r="AO203" s="62">
        <f t="shared" si="205"/>
        <v>233.84231920589906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22.192969258770454</v>
      </c>
      <c r="AV203" s="23">
        <f>EXP(-LN(2)/25)*AV202+(1-EXP(-LN(2)/25))/(LN(2)/25)*Calculateur!AQ203*Calculateur!AS203*VLOOKUP('Données projet'!$B$10,Paramètres!$A$1:$I$89,3,0)*0.475*44/12</f>
        <v>1.8757887996688869</v>
      </c>
      <c r="AW203" s="23">
        <f>EXP(-LN(2)/2)*AW202+(1-EXP(-LN(2)/2))/(LN(2)/2)*AQ203*AT203*VLOOKUP('Données projet'!$B$10,Paramètres!$A$1:$I$89,3,0)*0.475*44/12</f>
        <v>1.3248580759852404E-14</v>
      </c>
      <c r="AX203" s="23">
        <f t="shared" si="166"/>
        <v>24.068758058439354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-1.064108801074326E-13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262.36903350767881</v>
      </c>
      <c r="BJ203" s="62">
        <f t="shared" si="206"/>
        <v>331.21009482262417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10.740161546388149</v>
      </c>
      <c r="BQ203" s="23">
        <f>EXP(-LN(2)/25)*BQ202+(1-EXP(-LN(2)/25))/(LN(2)/25)*Calculateur!BL203*Calculateur!BN203*VLOOKUP('Données projet'!$B$11,Paramètres!$A$1:$I$89,3,0)*0.475*44/12</f>
        <v>0.83007839113011606</v>
      </c>
      <c r="BR203" s="23">
        <f>EXP(-LN(2)/2)*BR202+(1-EXP(-LN(2)/2))/(LN(2)/2)*BL203*BO203*VLOOKUP('Données projet'!$B$11,Paramètres!$A$1:$I$89,3,0)*0.475*44/12</f>
        <v>1.6873081443884548E-20</v>
      </c>
      <c r="BS203" s="24">
        <f t="shared" si="169"/>
        <v>11.570239937518265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4.8316906031686813E-13</v>
      </c>
      <c r="BZ203" s="14">
        <f>BY203*VLOOKUP('Données projet'!$B$12,Paramètres!$A$1:$I$89,3,0)*VLOOKUP('Données projet'!$B$12,Paramètres!$A$1:$I$89,5,0)</f>
        <v>4.6732111513847483E-13</v>
      </c>
      <c r="CA203" s="14">
        <f t="shared" si="170"/>
        <v>5.8671100737071438E-12</v>
      </c>
      <c r="CB203" s="22">
        <f t="shared" si="171"/>
        <v>1.1032467653906121E-11</v>
      </c>
      <c r="CC203" s="62">
        <f t="shared" si="195"/>
        <v>293.33333333334434</v>
      </c>
      <c r="CD203" s="62">
        <f ca="1">AVERAGE(OFFSET($CC$3,0,0,'Données projet'!$E$12+1,1))-AVERAGE(OFFSET($H$3,0,0,'Données projet'!$E$12+1,1))</f>
        <v>618.83149423524605</v>
      </c>
      <c r="CE203" s="62">
        <f t="shared" si="207"/>
        <v>285.33582535802435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179.81539575211735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179.81539575211735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349.5718186624772</v>
      </c>
      <c r="CZ203" s="62">
        <f t="shared" si="208"/>
        <v>258.14152930815959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18.748432660994652</v>
      </c>
      <c r="DG203" s="23">
        <f>EXP(-LN(2)/25)*DG202+(1-EXP(-LN(2)/25))/(LN(2)/25)*Calculateur!DB203*Calculateur!DD203*VLOOKUP('Données projet'!$B$13,Paramètres!$A$1:$I$89,3,0)*0.475*44/12</f>
        <v>1.1326223651068952</v>
      </c>
      <c r="DH203" s="23">
        <f>EXP(-LN(2)/2)*DH202+(1-EXP(-LN(2)/2))/(LN(2)/2)*DB203*DE203*VLOOKUP('Données projet'!$B$13,Paramètres!$A$1:$I$89,3,0)*0.475*44/12</f>
        <v>2.7600080081383629E-17</v>
      </c>
      <c r="DI203" s="24">
        <f t="shared" si="175"/>
        <v>19.881055026101546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8.5265128291212022E-14</v>
      </c>
      <c r="DP203" s="18">
        <f>DO203*VLOOKUP('Données projet'!$B$14,Paramètres!$A$1:$I$89,3,0)*VLOOKUP('Données projet'!$B$14,Paramètres!$A$1:$I$89,5,0)</f>
        <v>7.4487616075202836E-14</v>
      </c>
      <c r="DQ203" s="14">
        <f t="shared" si="176"/>
        <v>1.1580453144473142E-12</v>
      </c>
      <c r="DR203" s="22">
        <f t="shared" si="177"/>
        <v>2.1466615206600508E-12</v>
      </c>
      <c r="DS203" s="62">
        <f t="shared" si="197"/>
        <v>293.33333333333547</v>
      </c>
      <c r="DT203" s="62">
        <f ca="1">AVERAGE(OFFSET($DS$3,0,0,'Données projet'!$E$14+1,1))-AVERAGE(OFFSET($H$3,0,0,'Données projet'!$E$14+1,1))</f>
        <v>300.63505444445104</v>
      </c>
      <c r="DU203" s="62">
        <f t="shared" si="209"/>
        <v>266.32508105927997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13.240623933114765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13.240623933114765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353.37024194969638</v>
      </c>
      <c r="EP203" s="62">
        <f t="shared" si="210"/>
        <v>345.4750813433123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14.420187163094777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14.420187163094777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8.5265128291212022E-14</v>
      </c>
      <c r="FF203" s="18">
        <f>FE203*VLOOKUP('Données projet'!$B$16,Paramètres!$A$1:$I$89,3,0)*VLOOKUP('Données projet'!$B$16,Paramètres!$A$1:$I$89,5,0)</f>
        <v>5.5865712056402117E-14</v>
      </c>
      <c r="FG203" s="14">
        <f t="shared" si="182"/>
        <v>8.9811031843713517E-13</v>
      </c>
      <c r="FH203" s="22">
        <f t="shared" si="183"/>
        <v>1.6615082531095774E-12</v>
      </c>
      <c r="FI203" s="62">
        <f t="shared" si="199"/>
        <v>293.33333333333496</v>
      </c>
      <c r="FJ203" s="62">
        <f ca="1">AVERAGE(OFFSET($FI$3,0,0,'Données projet'!$E$16+1,1))-AVERAGE(OFFSET($H$3,0,0,'Données projet'!$E$16+1,1))</f>
        <v>263.30962868541337</v>
      </c>
      <c r="FK203" s="62">
        <f t="shared" si="211"/>
        <v>269.61868559913404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9.3249818336243315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9.3249818336243315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1.1254079121910827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1.1199509302709205</v>
      </c>
      <c r="BA205" s="88">
        <f>EXP(LN('Données projet'!B88)/'Données projet'!A88)</f>
        <v>1.4392478552290457</v>
      </c>
      <c r="BV205" s="88">
        <f>EXP(LN('Données projet'!B114)/'Données projet'!A114)</f>
        <v>1.1289835501862808</v>
      </c>
      <c r="CQ205" s="88">
        <f>EXP(LN('Données projet'!B140)/'Données projet'!A140)</f>
        <v>1.2472301622014093</v>
      </c>
      <c r="DL205" s="88">
        <f>EXP(LN('Données projet'!B166)/'Données projet'!A166)</f>
        <v>1.335141362540313</v>
      </c>
      <c r="EG205" s="88">
        <f>EXP(LN('Données projet'!B192)/'Données projet'!A192)</f>
        <v>1.2709816152101407</v>
      </c>
      <c r="FB205" s="88">
        <f>EXP(LN('Données projet'!B218)/'Données projet'!A218)</f>
        <v>1.2709816152101407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24" sqref="I2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noir d'Autriche</v>
      </c>
      <c r="B6" s="155">
        <f>'Données projet'!D9</f>
        <v>0.8000027999999999</v>
      </c>
      <c r="C6" s="156">
        <f ca="1">IF(OR('Données projet'!B9="",'Données projet'!C9="",'Données projet'!C9=0%),0,Calculateur!S3)</f>
        <v>262.06511368698341</v>
      </c>
      <c r="D6" s="156">
        <f>IF(OR('Données projet'!B9="",'Données projet'!C9="",'Données projet'!C9=0%),0,Calculateur!T3)</f>
        <v>217.15709240080542</v>
      </c>
      <c r="E6" s="156">
        <f ca="1">MIN(C6,D6)</f>
        <v>217.15709240080542</v>
      </c>
      <c r="F6" s="156">
        <f ca="1">E6*B6</f>
        <v>173.72628196050303</v>
      </c>
      <c r="G6" s="156">
        <f ca="1">F6*(100%-'Données projet'!$C$24)*(100%-'Données projet'!$C$25)*(100%-'Données projet'!$C$26)*(100%-'Données projet'!$C$27)</f>
        <v>156.35365376445273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156.35365376445273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Cèdre de l'Atlas</v>
      </c>
      <c r="B7" s="163">
        <f>'Données projet'!D10</f>
        <v>0.73845989999999995</v>
      </c>
      <c r="C7" s="156">
        <f ca="1">IF(OR('Données projet'!B10="",'Données projet'!C10="",'Données projet'!C10=0%),0,Calculateur!AN3)</f>
        <v>287.83167869616227</v>
      </c>
      <c r="D7" s="156">
        <f>IF(OR('Données projet'!B10="",'Données projet'!C10="",'Données projet'!C10=0%),0,Calculateur!AO3)</f>
        <v>233.84231920589906</v>
      </c>
      <c r="E7" s="156">
        <f t="shared" ref="E7:E15" ca="1" si="0">MIN(C7,D7)</f>
        <v>233.84231920589906</v>
      </c>
      <c r="F7" s="156">
        <f t="shared" ref="F7:F15" ca="1" si="1">E7*B7</f>
        <v>172.68317565655627</v>
      </c>
      <c r="G7" s="156">
        <f ca="1">F7*(100%-'Données projet'!$C$24)*(100%-'Données projet'!$C$25)*(100%-'Données projet'!$C$26)*(100%-'Données projet'!$C$27)</f>
        <v>155.41485809090065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155.41485809090065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Mélèze d'Europe</v>
      </c>
      <c r="B8" s="163">
        <f>'Données projet'!D11</f>
        <v>1.938458</v>
      </c>
      <c r="C8" s="156">
        <f ca="1">IF(OR('Données projet'!B11="",'Données projet'!C11="",'Données projet'!C11=0%),0,Calculateur!BI3)</f>
        <v>262.36903350767881</v>
      </c>
      <c r="D8" s="156">
        <f>IF(OR('Données projet'!B11="",'Données projet'!C11="",'Données projet'!C11=0%),0,Calculateur!BJ3)</f>
        <v>331.21009482262417</v>
      </c>
      <c r="E8" s="156">
        <f t="shared" ca="1" si="0"/>
        <v>262.36903350767881</v>
      </c>
      <c r="F8" s="156">
        <f t="shared" ca="1" si="1"/>
        <v>508.59135195522805</v>
      </c>
      <c r="G8" s="156">
        <f ca="1">F8*(100%-'Données projet'!$C$24)*(100%-'Données projet'!$C$25)*(100%-'Données projet'!$C$26)*(100%-'Données projet'!$C$27)</f>
        <v>457.73221675970524</v>
      </c>
      <c r="H8" s="164">
        <f>IF(OR('Données projet'!B11="",'Données projet'!C11="",'Données projet'!C11=0%),0,AVERAGE(Calculateur!$BS$3:$BS$33)*B8)</f>
        <v>34.492501150953281</v>
      </c>
      <c r="I8" s="158">
        <f>H8*(100%-'Données projet'!$C$24)*(100%-'Données projet'!$C$25)*(100%-'Données projet'!$C$26)*(100%-'Données projet'!$C$27)</f>
        <v>31.043251035857953</v>
      </c>
      <c r="J8" s="159">
        <f>IF(OR('Données projet'!B11="",'Données projet'!C11="",'Données projet'!C11=0%),0,SUM(Calculateur!$BL$3:$BL$33)*VLOOKUP('Données projet'!$B$11,Paramètres!$A$1:$I$89,9,0)*B8)</f>
        <v>153.37079696000001</v>
      </c>
      <c r="K8" s="160">
        <f>J8*(100%-'Données projet'!$C$24)*(100%-'Données projet'!$C$25)*(100%-'Données projet'!$C$26)*(100%-'Données projet'!$C$27)</f>
        <v>138.03371726400002</v>
      </c>
      <c r="L8" s="161">
        <f t="shared" ca="1" si="2"/>
        <v>626.80918505956322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Alisier torminal</v>
      </c>
      <c r="B9" s="163">
        <f>'Données projet'!D12</f>
        <v>0.26922960000000001</v>
      </c>
      <c r="C9" s="156">
        <f ca="1">IF(OR('Données projet'!B12="",'Données projet'!C12="",'Données projet'!C12=0%),0,Calculateur!CD3)</f>
        <v>618.83149423524605</v>
      </c>
      <c r="D9" s="156">
        <f>IF(OR('Données projet'!B12="",'Données projet'!C12="",'Données projet'!C12=0%),0,Calculateur!CE3)</f>
        <v>285.33582535802435</v>
      </c>
      <c r="E9" s="156">
        <f t="shared" ca="1" si="0"/>
        <v>285.33582535802435</v>
      </c>
      <c r="F9" s="156">
        <f t="shared" ca="1" si="1"/>
        <v>76.820850126810754</v>
      </c>
      <c r="G9" s="156">
        <f ca="1">F9*(100%-'Données projet'!$C$24)*(100%-'Données projet'!$C$25)*(100%-'Données projet'!$C$26)*(100%-'Données projet'!$C$27)</f>
        <v>69.138765114129683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69.138765114129683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Pin laricio</v>
      </c>
      <c r="B10" s="163">
        <f>'Données projet'!D13</f>
        <v>1.1846139</v>
      </c>
      <c r="C10" s="156">
        <f ca="1">IF(OR('Données projet'!B13="",'Données projet'!C13="",'Données projet'!C13=0%),0,Calculateur!CY3)</f>
        <v>349.5718186624772</v>
      </c>
      <c r="D10" s="156">
        <f>IF(OR('Données projet'!B13="",'Données projet'!C13="",'Données projet'!C13=0%),0,Calculateur!CZ3)</f>
        <v>258.14152930815959</v>
      </c>
      <c r="E10" s="156">
        <f t="shared" ca="1" si="0"/>
        <v>258.14152930815959</v>
      </c>
      <c r="F10" s="156">
        <f t="shared" ca="1" si="1"/>
        <v>305.79804378570321</v>
      </c>
      <c r="G10" s="156">
        <f ca="1">F10*(100%-'Données projet'!$C$24)*(100%-'Données projet'!$C$25)*(100%-'Données projet'!$C$26)*(100%-'Données projet'!$C$27)</f>
        <v>275.2182394071329</v>
      </c>
      <c r="H10" s="164">
        <f>IF(OR('Données projet'!B13="",'Données projet'!C13="",'Données projet'!C13=0%),0,AVERAGE(Calculateur!$DI$3:$DI$33)*B10)</f>
        <v>7.5252025034716636</v>
      </c>
      <c r="I10" s="158">
        <f>H10*(100%-'Données projet'!$C$24)*(100%-'Données projet'!$C$25)*(100%-'Données projet'!$C$26)*(100%-'Données projet'!$C$27)</f>
        <v>6.772682253124497</v>
      </c>
      <c r="J10" s="159">
        <f>IF(OR('Données projet'!B13="",'Données projet'!C13="",'Données projet'!C13=0%),0,SUM(Calculateur!$DB$3:$DB$33)*VLOOKUP('Données projet'!$B$13,Paramètres!$A$1:$I$89,9,0)*B10)</f>
        <v>45.97190392425</v>
      </c>
      <c r="K10" s="160">
        <f>J10*(100%-'Données projet'!$C$24)*(100%-'Données projet'!$C$25)*(100%-'Données projet'!$C$26)*(100%-'Données projet'!$C$27)</f>
        <v>41.374713531825002</v>
      </c>
      <c r="L10" s="161">
        <f t="shared" ca="1" si="2"/>
        <v>323.36563519208244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>Chêne rouge d'Amérique</v>
      </c>
      <c r="B11" s="163">
        <f>'Données projet'!D14</f>
        <v>0.1384639</v>
      </c>
      <c r="C11" s="156">
        <f ca="1">IF(OR('Données projet'!B14="",'Données projet'!C14="",'Données projet'!C14=0%),0,Calculateur!DT3)</f>
        <v>300.63505444445104</v>
      </c>
      <c r="D11" s="156">
        <f>IF(OR('Données projet'!B14="",'Données projet'!C14="",'Données projet'!C14=0%),0,Calculateur!DU3)</f>
        <v>266.32508105927997</v>
      </c>
      <c r="E11" s="156">
        <f t="shared" ca="1" si="0"/>
        <v>266.32508105927997</v>
      </c>
      <c r="F11" s="156">
        <f t="shared" ca="1" si="1"/>
        <v>36.876409391284035</v>
      </c>
      <c r="G11" s="156">
        <f ca="1">F11*(100%-'Données projet'!$C$24)*(100%-'Données projet'!$C$25)*(100%-'Données projet'!$C$26)*(100%-'Données projet'!$C$27)</f>
        <v>33.188768452155635</v>
      </c>
      <c r="H11" s="164">
        <f>IF(OR('Données projet'!B14="",'Données projet'!C14="",'Données projet'!C14=0%),0,AVERAGE(Calculateur!$ED$3:$ED$33)*B11)</f>
        <v>7.4193019906199373E-3</v>
      </c>
      <c r="I11" s="158">
        <f>H11*(100%-'Données projet'!$C$24)*(100%-'Données projet'!$C$25)*(100%-'Données projet'!$C$26)*(100%-'Données projet'!$C$27)</f>
        <v>6.6773717915579438E-3</v>
      </c>
      <c r="J11" s="159">
        <f>IF(OR('Données projet'!B14="",'Données projet'!C14="",'Données projet'!C14=0%),0,SUM(Calculateur!$DW$3:$DW$33)*VLOOKUP('Données projet'!$B$14,Paramètres!$A$1:$I$89,9,0)*B11)</f>
        <v>2.3538863000000001</v>
      </c>
      <c r="K11" s="160">
        <f>J11*(100%-'Données projet'!$C$24)*(100%-'Données projet'!$C$25)*(100%-'Données projet'!$C$26)*(100%-'Données projet'!$C$27)</f>
        <v>2.11849767</v>
      </c>
      <c r="L11" s="161">
        <f t="shared" ca="1" si="2"/>
        <v>35.313943493947193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>Erable sycomore</v>
      </c>
      <c r="B12" s="163">
        <f>'Données projet'!D15</f>
        <v>0.1384639</v>
      </c>
      <c r="C12" s="156">
        <f ca="1">IF(OR('Données projet'!B15="",'Données projet'!C15="",'Données projet'!C15=0%),0,Calculateur!EO3)</f>
        <v>353.37024194969638</v>
      </c>
      <c r="D12" s="156">
        <f>IF(OR('Données projet'!B15="",'Données projet'!C15="",'Données projet'!C15=0%),0,Calculateur!EP3)</f>
        <v>345.4750813433123</v>
      </c>
      <c r="E12" s="156">
        <f t="shared" ca="1" si="0"/>
        <v>345.4750813433123</v>
      </c>
      <c r="F12" s="156">
        <f t="shared" ca="1" si="1"/>
        <v>47.835827115612261</v>
      </c>
      <c r="G12" s="156">
        <f ca="1">F12*(100%-'Données projet'!$C$24)*(100%-'Données projet'!$C$25)*(100%-'Données projet'!$C$26)*(100%-'Données projet'!$C$27)</f>
        <v>43.052244404051038</v>
      </c>
      <c r="H12" s="164">
        <f>IF(OR('Données projet'!B15="",'Données projet'!C15="",'Données projet'!C15=0%),0,AVERAGE(Calculateur!$EY$3:$EY$33)*B12)</f>
        <v>0.47679721260204461</v>
      </c>
      <c r="I12" s="158">
        <f>H12*(100%-'Données projet'!$C$24)*(100%-'Données projet'!$C$25)*(100%-'Données projet'!$C$26)*(100%-'Données projet'!$C$27)</f>
        <v>0.42911749134184013</v>
      </c>
      <c r="J12" s="159">
        <f>IF(OR('Données projet'!B15="",'Données projet'!C15="",'Données projet'!C15=0%),0,SUM(Calculateur!$ER$3:$ER$33)*VLOOKUP('Données projet'!$B$15,Paramètres!$A$1:$I$89,9,0)*B12)</f>
        <v>4.7423885749999997</v>
      </c>
      <c r="K12" s="160">
        <f>J12*(100%-'Données projet'!$C$24)*(100%-'Données projet'!$C$25)*(100%-'Données projet'!$C$26)*(100%-'Données projet'!$C$27)</f>
        <v>4.2681497175000001</v>
      </c>
      <c r="L12" s="161">
        <f t="shared" ca="1" si="2"/>
        <v>47.749511612892881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>Aulne glutineux</v>
      </c>
      <c r="B13" s="163">
        <f>'Données projet'!D16</f>
        <v>0.89230799999999988</v>
      </c>
      <c r="C13" s="156">
        <f ca="1">IF(OR('Données projet'!B16="",'Données projet'!C16="",'Données projet'!C16=0%),0,Calculateur!FJ3)</f>
        <v>263.30962868541337</v>
      </c>
      <c r="D13" s="156">
        <f>IF(OR('Données projet'!B16="",'Données projet'!C16="",'Données projet'!C16=0%),0,Calculateur!FK3)</f>
        <v>269.61868559913404</v>
      </c>
      <c r="E13" s="156">
        <f t="shared" ca="1" si="0"/>
        <v>263.30962868541337</v>
      </c>
      <c r="F13" s="156">
        <f t="shared" ca="1" si="1"/>
        <v>234.95328815302381</v>
      </c>
      <c r="G13" s="156">
        <f ca="1">F13*(100%-'Données projet'!$C$24)*(100%-'Données projet'!$C$25)*(100%-'Données projet'!$C$26)*(100%-'Données projet'!$C$27)</f>
        <v>211.45795933772143</v>
      </c>
      <c r="H13" s="164">
        <f>IF(OR('Données projet'!B16="",'Données projet'!C16="",'Données projet'!C16=0%),0,AVERAGE(Calculateur!$FT$3:$FT$33)*B13)</f>
        <v>4.1238264443347723E-2</v>
      </c>
      <c r="I13" s="158">
        <f>H13*(100%-'Données projet'!$C$24)*(100%-'Données projet'!$C$25)*(100%-'Données projet'!$C$26)*(100%-'Données projet'!$C$27)</f>
        <v>3.7114437999012949E-2</v>
      </c>
      <c r="J13" s="159">
        <f>IF(OR('Données projet'!C16="",'Données projet'!C16=0%),0,SUM(Calculateur!$FM$3:$FM$33)*VLOOKUP('Données projet'!$B$16,Paramètres!$A$1:$I$89,9,0)*B13)</f>
        <v>13.161542999999998</v>
      </c>
      <c r="K13" s="160">
        <f>J13*(100%-'Données projet'!$C$24)*(100%-'Données projet'!$C$25)*(100%-'Données projet'!$C$26)*(100%-'Données projet'!$C$27)</f>
        <v>11.845388699999999</v>
      </c>
      <c r="L13" s="161">
        <f t="shared" ca="1" si="2"/>
        <v>223.34046247572044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1557.2852281447217</v>
      </c>
      <c r="G16" s="175">
        <f t="shared" ca="1" si="3"/>
        <v>1401.5567053302493</v>
      </c>
      <c r="H16" s="176">
        <f t="shared" si="3"/>
        <v>42.54315843346096</v>
      </c>
      <c r="I16" s="176">
        <f t="shared" si="3"/>
        <v>38.288842590114868</v>
      </c>
      <c r="J16" s="177">
        <f t="shared" si="3"/>
        <v>219.60051875925001</v>
      </c>
      <c r="K16" s="177">
        <f t="shared" si="3"/>
        <v>197.64046688332502</v>
      </c>
      <c r="L16" s="178">
        <f t="shared" ca="1" si="3"/>
        <v>1637.4860148036889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noir d'Autriche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Mélèze d'Europe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>Chêne rouge d'Amérique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>Erable sycomore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>Aulne glutineux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5" zoomScale="80" zoomScaleNormal="80" workbookViewId="0">
      <selection activeCell="I22" sqref="I2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noir d'Autriche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-1131.4988694921465</v>
      </c>
      <c r="U10" s="190">
        <f>'Données projet'!D9</f>
        <v>0.8000027999999999</v>
      </c>
      <c r="V10" s="189">
        <f>U10*T10</f>
        <v>-905.20226379055168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Cèdre de l'Atlas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-2779.6867204863688</v>
      </c>
      <c r="U11" s="190">
        <f>'Données projet'!D10</f>
        <v>0.73845989999999995</v>
      </c>
      <c r="V11" s="189">
        <f t="shared" ref="V11" si="0">U11*T11</f>
        <v>-2052.6871776416915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Mélèze d'Europe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1837.5573401290117</v>
      </c>
      <c r="U12" s="190">
        <f>'Données projet'!D11</f>
        <v>1.938458</v>
      </c>
      <c r="V12" s="189">
        <f t="shared" ref="V12:V19" si="1">U12*T12</f>
        <v>3562.0277264318038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Alisier torminal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-524.88445280463679</v>
      </c>
      <c r="U13" s="190">
        <f>'Données projet'!D12</f>
        <v>0.26922960000000001</v>
      </c>
      <c r="V13" s="189">
        <f t="shared" si="1"/>
        <v>-141.31443127481126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noir d'Autriche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Pin laricio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487.4243462635576</v>
      </c>
      <c r="U14" s="190">
        <f>'Données projet'!D13</f>
        <v>1.1846139</v>
      </c>
      <c r="V14" s="189">
        <f t="shared" si="1"/>
        <v>577.40965578222335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Chêne rouge d'Amérique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374.89813084589605</v>
      </c>
      <c r="U15" s="190">
        <f>'Données projet'!D14</f>
        <v>0.1384639</v>
      </c>
      <c r="V15" s="189">
        <f t="shared" si="1"/>
        <v>51.909857299633067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>
        <v>30</v>
      </c>
      <c r="O16" s="25"/>
      <c r="P16" s="25"/>
      <c r="Q16" s="264"/>
      <c r="R16" s="25"/>
      <c r="S16" s="185" t="str">
        <f>B200</f>
        <v>Erable sycomore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119.65167117832328</v>
      </c>
      <c r="U16" s="190">
        <f>'Données projet'!D15</f>
        <v>0.1384639</v>
      </c>
      <c r="V16" s="189">
        <f t="shared" si="1"/>
        <v>16.567437032868238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1742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>Aulne glutineux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-831.70925120782579</v>
      </c>
      <c r="U17" s="190">
        <f>'Données projet'!D16</f>
        <v>0.89230799999999988</v>
      </c>
      <c r="V17" s="189">
        <f t="shared" si="1"/>
        <v>-742.14081852675247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>
        <v>10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f>1690+732.69+525</f>
        <v>2947.69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f>720</f>
        <v>720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720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45</v>
      </c>
      <c r="B23" s="193">
        <f>'Données projet'!D36</f>
        <v>73.989999999999995</v>
      </c>
      <c r="C23" s="206">
        <f>30*'Données projet'!E36+19.4*('Données projet'!F36+'Données projet'!G36)+10*'Données projet'!G36</f>
        <v>26.240000000000002</v>
      </c>
      <c r="D23" s="194">
        <f>B23*C23</f>
        <v>1941.4975999999999</v>
      </c>
      <c r="E23" s="206"/>
      <c r="F23" s="260"/>
      <c r="H23" s="203">
        <v>3</v>
      </c>
      <c r="I23" s="204">
        <v>720</v>
      </c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-33212.155455159147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60</v>
      </c>
      <c r="B24" s="193">
        <f>'Données projet'!D37</f>
        <v>71.69</v>
      </c>
      <c r="C24" s="206">
        <f>30*'Données projet'!E37+19.4*('Données projet'!F37+'Données projet'!G37)+10*'Données projet'!G37</f>
        <v>27.56</v>
      </c>
      <c r="D24" s="194">
        <f t="shared" ref="D24:D42" si="2">B24*C24</f>
        <v>1975.7763999999997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75</v>
      </c>
      <c r="B25" s="193">
        <f>'Données projet'!D38</f>
        <v>75.069999999999993</v>
      </c>
      <c r="C25" s="206">
        <f>30*'Données projet'!E38+19.4*('Données projet'!F38+'Données projet'!G38)+10*'Données projet'!G38</f>
        <v>28.12</v>
      </c>
      <c r="D25" s="194">
        <f t="shared" si="2"/>
        <v>2110.9683999999997</v>
      </c>
      <c r="E25" s="206"/>
      <c r="F25" s="263"/>
      <c r="G25" s="1"/>
      <c r="H25" s="203">
        <v>5</v>
      </c>
      <c r="I25" s="204">
        <v>720</v>
      </c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-33212.155455159147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90</v>
      </c>
      <c r="B26" s="193">
        <f>'Données projet'!D39</f>
        <v>65.83</v>
      </c>
      <c r="C26" s="206">
        <f>30*'Données projet'!E39+19.4*('Données projet'!F39+'Données projet'!G39)+10*'Données projet'!G39</f>
        <v>28.779999999999998</v>
      </c>
      <c r="D26" s="194">
        <f t="shared" si="2"/>
        <v>1894.5873999999999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100</v>
      </c>
      <c r="B27" s="193">
        <f>'Données projet'!D40</f>
        <v>92.21</v>
      </c>
      <c r="C27" s="206">
        <f>30*'Données projet'!E40+19.4*('Données projet'!F40+'Données projet'!G40)+10*'Données projet'!G40</f>
        <v>28.779999999999998</v>
      </c>
      <c r="D27" s="194">
        <f t="shared" si="2"/>
        <v>2653.8037999999997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110</v>
      </c>
      <c r="B28" s="193">
        <f>'Données projet'!D41</f>
        <v>244.09</v>
      </c>
      <c r="C28" s="206">
        <f>30*'Données projet'!E41+19.4*('Données projet'!F41+'Données projet'!G41)+10*'Données projet'!G41</f>
        <v>28.779999999999998</v>
      </c>
      <c r="D28" s="194">
        <f t="shared" si="2"/>
        <v>7024.9101999999993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0</v>
      </c>
      <c r="B29" s="193">
        <f>'Données projet'!D42</f>
        <v>0</v>
      </c>
      <c r="C29" s="206">
        <f>30*'Données projet'!E42+19.4*('Données projet'!F42+'Données projet'!G42)+10*'Données projet'!G42</f>
        <v>0</v>
      </c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>
        <f>30*'Données projet'!E43+19.4*('Données projet'!F43+'Données projet'!G43)+10*'Données projet'!G43</f>
        <v>0</v>
      </c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>
        <f>30*'Données projet'!E44+19.4*('Données projet'!F44+'Données projet'!G44)+10*'Données projet'!G44</f>
        <v>0</v>
      </c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>
        <f>30*'Données projet'!E45+19.4*('Données projet'!F45+'Données projet'!G45)+10*'Données projet'!G45</f>
        <v>0</v>
      </c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>
        <f>30*'Données projet'!E46+19.4*('Données projet'!F46+'Données projet'!G46)+10*'Données projet'!G46</f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>
        <f>30*'Données projet'!E47+19.4*('Données projet'!F47+'Données projet'!G47)+10*'Données projet'!G47</f>
        <v>0</v>
      </c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>
        <f>30*'Données projet'!E48+19.4*('Données projet'!F48+'Données projet'!G48)+10*'Données projet'!G48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>
        <f>30*'Données projet'!E49+19.4*('Données projet'!F49+'Données projet'!G49)+10*'Données projet'!G49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>
        <f>30*'Données projet'!E50+19.4*('Données projet'!F50+'Données projet'!G50)+10*'Données projet'!G50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30*'Données projet'!E51+19.4*('Données projet'!F51+'Données projet'!G51)+10*'Données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30*'Données projet'!E52+19.4*('Données projet'!F52+'Données projet'!G52)+10*'Données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30*'Données projet'!E53+19.4*('Données projet'!F53+'Données projet'!G53)+10*'Données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30*'Données projet'!E54+19.4*('Données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30*'Données projet'!E55+19.4*('Données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3328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51</v>
      </c>
      <c r="B54" s="193">
        <f>'Données projet'!D62</f>
        <v>99.93</v>
      </c>
      <c r="C54" s="204">
        <f>30*'Données projet'!E62+19.4*('Données projet'!F62+'Données projet'!G62)+10*'Données projet'!H62</f>
        <v>23.64</v>
      </c>
      <c r="D54" s="191">
        <f>B54*C54</f>
        <v>2362.3452000000002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63</v>
      </c>
      <c r="B55" s="193">
        <f>'Données projet'!D63</f>
        <v>113.87</v>
      </c>
      <c r="C55" s="204">
        <f>30*'Données projet'!E63+19.4*('Données projet'!F63+'Données projet'!G63)+10*'Données projet'!H63</f>
        <v>24.7</v>
      </c>
      <c r="D55" s="191">
        <f t="shared" ref="D55:D73" si="4">B55*C55</f>
        <v>2812.5889999999999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75</v>
      </c>
      <c r="B56" s="193">
        <f>'Données projet'!D64</f>
        <v>92.44</v>
      </c>
      <c r="C56" s="204">
        <f>30*'Données projet'!E64+19.4*('Données projet'!F64+'Données projet'!G64)+10*'Données projet'!H64</f>
        <v>25.759999999999998</v>
      </c>
      <c r="D56" s="191">
        <f t="shared" si="4"/>
        <v>2381.2543999999998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87</v>
      </c>
      <c r="B57" s="193">
        <f>'Données projet'!D65</f>
        <v>91.18</v>
      </c>
      <c r="C57" s="204">
        <f>30*'Données projet'!E65+19.4*('Données projet'!F65+'Données projet'!G65)+10*'Données projet'!H65</f>
        <v>26.82</v>
      </c>
      <c r="D57" s="191">
        <f t="shared" si="4"/>
        <v>2445.4476000000004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99</v>
      </c>
      <c r="B58" s="193">
        <f>'Données projet'!D66</f>
        <v>440.24</v>
      </c>
      <c r="C58" s="204">
        <f>30*'Données projet'!E66+19.4*('Données projet'!F66+'Données projet'!G66)+10*'Données projet'!H66</f>
        <v>27.88</v>
      </c>
      <c r="D58" s="191">
        <f t="shared" si="4"/>
        <v>12273.8912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30*'Données projet'!E67+19.4*('Données projet'!F67+'Données projet'!G67)+10*'Données projet'!H67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30*'Données projet'!E68+19.4*('Données projet'!F68+'Données projet'!G68)+10*'Données projet'!H68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30*'Données projet'!E69+19.4*('Données projet'!F69+'Données projet'!G69)+10*'Données projet'!H69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30*'Données projet'!E70+19.4*('Données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30*'Données projet'!E71+19.4*('Données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30*'Données projet'!E72+19.4*('Données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30*'Données projet'!E73+19.4*('Données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30*'Données projet'!E74+19.4*('Données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30*'Données projet'!E75+19.4*('Données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30*'Données projet'!E76+19.4*('Données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30*'Données projet'!E77+19.4*('Données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30*'Données projet'!E78+19.4*('Données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30*'Données projet'!E79+19.4*('Données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30*'Données projet'!E80+19.4*('Données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30*'Données projet'!E81+19.4*('Données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Mélèze d'Europe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1833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12</v>
      </c>
      <c r="B85" s="193">
        <f>'Données projet'!D88</f>
        <v>14</v>
      </c>
      <c r="C85" s="204">
        <f>50*'Données projet'!E88+19.4*('Données projet'!F88+'Données projet'!G88)+10*'Données projet'!H88</f>
        <v>19.399999999999999</v>
      </c>
      <c r="D85" s="191">
        <f>B85*C85</f>
        <v>271.59999999999997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18</v>
      </c>
      <c r="B86" s="193">
        <f>'Données projet'!D89</f>
        <v>65</v>
      </c>
      <c r="C86" s="204">
        <f>50*'Données projet'!E89+19.4*('Données projet'!F89+'Données projet'!G89)+10*'Données projet'!H89</f>
        <v>25.52</v>
      </c>
      <c r="D86" s="191">
        <f t="shared" ref="D86:D104" si="6">B86*C86</f>
        <v>1658.8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24</v>
      </c>
      <c r="B87" s="193">
        <f>'Données projet'!D90</f>
        <v>57</v>
      </c>
      <c r="C87" s="204">
        <f>50*'Données projet'!E90+19.4*('Données projet'!F90+'Données projet'!G90)+10*'Données projet'!H90</f>
        <v>25.52</v>
      </c>
      <c r="D87" s="191">
        <f t="shared" si="6"/>
        <v>1454.6399999999999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30</v>
      </c>
      <c r="B88" s="193">
        <f>'Données projet'!D91</f>
        <v>48</v>
      </c>
      <c r="C88" s="204">
        <f>50*'Données projet'!E91+19.4*('Données projet'!F91+'Données projet'!G91)+10*'Données projet'!H91</f>
        <v>31.64</v>
      </c>
      <c r="D88" s="191">
        <f t="shared" si="6"/>
        <v>1518.72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36</v>
      </c>
      <c r="B89" s="193">
        <f>'Données projet'!D92</f>
        <v>45</v>
      </c>
      <c r="C89" s="204">
        <f>50*'Données projet'!E92+19.4*('Données projet'!F92+'Données projet'!G92)+10*'Données projet'!H92</f>
        <v>31.64</v>
      </c>
      <c r="D89" s="191">
        <f t="shared" si="6"/>
        <v>1423.8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42</v>
      </c>
      <c r="B90" s="193">
        <f>'Données projet'!D93</f>
        <v>42</v>
      </c>
      <c r="C90" s="204">
        <f>50*'Données projet'!E93+19.4*('Données projet'!F93+'Données projet'!G93)+10*'Données projet'!H93</f>
        <v>37.76</v>
      </c>
      <c r="D90" s="191">
        <f t="shared" si="6"/>
        <v>1585.9199999999998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48</v>
      </c>
      <c r="B91" s="193">
        <f>'Données projet'!D94</f>
        <v>37</v>
      </c>
      <c r="C91" s="204">
        <f>50*'Données projet'!E94+19.4*('Données projet'!F94+'Données projet'!G94)+10*'Données projet'!H94</f>
        <v>43.88</v>
      </c>
      <c r="D91" s="191">
        <f t="shared" si="6"/>
        <v>1623.5600000000002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54</v>
      </c>
      <c r="B92" s="193">
        <f>'Données projet'!D95</f>
        <v>36</v>
      </c>
      <c r="C92" s="204">
        <f>50*'Données projet'!E95+19.4*('Données projet'!F95+'Données projet'!G95)+10*'Données projet'!H95</f>
        <v>43.88</v>
      </c>
      <c r="D92" s="191">
        <f t="shared" si="6"/>
        <v>1579.68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60</v>
      </c>
      <c r="B93" s="193">
        <f>'Données projet'!D96</f>
        <v>308</v>
      </c>
      <c r="C93" s="204">
        <f>50*'Données projet'!E96+19.4*('Données projet'!F96+'Données projet'!G96)+10*'Données projet'!H96</f>
        <v>43.88</v>
      </c>
      <c r="D93" s="191">
        <f t="shared" si="6"/>
        <v>13515.04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50*'Données projet'!E97+19.4*('Données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50*'Données projet'!E98+19.4*('Données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50*'Données projet'!E99+19.4*('Données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50*'Données projet'!E100+19.4*('Données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50*'Données projet'!E101+19.4*('Données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50*'Données projet'!E102+19.4*('Données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50*'Données projet'!E103+19.4*('Données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50*'Données projet'!E104+19.4*('Données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50*'Données projet'!E105+19.4*('Données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50*'Données projet'!E106+19.4*('Données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50*'Données projet'!E107+19.4*('Données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>
        <v>2678</v>
      </c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42</v>
      </c>
      <c r="B116" s="193">
        <f>'Données projet'!D114</f>
        <v>43.21</v>
      </c>
      <c r="C116" s="204">
        <f>300*'Données projet'!E114+13.8*('Données projet'!F114+'Données projet'!G114)+10*'Données projet'!H114</f>
        <v>68</v>
      </c>
      <c r="D116" s="191">
        <f>B116*C116</f>
        <v>2938.28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50</v>
      </c>
      <c r="B117" s="193">
        <f>'Données projet'!D115</f>
        <v>35.58</v>
      </c>
      <c r="C117" s="204">
        <f>300*'Données projet'!E115+13.8*('Données projet'!F115+'Données projet'!G115)+10*'Données projet'!H115</f>
        <v>68</v>
      </c>
      <c r="D117" s="191">
        <f t="shared" ref="D117:D135" si="8">B117*C117</f>
        <v>2419.44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58</v>
      </c>
      <c r="B118" s="193">
        <f>'Données projet'!D116</f>
        <v>44.93</v>
      </c>
      <c r="C118" s="204">
        <f>300*'Données projet'!E116+13.8*('Données projet'!F116+'Données projet'!G116)+10*'Données projet'!H116</f>
        <v>68</v>
      </c>
      <c r="D118" s="191">
        <f t="shared" si="8"/>
        <v>3055.24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66</v>
      </c>
      <c r="B119" s="193">
        <f>'Données projet'!D117</f>
        <v>49.91</v>
      </c>
      <c r="C119" s="204">
        <f>300*'Données projet'!E117+13.8*('Données projet'!F117+'Données projet'!G117)+10*'Données projet'!H117</f>
        <v>97</v>
      </c>
      <c r="D119" s="191">
        <f t="shared" si="8"/>
        <v>4841.2699999999995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74</v>
      </c>
      <c r="B120" s="193">
        <f>'Données projet'!D118</f>
        <v>47.4</v>
      </c>
      <c r="C120" s="204">
        <f>300*'Données projet'!E118+13.8*('Données projet'!F118+'Données projet'!G118)+10*'Données projet'!H118</f>
        <v>126</v>
      </c>
      <c r="D120" s="191">
        <f t="shared" si="8"/>
        <v>5972.4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84</v>
      </c>
      <c r="B121" s="193">
        <f>'Données projet'!D119</f>
        <v>61.47</v>
      </c>
      <c r="C121" s="204">
        <f>300*'Données projet'!E119+13.8*('Données projet'!F119+'Données projet'!G119)+10*'Données projet'!H119</f>
        <v>126</v>
      </c>
      <c r="D121" s="191">
        <f t="shared" si="8"/>
        <v>7745.22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94</v>
      </c>
      <c r="B122" s="193">
        <f>'Données projet'!D120</f>
        <v>61.85</v>
      </c>
      <c r="C122" s="204">
        <f>300*'Données projet'!E120+13.8*('Données projet'!F120+'Données projet'!G120)+10*'Données projet'!H120</f>
        <v>155</v>
      </c>
      <c r="D122" s="191">
        <f t="shared" si="8"/>
        <v>9586.75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104</v>
      </c>
      <c r="B123" s="193">
        <f>'Données projet'!D121</f>
        <v>60.19</v>
      </c>
      <c r="C123" s="204">
        <f>300*'Données projet'!E121+13.8*('Données projet'!F121+'Données projet'!G121)+10*'Données projet'!H121</f>
        <v>155</v>
      </c>
      <c r="D123" s="191">
        <f t="shared" si="8"/>
        <v>9329.4499999999989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114</v>
      </c>
      <c r="B124" s="193">
        <f>'Données projet'!D122</f>
        <v>56.07</v>
      </c>
      <c r="C124" s="204">
        <f>300*'Données projet'!E122+13.8*('Données projet'!F122+'Données projet'!G122)+10*'Données projet'!H122</f>
        <v>184</v>
      </c>
      <c r="D124" s="191">
        <f t="shared" si="8"/>
        <v>10316.879999999999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124</v>
      </c>
      <c r="B125" s="193">
        <f>'Données projet'!D123</f>
        <v>52.53</v>
      </c>
      <c r="C125" s="204">
        <f>300*'Données projet'!E123+13.8*('Données projet'!F123+'Données projet'!G123)+10*'Données projet'!H123</f>
        <v>213</v>
      </c>
      <c r="D125" s="191">
        <f t="shared" si="8"/>
        <v>11188.89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134</v>
      </c>
      <c r="B126" s="193">
        <f>'Données projet'!D124</f>
        <v>54.95</v>
      </c>
      <c r="C126" s="204">
        <f>300*'Données projet'!E124+13.8*('Données projet'!F124+'Données projet'!G124)+10*'Données projet'!H124</f>
        <v>213</v>
      </c>
      <c r="D126" s="191">
        <f t="shared" si="8"/>
        <v>11704.35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144</v>
      </c>
      <c r="B127" s="193">
        <f>'Données projet'!D125</f>
        <v>56.01</v>
      </c>
      <c r="C127" s="204">
        <f>300*'Données projet'!E125+13.8*('Données projet'!F125+'Données projet'!G125)+10*'Données projet'!H125</f>
        <v>213</v>
      </c>
      <c r="D127" s="191">
        <f t="shared" si="8"/>
        <v>11930.13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154</v>
      </c>
      <c r="B128" s="193">
        <f>'Données projet'!D126</f>
        <v>55.13</v>
      </c>
      <c r="C128" s="204">
        <f>300*'Données projet'!E126+13.8*('Données projet'!F126+'Données projet'!G126)+10*'Données projet'!H126</f>
        <v>213</v>
      </c>
      <c r="D128" s="191">
        <f t="shared" si="8"/>
        <v>11742.69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164</v>
      </c>
      <c r="B129" s="193">
        <f>'Données projet'!D127</f>
        <v>59.58</v>
      </c>
      <c r="C129" s="204">
        <f>300*'Données projet'!E127+13.8*('Données projet'!F127+'Données projet'!G127)+10*'Données projet'!H127</f>
        <v>242</v>
      </c>
      <c r="D129" s="191">
        <f t="shared" si="8"/>
        <v>14418.359999999999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174</v>
      </c>
      <c r="B130" s="193">
        <f>'Données projet'!D128</f>
        <v>214.77</v>
      </c>
      <c r="C130" s="204">
        <f>300*'Données projet'!E128+13.8*('Données projet'!F128+'Données projet'!G128)+10*'Données projet'!H128</f>
        <v>242</v>
      </c>
      <c r="D130" s="191">
        <f t="shared" si="8"/>
        <v>51974.340000000004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177</v>
      </c>
      <c r="B131" s="193">
        <f>'Données projet'!D129</f>
        <v>115.19</v>
      </c>
      <c r="C131" s="204">
        <f>300*'Données projet'!E129+13.8*('Données projet'!F129+'Données projet'!G129)+10*'Données projet'!H129</f>
        <v>242</v>
      </c>
      <c r="D131" s="191">
        <f t="shared" si="8"/>
        <v>27875.98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180</v>
      </c>
      <c r="B132" s="193">
        <f>'Données projet'!D130</f>
        <v>77.72</v>
      </c>
      <c r="C132" s="204">
        <f>300*'Données projet'!E130+13.8*('Données projet'!F130+'Données projet'!G130)+10*'Données projet'!H130</f>
        <v>242</v>
      </c>
      <c r="D132" s="191">
        <f t="shared" si="8"/>
        <v>18808.239999999998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183</v>
      </c>
      <c r="B133" s="193">
        <f>'Données projet'!D131</f>
        <v>169.76</v>
      </c>
      <c r="C133" s="204">
        <f>300*'Données projet'!E131+13.8*('Données projet'!F131+'Données projet'!G131)+10*'Données projet'!H131</f>
        <v>242</v>
      </c>
      <c r="D133" s="191">
        <f t="shared" si="8"/>
        <v>41081.919999999998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300*'Données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300*'Données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>
        <v>1742</v>
      </c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22</v>
      </c>
      <c r="B147" s="187">
        <f>'Données projet'!D140</f>
        <v>52.41</v>
      </c>
      <c r="C147" s="204">
        <f>31*'Données projet'!E140+19.4*('Données projet'!F140+'Données projet'!G140)+10*'Données projet'!H140</f>
        <v>22.879999999999995</v>
      </c>
      <c r="D147" s="194">
        <f>B147*C147</f>
        <v>1199.1407999999997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27</v>
      </c>
      <c r="B148" s="187">
        <f>'Données projet'!D141</f>
        <v>37.840000000000003</v>
      </c>
      <c r="C148" s="204">
        <f>31*'Données projet'!E141+19.4*('Données projet'!F141+'Données projet'!G141)+10*'Données projet'!H141</f>
        <v>24.04</v>
      </c>
      <c r="D148" s="194">
        <f t="shared" ref="D148:D166" si="10">B148*C148</f>
        <v>909.67360000000008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33</v>
      </c>
      <c r="B149" s="187">
        <f>'Données projet'!D142</f>
        <v>50.41</v>
      </c>
      <c r="C149" s="204">
        <f>31*'Données projet'!E142+19.4*('Données projet'!F142+'Données projet'!G142)+10*'Données projet'!H142</f>
        <v>25.2</v>
      </c>
      <c r="D149" s="194">
        <f t="shared" si="10"/>
        <v>1270.3319999999999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41</v>
      </c>
      <c r="B150" s="187">
        <f>'Données projet'!D143</f>
        <v>72.13</v>
      </c>
      <c r="C150" s="204">
        <f>31*'Données projet'!E143+19.4*('Données projet'!F143+'Données projet'!G143)+10*'Données projet'!H143</f>
        <v>26.36</v>
      </c>
      <c r="D150" s="194">
        <f t="shared" si="10"/>
        <v>1901.3467999999998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50</v>
      </c>
      <c r="B151" s="187">
        <f>'Données projet'!D144</f>
        <v>70.2</v>
      </c>
      <c r="C151" s="204">
        <f>31*'Données projet'!E144+19.4*('Données projet'!F144+'Données projet'!G144)+10*'Données projet'!H144</f>
        <v>27.52</v>
      </c>
      <c r="D151" s="194">
        <f t="shared" si="10"/>
        <v>1931.904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60</v>
      </c>
      <c r="B152" s="187">
        <f>'Données projet'!D145</f>
        <v>69.849999999999994</v>
      </c>
      <c r="C152" s="204">
        <f>31*'Données projet'!E145+19.4*('Données projet'!F145+'Données projet'!G145)+10*'Données projet'!H145</f>
        <v>28.68</v>
      </c>
      <c r="D152" s="194">
        <f t="shared" si="10"/>
        <v>2003.2979999999998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70</v>
      </c>
      <c r="B153" s="187">
        <f>'Données projet'!D146</f>
        <v>67.88</v>
      </c>
      <c r="C153" s="204">
        <f>31*'Données projet'!E146+19.4*('Données projet'!F146+'Données projet'!G146)+10*'Données projet'!H146</f>
        <v>28.68</v>
      </c>
      <c r="D153" s="194">
        <f t="shared" si="10"/>
        <v>1946.7983999999999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80</v>
      </c>
      <c r="B154" s="187">
        <f>'Données projet'!D147</f>
        <v>520</v>
      </c>
      <c r="C154" s="204">
        <f>31*'Données projet'!E147+19.4*('Données projet'!F147+'Données projet'!G147)+10*'Données projet'!H147</f>
        <v>28.68</v>
      </c>
      <c r="D154" s="194">
        <f t="shared" si="10"/>
        <v>14913.6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31*'Données projet'!E148+19.4*('Données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31*'Données projet'!E149+19.4*('Données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31*'Données projet'!E150+19.4*('Données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31*'Données projet'!E151+19.4*('Données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31*'Données projet'!E152+19.4*('Données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31*'Données projet'!E153+19.4*('Données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31*'Données projet'!E154+19.4*('Données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31*'Données projet'!E155+19.4*('Données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31*'Données projet'!E156+19.4*('Données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31*'Données projet'!E157+19.4*('Données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31*'Données projet'!E158+19.4*('Données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31*'Données projet'!E159+19.4*('Données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>Chêne rouge d'Amérique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>
        <v>2145</v>
      </c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10</v>
      </c>
      <c r="B178" s="193">
        <f>'Données projet'!D166</f>
        <v>0</v>
      </c>
      <c r="C178" s="206">
        <f>225*'Données projet'!E166+13.8*('Données projet'!F166+'Données projet'!G168)+10*'Données projet'!H166</f>
        <v>10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15</v>
      </c>
      <c r="B179" s="193">
        <f>'Données projet'!D167</f>
        <v>0</v>
      </c>
      <c r="C179" s="206">
        <f>225*'Données projet'!E167+13.8*('Données projet'!F167+'Données projet'!G169)+10*'Données projet'!H167</f>
        <v>10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20</v>
      </c>
      <c r="B180" s="193">
        <f>'Données projet'!D168</f>
        <v>29</v>
      </c>
      <c r="C180" s="206">
        <f>225*'Données projet'!E168+13.8*('Données projet'!F168+'Données projet'!G170)+10*'Données projet'!H168</f>
        <v>10</v>
      </c>
      <c r="D180" s="191">
        <f t="shared" si="11"/>
        <v>290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25</v>
      </c>
      <c r="B181" s="193">
        <f>'Données projet'!D169</f>
        <v>19</v>
      </c>
      <c r="C181" s="206">
        <f>225*'Données projet'!E169+13.8*('Données projet'!F169+'Données projet'!G171)+10*'Données projet'!H169</f>
        <v>10</v>
      </c>
      <c r="D181" s="191">
        <f t="shared" si="11"/>
        <v>190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30</v>
      </c>
      <c r="B182" s="193">
        <f>'Données projet'!D170</f>
        <v>20</v>
      </c>
      <c r="C182" s="206">
        <f>225*'Données projet'!E170+13.8*('Données projet'!F170+'Données projet'!G172)+10*'Données projet'!H170</f>
        <v>53</v>
      </c>
      <c r="D182" s="191">
        <f t="shared" si="11"/>
        <v>1060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35</v>
      </c>
      <c r="B183" s="193">
        <f>'Données projet'!D171</f>
        <v>20</v>
      </c>
      <c r="C183" s="206">
        <f>225*'Données projet'!E171+13.8*('Données projet'!F171+'Données projet'!G173)+10*'Données projet'!H171</f>
        <v>53</v>
      </c>
      <c r="D183" s="191">
        <f t="shared" si="11"/>
        <v>1060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40</v>
      </c>
      <c r="B184" s="193">
        <f>'Données projet'!D172</f>
        <v>20</v>
      </c>
      <c r="C184" s="206">
        <f>225*'Données projet'!E172+13.8*('Données projet'!F172+'Données projet'!G174)+10*'Données projet'!H172</f>
        <v>74.5</v>
      </c>
      <c r="D184" s="191">
        <f t="shared" si="11"/>
        <v>1490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45</v>
      </c>
      <c r="B185" s="193">
        <f>'Données projet'!D173</f>
        <v>19</v>
      </c>
      <c r="C185" s="206">
        <f>225*'Données projet'!E173+13.8*('Données projet'!F173+'Données projet'!G175)+10*'Données projet'!H173</f>
        <v>74.5</v>
      </c>
      <c r="D185" s="191">
        <f t="shared" si="11"/>
        <v>1415.5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50</v>
      </c>
      <c r="B186" s="193">
        <f>'Données projet'!D174</f>
        <v>18</v>
      </c>
      <c r="C186" s="206">
        <f>225*'Données projet'!E174+13.8*('Données projet'!F174+'Données projet'!G176)+10*'Données projet'!H174</f>
        <v>96</v>
      </c>
      <c r="D186" s="191">
        <f t="shared" si="11"/>
        <v>1728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55</v>
      </c>
      <c r="B187" s="193">
        <f>'Données projet'!D175</f>
        <v>17</v>
      </c>
      <c r="C187" s="206">
        <f>225*'Données projet'!E175+13.8*('Données projet'!F175+'Données projet'!G177)+10*'Données projet'!H175</f>
        <v>96</v>
      </c>
      <c r="D187" s="191">
        <f t="shared" si="11"/>
        <v>1632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60</v>
      </c>
      <c r="B188" s="193">
        <f>'Données projet'!D176</f>
        <v>16</v>
      </c>
      <c r="C188" s="206">
        <f>225*'Données projet'!E176+13.8*('Données projet'!F176+'Données projet'!G178)+10*'Données projet'!H176</f>
        <v>117.5</v>
      </c>
      <c r="D188" s="191">
        <f t="shared" si="11"/>
        <v>1880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65</v>
      </c>
      <c r="B189" s="193">
        <f>'Données projet'!D177</f>
        <v>15</v>
      </c>
      <c r="C189" s="206">
        <f>225*'Données projet'!E177+13.8*('Données projet'!F177+'Données projet'!G179)+10*'Données projet'!H177</f>
        <v>117.5</v>
      </c>
      <c r="D189" s="191">
        <f t="shared" si="11"/>
        <v>1762.5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70</v>
      </c>
      <c r="B190" s="193">
        <f>'Données projet'!D178</f>
        <v>14</v>
      </c>
      <c r="C190" s="206">
        <f>225*'Données projet'!E178+13.8*('Données projet'!F178+'Données projet'!G180)+10*'Données projet'!H178</f>
        <v>139</v>
      </c>
      <c r="D190" s="191">
        <f t="shared" si="11"/>
        <v>1946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75</v>
      </c>
      <c r="B191" s="193">
        <f>'Données projet'!D179</f>
        <v>12</v>
      </c>
      <c r="C191" s="206">
        <f>225*'Données projet'!E179+13.8*('Données projet'!F179+'Données projet'!G181)+10*'Données projet'!H179</f>
        <v>139</v>
      </c>
      <c r="D191" s="191">
        <f t="shared" si="11"/>
        <v>1668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80</v>
      </c>
      <c r="B192" s="193">
        <f>'Données projet'!D180</f>
        <v>11</v>
      </c>
      <c r="C192" s="206">
        <f>225*'Données projet'!E180+13.8*('Données projet'!F180+'Données projet'!G182)+10*'Données projet'!H180</f>
        <v>160.5</v>
      </c>
      <c r="D192" s="191">
        <f t="shared" si="11"/>
        <v>1765.5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85</v>
      </c>
      <c r="B193" s="193">
        <f>'Données projet'!D181</f>
        <v>10</v>
      </c>
      <c r="C193" s="206">
        <f>225*'Données projet'!E181+13.8*('Données projet'!F181+'Données projet'!G183)+10*'Données projet'!H181</f>
        <v>160.5</v>
      </c>
      <c r="D193" s="191">
        <f t="shared" si="11"/>
        <v>1605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90</v>
      </c>
      <c r="B194" s="193">
        <f>'Données projet'!D182</f>
        <v>10</v>
      </c>
      <c r="C194" s="206">
        <f>225*'Données projet'!E182+13.8*('Données projet'!F182+'Données projet'!G184)+10*'Données projet'!H182</f>
        <v>182</v>
      </c>
      <c r="D194" s="191">
        <f t="shared" si="11"/>
        <v>1820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95</v>
      </c>
      <c r="B195" s="193">
        <f>'Données projet'!D183</f>
        <v>11</v>
      </c>
      <c r="C195" s="206">
        <f>225*'Données projet'!E183+13.8*('Données projet'!F183+'Données projet'!G185)+10*'Données projet'!H183</f>
        <v>182</v>
      </c>
      <c r="D195" s="191">
        <f t="shared" si="11"/>
        <v>2002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100</v>
      </c>
      <c r="B196" s="193">
        <f>'Données projet'!D184</f>
        <v>223</v>
      </c>
      <c r="C196" s="206">
        <f>225*'Données projet'!E184+13.8*('Données projet'!F184+'Données projet'!G186)+10*'Données projet'!H184</f>
        <v>182</v>
      </c>
      <c r="D196" s="191">
        <f t="shared" si="11"/>
        <v>40586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>Erable sycomore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>
        <v>2288</v>
      </c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10</v>
      </c>
      <c r="B209" s="193">
        <f>'Données projet'!D192</f>
        <v>0</v>
      </c>
      <c r="C209" s="206">
        <f>60*'Données projet'!E192+13.8*('Données projet'!F192+'Données projet'!G192)+10*'Données projet'!H192</f>
        <v>10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15</v>
      </c>
      <c r="B210" s="193">
        <f>'Données projet'!D193</f>
        <v>32</v>
      </c>
      <c r="C210" s="206">
        <f>60*'Données projet'!E193+13.8*('Données projet'!F193+'Données projet'!G193)+10*'Données projet'!H193</f>
        <v>20</v>
      </c>
      <c r="D210" s="191">
        <f t="shared" ref="D210:D228" si="12">B210*C210</f>
        <v>640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20</v>
      </c>
      <c r="B211" s="193">
        <f>'Données projet'!D194</f>
        <v>35</v>
      </c>
      <c r="C211" s="206">
        <f>60*'Données projet'!E194+13.8*('Données projet'!F194+'Données projet'!G194)+10*'Données projet'!H194</f>
        <v>20</v>
      </c>
      <c r="D211" s="191">
        <f t="shared" si="12"/>
        <v>700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25</v>
      </c>
      <c r="B212" s="193">
        <f>'Données projet'!D195</f>
        <v>35</v>
      </c>
      <c r="C212" s="206">
        <f>60*'Données projet'!E195+13.8*('Données projet'!F195+'Données projet'!G195)+10*'Données projet'!H195</f>
        <v>25</v>
      </c>
      <c r="D212" s="191">
        <f t="shared" si="12"/>
        <v>875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30</v>
      </c>
      <c r="B213" s="193">
        <f>'Données projet'!D196</f>
        <v>35</v>
      </c>
      <c r="C213" s="206">
        <f>60*'Données projet'!E196+13.8*('Données projet'!F196+'Données projet'!G196)+10*'Données projet'!H196</f>
        <v>25</v>
      </c>
      <c r="D213" s="191">
        <f t="shared" si="12"/>
        <v>875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35</v>
      </c>
      <c r="B214" s="193">
        <f>'Données projet'!D197</f>
        <v>35</v>
      </c>
      <c r="C214" s="206">
        <f>60*'Données projet'!E197+13.8*('Données projet'!F197+'Données projet'!G197)+10*'Données projet'!H197</f>
        <v>30</v>
      </c>
      <c r="D214" s="191">
        <f t="shared" si="12"/>
        <v>1050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40</v>
      </c>
      <c r="B215" s="193">
        <f>'Données projet'!D198</f>
        <v>35</v>
      </c>
      <c r="C215" s="206">
        <f>60*'Données projet'!E198+13.8*('Données projet'!F198+'Données projet'!G198)+10*'Données projet'!H198</f>
        <v>30</v>
      </c>
      <c r="D215" s="191">
        <f t="shared" si="12"/>
        <v>1050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45</v>
      </c>
      <c r="B216" s="193">
        <f>'Données projet'!D199</f>
        <v>24</v>
      </c>
      <c r="C216" s="206">
        <f>60*'Données projet'!E199+13.8*('Données projet'!F199+'Données projet'!G199)+10*'Données projet'!H199</f>
        <v>35</v>
      </c>
      <c r="D216" s="191">
        <f t="shared" si="12"/>
        <v>840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50</v>
      </c>
      <c r="B217" s="193">
        <f>'Données projet'!D200</f>
        <v>19</v>
      </c>
      <c r="C217" s="206">
        <f>60*'Données projet'!E200+13.8*('Données projet'!F200+'Données projet'!G200)+10*'Données projet'!H200</f>
        <v>35</v>
      </c>
      <c r="D217" s="191">
        <f t="shared" si="12"/>
        <v>665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55</v>
      </c>
      <c r="B218" s="193">
        <f>'Données projet'!D201</f>
        <v>16</v>
      </c>
      <c r="C218" s="206">
        <f>60*'Données projet'!E201+13.8*('Données projet'!F201+'Données projet'!G201)+10*'Données projet'!H201</f>
        <v>40</v>
      </c>
      <c r="D218" s="191">
        <f t="shared" si="12"/>
        <v>640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60</v>
      </c>
      <c r="B219" s="193">
        <f>'Données projet'!D202</f>
        <v>14</v>
      </c>
      <c r="C219" s="206">
        <f>60*'Données projet'!E202+13.8*('Données projet'!F202+'Données projet'!G202)+10*'Données projet'!H202</f>
        <v>40</v>
      </c>
      <c r="D219" s="191">
        <f t="shared" si="12"/>
        <v>560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65</v>
      </c>
      <c r="B220" s="193">
        <f>'Données projet'!D203</f>
        <v>13</v>
      </c>
      <c r="C220" s="206">
        <f>60*'Données projet'!E203+13.8*('Données projet'!F203+'Données projet'!G203)+10*'Données projet'!H203</f>
        <v>45</v>
      </c>
      <c r="D220" s="191">
        <f t="shared" si="12"/>
        <v>585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70</v>
      </c>
      <c r="B221" s="193">
        <f>'Données projet'!D204</f>
        <v>13</v>
      </c>
      <c r="C221" s="206">
        <f>60*'Données projet'!E204+13.8*('Données projet'!F204+'Données projet'!G204)+10*'Données projet'!H204</f>
        <v>45</v>
      </c>
      <c r="D221" s="191">
        <f t="shared" si="12"/>
        <v>585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75</v>
      </c>
      <c r="B222" s="193">
        <f>'Données projet'!D205</f>
        <v>12</v>
      </c>
      <c r="C222" s="206">
        <f>60*'Données projet'!E205+13.8*('Données projet'!F205+'Données projet'!G205)+10*'Données projet'!H205</f>
        <v>50</v>
      </c>
      <c r="D222" s="191">
        <f t="shared" si="12"/>
        <v>600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80</v>
      </c>
      <c r="B223" s="193">
        <f>'Données projet'!D206</f>
        <v>330</v>
      </c>
      <c r="C223" s="206">
        <f>60*'Données projet'!E206+13.8*('Données projet'!F206+'Données projet'!G206)+10*'Données projet'!H206</f>
        <v>50</v>
      </c>
      <c r="D223" s="191">
        <f t="shared" si="12"/>
        <v>16500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60*'Données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60*'Données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60*'Données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60*'Données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60*'Données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>Aulne glutineux</v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>
        <v>1703</v>
      </c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10</v>
      </c>
      <c r="B240" s="193">
        <f>'Données projet'!D218</f>
        <v>1</v>
      </c>
      <c r="C240" s="206">
        <f>40*'Données projet'!E218+13.8*('Données projet'!F218+'Données projet'!G218)+10*'Données projet'!H218</f>
        <v>10</v>
      </c>
      <c r="D240" s="191">
        <f>B240*C240</f>
        <v>10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15</v>
      </c>
      <c r="B241" s="193">
        <f>'Données projet'!D219</f>
        <v>4</v>
      </c>
      <c r="C241" s="206">
        <f>40*'Données projet'!E219+13.8*('Données projet'!F219+'Données projet'!G219)+10*'Données projet'!H219</f>
        <v>10</v>
      </c>
      <c r="D241" s="191">
        <f t="shared" ref="D241:D259" si="13">B241*C241</f>
        <v>40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20</v>
      </c>
      <c r="B242" s="193">
        <f>'Données projet'!D220</f>
        <v>10</v>
      </c>
      <c r="C242" s="206">
        <f>40*'Données projet'!E220+13.8*('Données projet'!F220+'Données projet'!G220)+10*'Données projet'!H220</f>
        <v>10</v>
      </c>
      <c r="D242" s="191">
        <f t="shared" si="13"/>
        <v>100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25</v>
      </c>
      <c r="B243" s="193">
        <f>'Données projet'!D221</f>
        <v>21</v>
      </c>
      <c r="C243" s="206">
        <f>40*'Données projet'!E221+13.8*('Données projet'!F221+'Données projet'!G221)+10*'Données projet'!H221</f>
        <v>10</v>
      </c>
      <c r="D243" s="191">
        <f t="shared" si="13"/>
        <v>210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30</v>
      </c>
      <c r="B244" s="193">
        <f>'Données projet'!D222</f>
        <v>23</v>
      </c>
      <c r="C244" s="206">
        <f>40*'Données projet'!E222+13.8*('Données projet'!F222+'Données projet'!G222)+10*'Données projet'!H222</f>
        <v>16</v>
      </c>
      <c r="D244" s="191">
        <f t="shared" si="13"/>
        <v>368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35</v>
      </c>
      <c r="B245" s="193">
        <f>'Données projet'!D223</f>
        <v>25</v>
      </c>
      <c r="C245" s="206">
        <f>40*'Données projet'!E223+13.8*('Données projet'!F223+'Données projet'!G223)+10*'Données projet'!H223</f>
        <v>16</v>
      </c>
      <c r="D245" s="191">
        <f t="shared" si="13"/>
        <v>400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40</v>
      </c>
      <c r="B246" s="193">
        <f>'Données projet'!D224</f>
        <v>25</v>
      </c>
      <c r="C246" s="206">
        <f>40*'Données projet'!E224+13.8*('Données projet'!F224+'Données projet'!G224)+10*'Données projet'!H224</f>
        <v>19</v>
      </c>
      <c r="D246" s="191">
        <f t="shared" si="13"/>
        <v>475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45</v>
      </c>
      <c r="B247" s="193">
        <f>'Données projet'!D225</f>
        <v>25</v>
      </c>
      <c r="C247" s="206">
        <f>40*'Données projet'!E225+13.8*('Données projet'!F225+'Données projet'!G225)+10*'Données projet'!H225</f>
        <v>19</v>
      </c>
      <c r="D247" s="191">
        <f t="shared" si="13"/>
        <v>475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50</v>
      </c>
      <c r="B248" s="193">
        <f>'Données projet'!D226</f>
        <v>24</v>
      </c>
      <c r="C248" s="206">
        <f>40*'Données projet'!E226+13.8*('Données projet'!F226+'Données projet'!G226)+10*'Données projet'!H226</f>
        <v>22</v>
      </c>
      <c r="D248" s="191">
        <f t="shared" si="13"/>
        <v>528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55</v>
      </c>
      <c r="B249" s="193">
        <f>'Données projet'!D227</f>
        <v>23</v>
      </c>
      <c r="C249" s="206">
        <f>40*'Données projet'!E227+13.8*('Données projet'!F227+'Données projet'!G227)+10*'Données projet'!H227</f>
        <v>22</v>
      </c>
      <c r="D249" s="191">
        <f t="shared" si="13"/>
        <v>506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60</v>
      </c>
      <c r="B250" s="193">
        <f>'Données projet'!D228</f>
        <v>22</v>
      </c>
      <c r="C250" s="206">
        <f>40*'Données projet'!E228+13.8*('Données projet'!F228+'Données projet'!G228)+10*'Données projet'!H228</f>
        <v>25</v>
      </c>
      <c r="D250" s="191">
        <f t="shared" si="13"/>
        <v>550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65</v>
      </c>
      <c r="B251" s="193">
        <f>'Données projet'!D229</f>
        <v>20</v>
      </c>
      <c r="C251" s="206">
        <f>40*'Données projet'!E229+13.8*('Données projet'!F229+'Données projet'!G229)+10*'Données projet'!H229</f>
        <v>25</v>
      </c>
      <c r="D251" s="191">
        <f t="shared" si="13"/>
        <v>500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70</v>
      </c>
      <c r="B252" s="193">
        <f>'Données projet'!D230</f>
        <v>19</v>
      </c>
      <c r="C252" s="206">
        <f>40*'Données projet'!E230+13.8*('Données projet'!F230+'Données projet'!G230)+10*'Données projet'!H230</f>
        <v>28</v>
      </c>
      <c r="D252" s="191">
        <f t="shared" si="13"/>
        <v>532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75</v>
      </c>
      <c r="B253" s="193">
        <f>'Données projet'!D231</f>
        <v>18</v>
      </c>
      <c r="C253" s="206">
        <f>40*'Données projet'!E231+13.8*('Données projet'!F231+'Données projet'!G231)+10*'Données projet'!H231</f>
        <v>28</v>
      </c>
      <c r="D253" s="191">
        <f t="shared" si="13"/>
        <v>504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80</v>
      </c>
      <c r="B254" s="193">
        <f>'Données projet'!D232</f>
        <v>16</v>
      </c>
      <c r="C254" s="206">
        <f>40*'Données projet'!E232+13.8*('Données projet'!F232+'Données projet'!G232)+10*'Données projet'!H232</f>
        <v>31</v>
      </c>
      <c r="D254" s="191">
        <f t="shared" si="13"/>
        <v>496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85</v>
      </c>
      <c r="B255" s="193">
        <f>'Données projet'!D233</f>
        <v>15</v>
      </c>
      <c r="C255" s="206">
        <f>40*'Données projet'!E233+13.8*('Données projet'!F233+'Données projet'!G233)+10*'Données projet'!H233</f>
        <v>31</v>
      </c>
      <c r="D255" s="191">
        <f t="shared" si="13"/>
        <v>465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90</v>
      </c>
      <c r="B256" s="193">
        <f>'Données projet'!D234</f>
        <v>250</v>
      </c>
      <c r="C256" s="206">
        <f>40*'Données projet'!E234+13.8*('Données projet'!F234+'Données projet'!G234)+10*'Données projet'!H234</f>
        <v>34</v>
      </c>
      <c r="D256" s="191">
        <f t="shared" si="13"/>
        <v>8500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40*'Données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40*'Données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40*'Données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/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2025-01-13T13:39:32Z</dcterms:modified>
</cp:coreProperties>
</file>