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ili\Documents\Forêt\Atmosylva\Projets forestiers\Gregory Restoy\Projets Label Bas Carbone\Morganx Sabatou\Dossier définitif\"/>
    </mc:Choice>
  </mc:AlternateContent>
  <xr:revisionPtr revIDLastSave="0" documentId="13_ncr:1_{FDAA327E-CDF0-498C-8FC7-B16DDA39E6D6}" xr6:coauthVersionLast="47" xr6:coauthVersionMax="47" xr10:uidLastSave="{00000000-0000-0000-0000-000000000000}"/>
  <bookViews>
    <workbookView xWindow="-204" yWindow="0" windowWidth="15300" windowHeight="11976" tabRatio="866" firstSheet="2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32" i="6"/>
  <c r="E31" i="6"/>
  <c r="E30" i="6"/>
  <c r="E29" i="6"/>
  <c r="E28" i="6"/>
  <c r="E27" i="6"/>
  <c r="E26" i="6"/>
  <c r="E25" i="6"/>
  <c r="E24" i="6"/>
  <c r="E23" i="6"/>
  <c r="B128" i="1" l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B68" i="1"/>
  <c r="B67" i="1"/>
  <c r="B66" i="1"/>
  <c r="B65" i="1"/>
  <c r="B64" i="1"/>
  <c r="B63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E152" i="6" s="1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E124" i="6" s="1"/>
  <c r="D125" i="6"/>
  <c r="E125" i="6" s="1"/>
  <c r="D126" i="6"/>
  <c r="E126" i="6" s="1"/>
  <c r="D127" i="6"/>
  <c r="E127" i="6" s="1"/>
  <c r="D128" i="6"/>
  <c r="E128" i="6" s="1"/>
  <c r="D129" i="6"/>
  <c r="E129" i="6" s="1"/>
  <c r="D130" i="6"/>
  <c r="E130" i="6" s="1"/>
  <c r="D131" i="6"/>
  <c r="D132" i="6"/>
  <c r="D133" i="6"/>
  <c r="D134" i="6"/>
  <c r="D135" i="6"/>
  <c r="D116" i="6"/>
  <c r="E116" i="6" s="1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FR4" i="2"/>
  <c r="BQ4" i="2"/>
  <c r="BR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C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A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EB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HH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HI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HG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HI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H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R202" i="2" l="1"/>
  <c r="HI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47" i="2" a="1"/>
  <c r="BC47" i="2" s="1"/>
  <c r="BC82" i="2" a="1"/>
  <c r="BC82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CS77" i="2" l="1" a="1"/>
  <c r="CS77" i="2" s="1"/>
  <c r="BC65" i="2" a="1"/>
  <c r="BC65" i="2" s="1"/>
  <c r="BC83" i="2" a="1"/>
  <c r="BC83" i="2" s="1"/>
  <c r="BC114" i="2" a="1"/>
  <c r="BC114" i="2" s="1"/>
  <c r="BC151" i="2" a="1"/>
  <c r="BC151" i="2" s="1"/>
  <c r="BC126" i="2" a="1"/>
  <c r="BC126" i="2" s="1"/>
  <c r="DN29" i="2" a="1"/>
  <c r="DN29" i="2" s="1"/>
  <c r="DN177" i="2" a="1"/>
  <c r="DN177" i="2" s="1"/>
  <c r="FY140" i="2" a="1"/>
  <c r="FY140" i="2" s="1"/>
  <c r="FY28" i="2" a="1"/>
  <c r="FY28" i="2" s="1"/>
  <c r="CS105" i="2" a="1"/>
  <c r="CS105" i="2" s="1"/>
  <c r="DN188" i="2" a="1"/>
  <c r="DN188" i="2" s="1"/>
  <c r="DN30" i="2" a="1"/>
  <c r="DN30" i="2" s="1"/>
  <c r="FY126" i="2" a="1"/>
  <c r="FY126" i="2" s="1"/>
  <c r="FY109" i="2" a="1"/>
  <c r="FY109" i="2" s="1"/>
  <c r="FY86" i="2" a="1"/>
  <c r="FY86" i="2" s="1"/>
  <c r="DN43" i="2" a="1"/>
  <c r="DN43" i="2" s="1"/>
  <c r="FY164" i="2" a="1"/>
  <c r="FY164" i="2" s="1"/>
  <c r="FY79" i="2" a="1"/>
  <c r="FY79" i="2" s="1"/>
  <c r="FY58" i="2" a="1"/>
  <c r="FY58" i="2" s="1"/>
  <c r="FY47" i="2" a="1"/>
  <c r="FY47" i="2" s="1"/>
  <c r="DN137" i="2" a="1"/>
  <c r="DN137" i="2" s="1"/>
  <c r="FY78" i="2" a="1"/>
  <c r="FY78" i="2" s="1"/>
  <c r="DN135" i="2" a="1"/>
  <c r="DN135" i="2" s="1"/>
  <c r="DN170" i="2" a="1"/>
  <c r="DN170" i="2" s="1"/>
  <c r="CS129" i="2" a="1"/>
  <c r="CS129" i="2" s="1"/>
  <c r="FY124" i="2" a="1"/>
  <c r="FY124" i="2" s="1"/>
  <c r="FY174" i="2" a="1"/>
  <c r="FY174" i="2" s="1"/>
  <c r="FY110" i="2" a="1"/>
  <c r="FY110" i="2" s="1"/>
  <c r="FY165" i="2" a="1"/>
  <c r="FY165" i="2" s="1"/>
  <c r="DN133" i="2" a="1"/>
  <c r="DN133" i="2" s="1"/>
  <c r="DN38" i="2" a="1"/>
  <c r="DN38" i="2" s="1"/>
  <c r="BC32" i="2" a="1"/>
  <c r="BC32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FY159" i="2" a="1"/>
  <c r="FY159" i="2" s="1"/>
  <c r="DN186" i="2" a="1"/>
  <c r="DN186" i="2" s="1"/>
  <c r="FY143" i="2" a="1"/>
  <c r="FY143" i="2" s="1"/>
  <c r="DN164" i="2" a="1"/>
  <c r="DN164" i="2" s="1"/>
  <c r="FY121" i="2" a="1"/>
  <c r="FY121" i="2" s="1"/>
  <c r="FY35" i="2" a="1"/>
  <c r="FY35" i="2" s="1"/>
  <c r="DN190" i="2" a="1"/>
  <c r="DN190" i="2" s="1"/>
  <c r="DN65" i="2" a="1"/>
  <c r="DN65" i="2" s="1"/>
  <c r="DN124" i="2" a="1"/>
  <c r="DN124" i="2" s="1"/>
  <c r="CS56" i="2" a="1"/>
  <c r="CS56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67" i="2" a="1"/>
  <c r="DN167" i="2" s="1"/>
  <c r="DN16" i="2" a="1"/>
  <c r="DN16" i="2" s="1"/>
  <c r="FY115" i="2" a="1"/>
  <c r="FY115" i="2" s="1"/>
  <c r="DN41" i="2" a="1"/>
  <c r="DN41" i="2" s="1"/>
  <c r="FY34" i="2" a="1"/>
  <c r="FY34" i="2" s="1"/>
  <c r="FY133" i="2" a="1"/>
  <c r="FY133" i="2" s="1"/>
  <c r="DN46" i="2" a="1"/>
  <c r="DN46" i="2" s="1"/>
  <c r="DN114" i="2" a="1"/>
  <c r="DN114" i="2" s="1"/>
  <c r="FY188" i="2" a="1"/>
  <c r="FY188" i="2" s="1"/>
  <c r="DN103" i="2" a="1"/>
  <c r="DN103" i="2" s="1"/>
  <c r="FY29" i="2" a="1"/>
  <c r="FY29" i="2" s="1"/>
  <c r="DN176" i="2" a="1"/>
  <c r="DN176" i="2" s="1"/>
  <c r="DN153" i="2" a="1"/>
  <c r="DN153" i="2" s="1"/>
  <c r="FY24" i="2" a="1"/>
  <c r="FY24" i="2" s="1"/>
  <c r="FY191" i="2" a="1"/>
  <c r="FY191" i="2" s="1"/>
  <c r="DN187" i="2" a="1"/>
  <c r="DN187" i="2" s="1"/>
  <c r="CS137" i="2" a="1"/>
  <c r="CS137" i="2" s="1"/>
  <c r="CS114" i="2" a="1"/>
  <c r="CS114" i="2" s="1"/>
  <c r="CS120" i="2" a="1"/>
  <c r="CS120" i="2" s="1"/>
  <c r="FY80" i="2" a="1"/>
  <c r="FY80" i="2" s="1"/>
  <c r="DN50" i="2" a="1"/>
  <c r="DN50" i="2" s="1"/>
  <c r="FY116" i="2" a="1"/>
  <c r="FY116" i="2" s="1"/>
  <c r="FY32" i="2" a="1"/>
  <c r="FY32" i="2" s="1"/>
  <c r="CS72" i="2" a="1"/>
  <c r="CS72" i="2" s="1"/>
  <c r="DN45" i="2" a="1"/>
  <c r="DN45" i="2" s="1"/>
  <c r="DN80" i="2" a="1"/>
  <c r="DN80" i="2" s="1"/>
  <c r="BC18" i="2" a="1"/>
  <c r="BC18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86" i="2" a="1"/>
  <c r="DN86" i="2" s="1"/>
  <c r="FY173" i="2" a="1"/>
  <c r="FY173" i="2" s="1"/>
  <c r="DN162" i="2" a="1"/>
  <c r="DN162" i="2" s="1"/>
  <c r="DN49" i="2" a="1"/>
  <c r="DN49" i="2" s="1"/>
  <c r="DN115" i="2" a="1"/>
  <c r="DN115" i="2" s="1"/>
  <c r="FY149" i="2" a="1"/>
  <c r="FY149" i="2" s="1"/>
  <c r="FY167" i="2" a="1"/>
  <c r="FY167" i="2" s="1"/>
  <c r="BX107" i="2" a="1"/>
  <c r="BX107" i="2" s="1"/>
  <c r="AH163" i="2" a="1"/>
  <c r="AH163" i="2" s="1"/>
  <c r="FY62" i="2" a="1"/>
  <c r="FY62" i="2" s="1"/>
  <c r="FY102" i="2" a="1"/>
  <c r="FY102" i="2" s="1"/>
  <c r="FS203" i="2"/>
  <c r="DN70" i="2" a="1"/>
  <c r="DN70" i="2" s="1"/>
  <c r="DN55" i="2" a="1"/>
  <c r="DN55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<sst xmlns="http://schemas.openxmlformats.org/spreadsheetml/2006/main" count="1174" uniqueCount="324">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</sst>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2.1256851100259295</c:v>
                </c:pt>
                <c:pt idx="2">
                  <c:v>2.9140503526868642</c:v>
                </c:pt>
                <c:pt idx="3">
                  <c:v>3.9960473430961501</c:v>
                </c:pt>
                <c:pt idx="4">
                  <c:v>5.4814780609116633</c:v>
                </c:pt>
                <c:pt idx="5">
                  <c:v>7.5213568841987488</c:v>
                </c:pt>
                <c:pt idx="6">
                  <c:v>10.323432047186067</c:v>
                </c:pt>
                <c:pt idx="7">
                  <c:v>14.17357118616175</c:v>
                </c:pt>
                <c:pt idx="8">
                  <c:v>19.465232803056271</c:v>
                </c:pt>
                <c:pt idx="9">
                  <c:v>26.74008948403517</c:v>
                </c:pt>
                <c:pt idx="10">
                  <c:v>36.744034081680489</c:v>
                </c:pt>
                <c:pt idx="11">
                  <c:v>50.504409422732664</c:v>
                </c:pt>
                <c:pt idx="12">
                  <c:v>69.436524931276054</c:v>
                </c:pt>
                <c:pt idx="13">
                  <c:v>95.490594174196474</c:v>
                </c:pt>
                <c:pt idx="14">
                  <c:v>131.35446970954578</c:v>
                </c:pt>
                <c:pt idx="15">
                  <c:v>126.12965241438131</c:v>
                </c:pt>
                <c:pt idx="16">
                  <c:v>133.76923630828176</c:v>
                </c:pt>
                <c:pt idx="17">
                  <c:v>154.80704360145447</c:v>
                </c:pt>
                <c:pt idx="18">
                  <c:v>163.05967245327145</c:v>
                </c:pt>
                <c:pt idx="19">
                  <c:v>184.65292865116098</c:v>
                </c:pt>
                <c:pt idx="20">
                  <c:v>190.15495553136066</c:v>
                </c:pt>
                <c:pt idx="21">
                  <c:v>210.51339559418258</c:v>
                </c:pt>
                <c:pt idx="22">
                  <c:v>214.57947477304381</c:v>
                </c:pt>
                <c:pt idx="23">
                  <c:v>236.30054645178791</c:v>
                </c:pt>
                <c:pt idx="24">
                  <c:v>239.32616859353413</c:v>
                </c:pt>
                <c:pt idx="25">
                  <c:v>259.45388286365005</c:v>
                </c:pt>
                <c:pt idx="26">
                  <c:v>260.35331661829406</c:v>
                </c:pt>
                <c:pt idx="27">
                  <c:v>279.99529541960356</c:v>
                </c:pt>
                <c:pt idx="28">
                  <c:v>277.23707077652398</c:v>
                </c:pt>
                <c:pt idx="29">
                  <c:v>295.37903204669743</c:v>
                </c:pt>
                <c:pt idx="30">
                  <c:v>299.82251803603532</c:v>
                </c:pt>
                <c:pt idx="31">
                  <c:v>320.51579887332747</c:v>
                </c:pt>
                <c:pt idx="32">
                  <c:v>341.17952689868298</c:v>
                </c:pt>
                <c:pt idx="33">
                  <c:v>361.81574283863034</c:v>
                </c:pt>
                <c:pt idx="34">
                  <c:v>382.4262357010553</c:v>
                </c:pt>
                <c:pt idx="35">
                  <c:v>403.01258599738139</c:v>
                </c:pt>
                <c:pt idx="36">
                  <c:v>423.57619966963148</c:v>
                </c:pt>
                <c:pt idx="37">
                  <c:v>444.11833508448689</c:v>
                </c:pt>
                <c:pt idx="38">
                  <c:v>464.64012477258478</c:v>
                </c:pt>
                <c:pt idx="39">
                  <c:v>485.14259312743758</c:v>
                </c:pt>
                <c:pt idx="40">
                  <c:v>505.62667095726755</c:v>
                </c:pt>
                <c:pt idx="41">
                  <c:v>526.09320755666738</c:v>
                </c:pt>
                <c:pt idx="42">
                  <c:v>546.54298080272645</c:v>
                </c:pt>
                <c:pt idx="43">
                  <c:v>566.97670566218278</c:v>
                </c:pt>
                <c:pt idx="44">
                  <c:v>587.39504140905149</c:v>
                </c:pt>
                <c:pt idx="45">
                  <c:v>607.79859778709647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592.45948058080216</c:v>
                </c:pt>
                <c:pt idx="117">
                  <c:v>600.16297452894207</c:v>
                </c:pt>
                <c:pt idx="118">
                  <c:v>607.86441342813634</c:v>
                </c:pt>
                <c:pt idx="119">
                  <c:v>615.56382698883374</c:v>
                </c:pt>
                <c:pt idx="120">
                  <c:v>623.26124411759099</c:v>
                </c:pt>
                <c:pt idx="121">
                  <c:v>586.89455079472953</c:v>
                </c:pt>
                <c:pt idx="122">
                  <c:v>586.89455079472953</c:v>
                </c:pt>
                <c:pt idx="123">
                  <c:v>586.89455079472953</c:v>
                </c:pt>
                <c:pt idx="124">
                  <c:v>586.89455079472953</c:v>
                </c:pt>
                <c:pt idx="125">
                  <c:v>586.89455079472953</c:v>
                </c:pt>
                <c:pt idx="126">
                  <c:v>586.89455079472953</c:v>
                </c:pt>
                <c:pt idx="127">
                  <c:v>586.89455079472953</c:v>
                </c:pt>
                <c:pt idx="128">
                  <c:v>586.89455079472953</c:v>
                </c:pt>
                <c:pt idx="129">
                  <c:v>586.89455079472953</c:v>
                </c:pt>
                <c:pt idx="130">
                  <c:v>586.89455079472953</c:v>
                </c:pt>
                <c:pt idx="131">
                  <c:v>586.89455079472953</c:v>
                </c:pt>
                <c:pt idx="132">
                  <c:v>586.89455079472953</c:v>
                </c:pt>
                <c:pt idx="133">
                  <c:v>586.89455079472953</c:v>
                </c:pt>
                <c:pt idx="134">
                  <c:v>586.89455079472953</c:v>
                </c:pt>
                <c:pt idx="135">
                  <c:v>586.89455079472953</c:v>
                </c:pt>
                <c:pt idx="136">
                  <c:v>586.89455079472953</c:v>
                </c:pt>
                <c:pt idx="137">
                  <c:v>586.89455079472953</c:v>
                </c:pt>
                <c:pt idx="138">
                  <c:v>586.89455079472953</c:v>
                </c:pt>
                <c:pt idx="139">
                  <c:v>586.89455079472953</c:v>
                </c:pt>
                <c:pt idx="140">
                  <c:v>586.89455079472953</c:v>
                </c:pt>
                <c:pt idx="141">
                  <c:v>586.89455079472953</c:v>
                </c:pt>
                <c:pt idx="142">
                  <c:v>586.89455079472953</c:v>
                </c:pt>
                <c:pt idx="143">
                  <c:v>586.89455079472953</c:v>
                </c:pt>
                <c:pt idx="144">
                  <c:v>586.89455079472953</c:v>
                </c:pt>
                <c:pt idx="145">
                  <c:v>586.89455079472953</c:v>
                </c:pt>
                <c:pt idx="146">
                  <c:v>586.89455079472953</c:v>
                </c:pt>
                <c:pt idx="147">
                  <c:v>586.89455079472953</c:v>
                </c:pt>
                <c:pt idx="148">
                  <c:v>586.89455079472953</c:v>
                </c:pt>
                <c:pt idx="149">
                  <c:v>586.89455079472953</c:v>
                </c:pt>
                <c:pt idx="150">
                  <c:v>586.89455079472953</c:v>
                </c:pt>
                <c:pt idx="151">
                  <c:v>586.89455079472953</c:v>
                </c:pt>
                <c:pt idx="152">
                  <c:v>586.89455079472953</c:v>
                </c:pt>
                <c:pt idx="153">
                  <c:v>586.89455079472953</c:v>
                </c:pt>
                <c:pt idx="154">
                  <c:v>586.89455079472953</c:v>
                </c:pt>
                <c:pt idx="155">
                  <c:v>586.89455079472953</c:v>
                </c:pt>
                <c:pt idx="156">
                  <c:v>586.89455079472953</c:v>
                </c:pt>
                <c:pt idx="157">
                  <c:v>586.89455079472953</c:v>
                </c:pt>
                <c:pt idx="158">
                  <c:v>586.89455079472953</c:v>
                </c:pt>
                <c:pt idx="159">
                  <c:v>586.89455079472953</c:v>
                </c:pt>
                <c:pt idx="160">
                  <c:v>586.89455079472953</c:v>
                </c:pt>
                <c:pt idx="161">
                  <c:v>586.89455079472953</c:v>
                </c:pt>
                <c:pt idx="162">
                  <c:v>586.89455079472953</c:v>
                </c:pt>
                <c:pt idx="163">
                  <c:v>586.89455079472953</c:v>
                </c:pt>
                <c:pt idx="164">
                  <c:v>586.89455079472953</c:v>
                </c:pt>
                <c:pt idx="165">
                  <c:v>586.89455079472953</c:v>
                </c:pt>
                <c:pt idx="166">
                  <c:v>586.89455079472953</c:v>
                </c:pt>
                <c:pt idx="167">
                  <c:v>586.89455079472953</c:v>
                </c:pt>
                <c:pt idx="168">
                  <c:v>586.89455079472953</c:v>
                </c:pt>
                <c:pt idx="169">
                  <c:v>586.89455079472953</c:v>
                </c:pt>
                <c:pt idx="170">
                  <c:v>586.89455079472953</c:v>
                </c:pt>
                <c:pt idx="171">
                  <c:v>586.89455079472953</c:v>
                </c:pt>
                <c:pt idx="172">
                  <c:v>586.89455079472953</c:v>
                </c:pt>
                <c:pt idx="173">
                  <c:v>586.89455079472953</c:v>
                </c:pt>
                <c:pt idx="174">
                  <c:v>586.89455079472953</c:v>
                </c:pt>
                <c:pt idx="175">
                  <c:v>586.89455079472953</c:v>
                </c:pt>
                <c:pt idx="176">
                  <c:v>586.89455079472953</c:v>
                </c:pt>
                <c:pt idx="177">
                  <c:v>586.89455079472953</c:v>
                </c:pt>
                <c:pt idx="178">
                  <c:v>586.89455079472953</c:v>
                </c:pt>
                <c:pt idx="179">
                  <c:v>586.89455079472953</c:v>
                </c:pt>
                <c:pt idx="180">
                  <c:v>586.89455079472953</c:v>
                </c:pt>
                <c:pt idx="181">
                  <c:v>586.89455079472953</c:v>
                </c:pt>
                <c:pt idx="182">
                  <c:v>586.89455079472953</c:v>
                </c:pt>
                <c:pt idx="183">
                  <c:v>586.89455079472953</c:v>
                </c:pt>
                <c:pt idx="184">
                  <c:v>586.89455079472953</c:v>
                </c:pt>
                <c:pt idx="185">
                  <c:v>586.89455079472953</c:v>
                </c:pt>
                <c:pt idx="186">
                  <c:v>586.89455079472953</c:v>
                </c:pt>
                <c:pt idx="187">
                  <c:v>586.89455079472953</c:v>
                </c:pt>
                <c:pt idx="188">
                  <c:v>586.89455079472953</c:v>
                </c:pt>
                <c:pt idx="189">
                  <c:v>586.89455079472953</c:v>
                </c:pt>
                <c:pt idx="190">
                  <c:v>586.89455079472953</c:v>
                </c:pt>
                <c:pt idx="191">
                  <c:v>586.89455079472953</c:v>
                </c:pt>
                <c:pt idx="192">
                  <c:v>586.89455079472953</c:v>
                </c:pt>
                <c:pt idx="193">
                  <c:v>586.89455079472953</c:v>
                </c:pt>
                <c:pt idx="194">
                  <c:v>586.89455079472953</c:v>
                </c:pt>
                <c:pt idx="195">
                  <c:v>586.89455079472953</c:v>
                </c:pt>
                <c:pt idx="196">
                  <c:v>586.89455079472953</c:v>
                </c:pt>
                <c:pt idx="197">
                  <c:v>586.89455079472953</c:v>
                </c:pt>
                <c:pt idx="198">
                  <c:v>586.89455079472953</c:v>
                </c:pt>
                <c:pt idx="199">
                  <c:v>586.89455079472953</c:v>
                </c:pt>
                <c:pt idx="200">
                  <c:v>586.89455079472953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3.1448827526014789</c:v>
                </c:pt>
                <c:pt idx="2">
                  <c:v>4.0783538994547595</c:v>
                </c:pt>
                <c:pt idx="3">
                  <c:v>5.2900001998470128</c:v>
                </c:pt>
                <c:pt idx="4">
                  <c:v>6.8630264169854067</c:v>
                </c:pt>
                <c:pt idx="5">
                  <c:v>8.9056107073051347</c:v>
                </c:pt>
                <c:pt idx="6">
                  <c:v>11.558424170388015</c:v>
                </c:pt>
                <c:pt idx="7">
                  <c:v>15.004421189528943</c:v>
                </c:pt>
                <c:pt idx="8">
                  <c:v>19.481588140849077</c:v>
                </c:pt>
                <c:pt idx="9">
                  <c:v>25.299546747201394</c:v>
                </c:pt>
                <c:pt idx="10">
                  <c:v>32.861180535774103</c:v>
                </c:pt>
                <c:pt idx="11">
                  <c:v>42.690807874706756</c:v>
                </c:pt>
                <c:pt idx="12">
                  <c:v>55.470888171561171</c:v>
                </c:pt>
                <c:pt idx="13">
                  <c:v>72.089851987131979</c:v>
                </c:pt>
                <c:pt idx="14">
                  <c:v>93.704434098445333</c:v>
                </c:pt>
                <c:pt idx="15">
                  <c:v>121.82091713898713</c:v>
                </c:pt>
                <c:pt idx="16">
                  <c:v>119.32266184146289</c:v>
                </c:pt>
                <c:pt idx="17">
                  <c:v>139.69022533269052</c:v>
                </c:pt>
                <c:pt idx="18">
                  <c:v>159.98639323229054</c:v>
                </c:pt>
                <c:pt idx="19">
                  <c:v>180.22150974210368</c:v>
                </c:pt>
                <c:pt idx="20">
                  <c:v>200.40339902760681</c:v>
                </c:pt>
                <c:pt idx="21">
                  <c:v>190.52462490535592</c:v>
                </c:pt>
                <c:pt idx="22">
                  <c:v>211.50356294225205</c:v>
                </c:pt>
                <c:pt idx="23">
                  <c:v>232.43452337580371</c:v>
                </c:pt>
                <c:pt idx="24">
                  <c:v>253.32243416283723</c:v>
                </c:pt>
                <c:pt idx="25">
                  <c:v>274.17134356368149</c:v>
                </c:pt>
                <c:pt idx="26">
                  <c:v>256.18627627912707</c:v>
                </c:pt>
                <c:pt idx="27">
                  <c:v>277.03010943782311</c:v>
                </c:pt>
                <c:pt idx="28">
                  <c:v>297.83874433354407</c:v>
                </c:pt>
                <c:pt idx="29">
                  <c:v>318.61498499805043</c:v>
                </c:pt>
                <c:pt idx="30">
                  <c:v>339.36123992303629</c:v>
                </c:pt>
                <c:pt idx="31">
                  <c:v>316.98658873887399</c:v>
                </c:pt>
                <c:pt idx="32">
                  <c:v>337.32855839291466</c:v>
                </c:pt>
                <c:pt idx="33">
                  <c:v>357.64353127694943</c:v>
                </c:pt>
                <c:pt idx="34">
                  <c:v>377.93325577983637</c:v>
                </c:pt>
                <c:pt idx="35">
                  <c:v>398.19927730859052</c:v>
                </c:pt>
                <c:pt idx="36">
                  <c:v>372.25458524998066</c:v>
                </c:pt>
                <c:pt idx="37">
                  <c:v>390.90615020805762</c:v>
                </c:pt>
                <c:pt idx="38">
                  <c:v>409.53841471156375</c:v>
                </c:pt>
                <c:pt idx="39">
                  <c:v>428.15237998828275</c:v>
                </c:pt>
                <c:pt idx="40">
                  <c:v>446.74895314532552</c:v>
                </c:pt>
                <c:pt idx="41">
                  <c:v>418.44297119801377</c:v>
                </c:pt>
                <c:pt idx="42">
                  <c:v>436.6442259968922</c:v>
                </c:pt>
                <c:pt idx="43">
                  <c:v>454.82920658695576</c:v>
                </c:pt>
                <c:pt idx="44">
                  <c:v>472.99865488119258</c:v>
                </c:pt>
                <c:pt idx="45">
                  <c:v>491.15325117467358</c:v>
                </c:pt>
                <c:pt idx="46">
                  <c:v>460.07972261531557</c:v>
                </c:pt>
                <c:pt idx="47">
                  <c:v>477.43779176321937</c:v>
                </c:pt>
                <c:pt idx="48">
                  <c:v>494.78244415923376</c:v>
                </c:pt>
                <c:pt idx="49">
                  <c:v>512.11421609335616</c:v>
                </c:pt>
                <c:pt idx="50">
                  <c:v>529.43360461515215</c:v>
                </c:pt>
                <c:pt idx="51">
                  <c:v>497.60475956110253</c:v>
                </c:pt>
                <c:pt idx="52">
                  <c:v>514.12872559596747</c:v>
                </c:pt>
                <c:pt idx="53">
                  <c:v>530.64148401823616</c:v>
                </c:pt>
                <c:pt idx="54">
                  <c:v>547.14343251865023</c:v>
                </c:pt>
                <c:pt idx="55">
                  <c:v>563.63494285621744</c:v>
                </c:pt>
                <c:pt idx="56">
                  <c:v>532.65448784339935</c:v>
                </c:pt>
                <c:pt idx="57">
                  <c:v>547.94813569401742</c:v>
                </c:pt>
                <c:pt idx="58">
                  <c:v>563.23283231364178</c:v>
                </c:pt>
                <c:pt idx="59">
                  <c:v>578.50885471155289</c:v>
                </c:pt>
                <c:pt idx="60">
                  <c:v>593.77646408241515</c:v>
                </c:pt>
                <c:pt idx="61">
                  <c:v>562.02646462929238</c:v>
                </c:pt>
                <c:pt idx="62">
                  <c:v>576.49933790299667</c:v>
                </c:pt>
                <c:pt idx="63">
                  <c:v>590.96463046211261</c:v>
                </c:pt>
                <c:pt idx="64">
                  <c:v>605.42255391496565</c:v>
                </c:pt>
                <c:pt idx="65">
                  <c:v>619.87330894420143</c:v>
                </c:pt>
                <c:pt idx="66">
                  <c:v>587.34900624869272</c:v>
                </c:pt>
                <c:pt idx="67">
                  <c:v>601.00562468188161</c:v>
                </c:pt>
                <c:pt idx="68">
                  <c:v>614.65579543478577</c:v>
                </c:pt>
                <c:pt idx="69">
                  <c:v>628.29968180581488</c:v>
                </c:pt>
                <c:pt idx="70">
                  <c:v>641.93743942630658</c:v>
                </c:pt>
                <c:pt idx="71">
                  <c:v>611.04313308566157</c:v>
                </c:pt>
                <c:pt idx="72">
                  <c:v>624.28741708027849</c:v>
                </c:pt>
                <c:pt idx="73">
                  <c:v>637.52588516971218</c:v>
                </c:pt>
                <c:pt idx="74">
                  <c:v>650.75867508421834</c:v>
                </c:pt>
                <c:pt idx="75">
                  <c:v>663.98591849879517</c:v>
                </c:pt>
                <c:pt idx="76">
                  <c:v>632.31141640965473</c:v>
                </c:pt>
                <c:pt idx="77">
                  <c:v>644.74446593869345</c:v>
                </c:pt>
                <c:pt idx="78">
                  <c:v>657.17256877127215</c:v>
                </c:pt>
                <c:pt idx="79">
                  <c:v>669.5958315987308</c:v>
                </c:pt>
                <c:pt idx="80">
                  <c:v>682.01435683249326</c:v>
                </c:pt>
                <c:pt idx="81">
                  <c:v>651.96137901954137</c:v>
                </c:pt>
                <c:pt idx="82">
                  <c:v>663.98591849879517</c:v>
                </c:pt>
                <c:pt idx="83">
                  <c:v>676.00597829271317</c:v>
                </c:pt>
                <c:pt idx="84">
                  <c:v>688.02164924470469</c:v>
                </c:pt>
                <c:pt idx="85">
                  <c:v>700.03301876796502</c:v>
                </c:pt>
                <c:pt idx="86">
                  <c:v>659.9782410038955</c:v>
                </c:pt>
                <c:pt idx="87">
                  <c:v>659.9782410038955</c:v>
                </c:pt>
                <c:pt idx="88">
                  <c:v>659.9782410038955</c:v>
                </c:pt>
                <c:pt idx="89">
                  <c:v>659.9782410038955</c:v>
                </c:pt>
                <c:pt idx="90">
                  <c:v>659.9782410038955</c:v>
                </c:pt>
                <c:pt idx="91">
                  <c:v>659.9782410038955</c:v>
                </c:pt>
                <c:pt idx="92">
                  <c:v>659.9782410038955</c:v>
                </c:pt>
                <c:pt idx="93">
                  <c:v>659.9782410038955</c:v>
                </c:pt>
                <c:pt idx="94">
                  <c:v>659.9782410038955</c:v>
                </c:pt>
                <c:pt idx="95">
                  <c:v>659.9782410038955</c:v>
                </c:pt>
                <c:pt idx="96">
                  <c:v>659.9782410038955</c:v>
                </c:pt>
                <c:pt idx="97">
                  <c:v>659.9782410038955</c:v>
                </c:pt>
                <c:pt idx="98">
                  <c:v>659.9782410038955</c:v>
                </c:pt>
                <c:pt idx="99">
                  <c:v>659.9782410038955</c:v>
                </c:pt>
                <c:pt idx="100">
                  <c:v>659.9782410038955</c:v>
                </c:pt>
                <c:pt idx="101">
                  <c:v>659.9782410038955</c:v>
                </c:pt>
                <c:pt idx="102">
                  <c:v>659.9782410038955</c:v>
                </c:pt>
                <c:pt idx="103">
                  <c:v>659.9782410038955</c:v>
                </c:pt>
                <c:pt idx="104">
                  <c:v>659.9782410038955</c:v>
                </c:pt>
                <c:pt idx="105">
                  <c:v>659.9782410038955</c:v>
                </c:pt>
                <c:pt idx="106">
                  <c:v>659.9782410038955</c:v>
                </c:pt>
                <c:pt idx="107">
                  <c:v>659.9782410038955</c:v>
                </c:pt>
                <c:pt idx="108">
                  <c:v>659.9782410038955</c:v>
                </c:pt>
                <c:pt idx="109">
                  <c:v>659.9782410038955</c:v>
                </c:pt>
                <c:pt idx="110">
                  <c:v>659.9782410038955</c:v>
                </c:pt>
                <c:pt idx="111">
                  <c:v>659.9782410038955</c:v>
                </c:pt>
                <c:pt idx="112">
                  <c:v>659.9782410038955</c:v>
                </c:pt>
                <c:pt idx="113">
                  <c:v>659.9782410038955</c:v>
                </c:pt>
                <c:pt idx="114">
                  <c:v>659.9782410038955</c:v>
                </c:pt>
                <c:pt idx="115">
                  <c:v>659.9782410038955</c:v>
                </c:pt>
                <c:pt idx="116">
                  <c:v>659.9782410038955</c:v>
                </c:pt>
                <c:pt idx="117">
                  <c:v>659.9782410038955</c:v>
                </c:pt>
                <c:pt idx="118">
                  <c:v>659.9782410038955</c:v>
                </c:pt>
                <c:pt idx="119">
                  <c:v>659.9782410038955</c:v>
                </c:pt>
                <c:pt idx="120">
                  <c:v>659.9782410038955</c:v>
                </c:pt>
                <c:pt idx="121">
                  <c:v>659.9782410038955</c:v>
                </c:pt>
                <c:pt idx="122">
                  <c:v>659.9782410038955</c:v>
                </c:pt>
                <c:pt idx="123">
                  <c:v>659.9782410038955</c:v>
                </c:pt>
                <c:pt idx="124">
                  <c:v>659.9782410038955</c:v>
                </c:pt>
                <c:pt idx="125">
                  <c:v>659.9782410038955</c:v>
                </c:pt>
                <c:pt idx="126">
                  <c:v>659.9782410038955</c:v>
                </c:pt>
                <c:pt idx="127">
                  <c:v>659.9782410038955</c:v>
                </c:pt>
                <c:pt idx="128">
                  <c:v>659.9782410038955</c:v>
                </c:pt>
                <c:pt idx="129">
                  <c:v>659.9782410038955</c:v>
                </c:pt>
                <c:pt idx="130">
                  <c:v>659.9782410038955</c:v>
                </c:pt>
                <c:pt idx="131">
                  <c:v>659.9782410038955</c:v>
                </c:pt>
                <c:pt idx="132">
                  <c:v>659.9782410038955</c:v>
                </c:pt>
                <c:pt idx="133">
                  <c:v>659.9782410038955</c:v>
                </c:pt>
                <c:pt idx="134">
                  <c:v>659.9782410038955</c:v>
                </c:pt>
                <c:pt idx="135">
                  <c:v>659.9782410038955</c:v>
                </c:pt>
                <c:pt idx="136">
                  <c:v>659.9782410038955</c:v>
                </c:pt>
                <c:pt idx="137">
                  <c:v>659.9782410038955</c:v>
                </c:pt>
                <c:pt idx="138">
                  <c:v>659.9782410038955</c:v>
                </c:pt>
                <c:pt idx="139">
                  <c:v>659.9782410038955</c:v>
                </c:pt>
                <c:pt idx="140">
                  <c:v>659.9782410038955</c:v>
                </c:pt>
                <c:pt idx="141">
                  <c:v>659.9782410038955</c:v>
                </c:pt>
                <c:pt idx="142">
                  <c:v>659.9782410038955</c:v>
                </c:pt>
                <c:pt idx="143">
                  <c:v>659.9782410038955</c:v>
                </c:pt>
                <c:pt idx="144">
                  <c:v>659.9782410038955</c:v>
                </c:pt>
                <c:pt idx="145">
                  <c:v>659.9782410038955</c:v>
                </c:pt>
                <c:pt idx="146">
                  <c:v>659.9782410038955</c:v>
                </c:pt>
                <c:pt idx="147">
                  <c:v>659.9782410038955</c:v>
                </c:pt>
                <c:pt idx="148">
                  <c:v>659.9782410038955</c:v>
                </c:pt>
                <c:pt idx="149">
                  <c:v>659.9782410038955</c:v>
                </c:pt>
                <c:pt idx="150">
                  <c:v>659.9782410038955</c:v>
                </c:pt>
                <c:pt idx="151">
                  <c:v>659.9782410038955</c:v>
                </c:pt>
                <c:pt idx="152">
                  <c:v>659.9782410038955</c:v>
                </c:pt>
                <c:pt idx="153">
                  <c:v>659.9782410038955</c:v>
                </c:pt>
                <c:pt idx="154">
                  <c:v>659.9782410038955</c:v>
                </c:pt>
                <c:pt idx="155">
                  <c:v>659.9782410038955</c:v>
                </c:pt>
                <c:pt idx="156">
                  <c:v>659.9782410038955</c:v>
                </c:pt>
                <c:pt idx="157">
                  <c:v>659.9782410038955</c:v>
                </c:pt>
                <c:pt idx="158">
                  <c:v>659.9782410038955</c:v>
                </c:pt>
                <c:pt idx="159">
                  <c:v>659.9782410038955</c:v>
                </c:pt>
                <c:pt idx="160">
                  <c:v>659.9782410038955</c:v>
                </c:pt>
                <c:pt idx="161">
                  <c:v>659.9782410038955</c:v>
                </c:pt>
                <c:pt idx="162">
                  <c:v>659.9782410038955</c:v>
                </c:pt>
                <c:pt idx="163">
                  <c:v>659.9782410038955</c:v>
                </c:pt>
                <c:pt idx="164">
                  <c:v>659.9782410038955</c:v>
                </c:pt>
                <c:pt idx="165">
                  <c:v>659.9782410038955</c:v>
                </c:pt>
                <c:pt idx="166">
                  <c:v>659.9782410038955</c:v>
                </c:pt>
                <c:pt idx="167">
                  <c:v>659.9782410038955</c:v>
                </c:pt>
                <c:pt idx="168">
                  <c:v>659.9782410038955</c:v>
                </c:pt>
                <c:pt idx="169">
                  <c:v>659.9782410038955</c:v>
                </c:pt>
                <c:pt idx="170">
                  <c:v>659.9782410038955</c:v>
                </c:pt>
                <c:pt idx="171">
                  <c:v>659.9782410038955</c:v>
                </c:pt>
                <c:pt idx="172">
                  <c:v>659.9782410038955</c:v>
                </c:pt>
                <c:pt idx="173">
                  <c:v>659.9782410038955</c:v>
                </c:pt>
                <c:pt idx="174">
                  <c:v>659.9782410038955</c:v>
                </c:pt>
                <c:pt idx="175">
                  <c:v>659.9782410038955</c:v>
                </c:pt>
                <c:pt idx="176">
                  <c:v>659.9782410038955</c:v>
                </c:pt>
                <c:pt idx="177">
                  <c:v>659.9782410038955</c:v>
                </c:pt>
                <c:pt idx="178">
                  <c:v>659.9782410038955</c:v>
                </c:pt>
                <c:pt idx="179">
                  <c:v>659.9782410038955</c:v>
                </c:pt>
                <c:pt idx="180">
                  <c:v>659.9782410038955</c:v>
                </c:pt>
                <c:pt idx="181">
                  <c:v>659.9782410038955</c:v>
                </c:pt>
                <c:pt idx="182">
                  <c:v>659.9782410038955</c:v>
                </c:pt>
                <c:pt idx="183">
                  <c:v>659.9782410038955</c:v>
                </c:pt>
                <c:pt idx="184">
                  <c:v>659.9782410038955</c:v>
                </c:pt>
                <c:pt idx="185">
                  <c:v>659.9782410038955</c:v>
                </c:pt>
                <c:pt idx="186">
                  <c:v>659.9782410038955</c:v>
                </c:pt>
                <c:pt idx="187">
                  <c:v>659.9782410038955</c:v>
                </c:pt>
                <c:pt idx="188">
                  <c:v>659.9782410038955</c:v>
                </c:pt>
                <c:pt idx="189">
                  <c:v>659.9782410038955</c:v>
                </c:pt>
                <c:pt idx="190">
                  <c:v>659.9782410038955</c:v>
                </c:pt>
                <c:pt idx="191">
                  <c:v>659.9782410038955</c:v>
                </c:pt>
                <c:pt idx="192">
                  <c:v>659.9782410038955</c:v>
                </c:pt>
                <c:pt idx="193">
                  <c:v>659.9782410038955</c:v>
                </c:pt>
                <c:pt idx="194">
                  <c:v>659.9782410038955</c:v>
                </c:pt>
                <c:pt idx="195">
                  <c:v>659.9782410038955</c:v>
                </c:pt>
                <c:pt idx="196">
                  <c:v>659.9782410038955</c:v>
                </c:pt>
                <c:pt idx="197">
                  <c:v>659.9782410038955</c:v>
                </c:pt>
                <c:pt idx="198">
                  <c:v>659.9782410038955</c:v>
                </c:pt>
                <c:pt idx="199">
                  <c:v>659.9782410038955</c:v>
                </c:pt>
                <c:pt idx="200">
                  <c:v>659.9782410038955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2.519579376577322</c:v>
                </c:pt>
                <c:pt idx="2">
                  <c:v>2.8918065413331457</c:v>
                </c:pt>
                <c:pt idx="3">
                  <c:v>3.3192217442972427</c:v>
                </c:pt>
                <c:pt idx="4">
                  <c:v>3.8100350911334124</c:v>
                </c:pt>
                <c:pt idx="5">
                  <c:v>4.3736819393406732</c:v>
                </c:pt>
                <c:pt idx="6">
                  <c:v>5.0210062895273131</c:v>
                </c:pt>
                <c:pt idx="7">
                  <c:v>5.7644717007326767</c:v>
                </c:pt>
                <c:pt idx="8">
                  <c:v>6.6184038710449036</c:v>
                </c:pt>
                <c:pt idx="9">
                  <c:v>7.5992696492782557</c:v>
                </c:pt>
                <c:pt idx="10">
                  <c:v>8.7259979623647883</c:v>
                </c:pt>
                <c:pt idx="11">
                  <c:v>10.020348970670376</c:v>
                </c:pt>
                <c:pt idx="12">
                  <c:v>11.507338716120872</c:v>
                </c:pt>
                <c:pt idx="13">
                  <c:v>13.215727624772066</c:v>
                </c:pt>
                <c:pt idx="14">
                  <c:v>15.178582488105071</c:v>
                </c:pt>
                <c:pt idx="15">
                  <c:v>17.433923001016797</c:v>
                </c:pt>
                <c:pt idx="16">
                  <c:v>20.025465608158825</c:v>
                </c:pt>
                <c:pt idx="17">
                  <c:v>23.003479337309173</c:v>
                </c:pt>
                <c:pt idx="18">
                  <c:v>26.425770517256211</c:v>
                </c:pt>
                <c:pt idx="19">
                  <c:v>30.358815832481397</c:v>
                </c:pt>
                <c:pt idx="20">
                  <c:v>34.879066108720416</c:v>
                </c:pt>
                <c:pt idx="21">
                  <c:v>40.074446610974391</c:v>
                </c:pt>
                <c:pt idx="22">
                  <c:v>46.046083536372471</c:v>
                </c:pt>
                <c:pt idx="23">
                  <c:v>52.910290876370262</c:v>
                </c:pt>
                <c:pt idx="24">
                  <c:v>60.800856995865509</c:v>
                </c:pt>
                <c:pt idx="25">
                  <c:v>69.871676234329854</c:v>
                </c:pt>
                <c:pt idx="26">
                  <c:v>80.299777695124007</c:v>
                </c:pt>
                <c:pt idx="27">
                  <c:v>92.28881129103155</c:v>
                </c:pt>
                <c:pt idx="28">
                  <c:v>106.07306021483639</c:v>
                </c:pt>
                <c:pt idx="29">
                  <c:v>121.92205948566617</c:v>
                </c:pt>
                <c:pt idx="30">
                  <c:v>140.14591229472146</c:v>
                </c:pt>
                <c:pt idx="31">
                  <c:v>131.16146937116449</c:v>
                </c:pt>
                <c:pt idx="32">
                  <c:v>144.63288785558254</c:v>
                </c:pt>
                <c:pt idx="33">
                  <c:v>158.07427982969338</c:v>
                </c:pt>
                <c:pt idx="34">
                  <c:v>171.48856021442305</c:v>
                </c:pt>
                <c:pt idx="35">
                  <c:v>184.87814990346817</c:v>
                </c:pt>
                <c:pt idx="36">
                  <c:v>160.31180519707939</c:v>
                </c:pt>
                <c:pt idx="37">
                  <c:v>174.83818688959886</c:v>
                </c:pt>
                <c:pt idx="38">
                  <c:v>189.33622166833575</c:v>
                </c:pt>
                <c:pt idx="39">
                  <c:v>203.8083868405364</c:v>
                </c:pt>
                <c:pt idx="40">
                  <c:v>218.25677877090342</c:v>
                </c:pt>
                <c:pt idx="41">
                  <c:v>194.16304064471558</c:v>
                </c:pt>
                <c:pt idx="42">
                  <c:v>208.99762497430493</c:v>
                </c:pt>
                <c:pt idx="43">
                  <c:v>223.807910918391</c:v>
                </c:pt>
                <c:pt idx="44">
                  <c:v>238.59573324490532</c:v>
                </c:pt>
                <c:pt idx="45">
                  <c:v>253.36268056439769</c:v>
                </c:pt>
                <c:pt idx="46">
                  <c:v>229.72564155690716</c:v>
                </c:pt>
                <c:pt idx="47">
                  <c:v>244.87415180265498</c:v>
                </c:pt>
                <c:pt idx="48">
                  <c:v>260.00137265549091</c:v>
                </c:pt>
                <c:pt idx="49">
                  <c:v>275.10871731201564</c:v>
                </c:pt>
                <c:pt idx="50">
                  <c:v>290.19743103031288</c:v>
                </c:pt>
                <c:pt idx="51">
                  <c:v>267.37321139326588</c:v>
                </c:pt>
                <c:pt idx="52">
                  <c:v>283.20734332387497</c:v>
                </c:pt>
                <c:pt idx="53">
                  <c:v>299.02165093044317</c:v>
                </c:pt>
                <c:pt idx="54">
                  <c:v>314.81733022074968</c:v>
                </c:pt>
                <c:pt idx="55">
                  <c:v>330.5954473741902</c:v>
                </c:pt>
                <c:pt idx="56">
                  <c:v>307.47274922302034</c:v>
                </c:pt>
                <c:pt idx="57">
                  <c:v>322.89198679446821</c:v>
                </c:pt>
                <c:pt idx="58">
                  <c:v>338.29494871140372</c:v>
                </c:pt>
                <c:pt idx="59">
                  <c:v>353.68248030482658</c:v>
                </c:pt>
                <c:pt idx="60">
                  <c:v>369.05534734862982</c:v>
                </c:pt>
                <c:pt idx="61">
                  <c:v>345.62422040265614</c:v>
                </c:pt>
                <c:pt idx="62">
                  <c:v>360.6386457043447</c:v>
                </c:pt>
                <c:pt idx="63">
                  <c:v>375.63940468104903</c:v>
                </c:pt>
                <c:pt idx="64">
                  <c:v>390.62711987431982</c:v>
                </c:pt>
                <c:pt idx="65">
                  <c:v>405.60236216041085</c:v>
                </c:pt>
                <c:pt idx="66">
                  <c:v>382.22094859121631</c:v>
                </c:pt>
                <c:pt idx="67">
                  <c:v>397.20312039751838</c:v>
                </c:pt>
                <c:pt idx="68">
                  <c:v>412.17305520045358</c:v>
                </c:pt>
                <c:pt idx="69">
                  <c:v>427.13125995293109</c:v>
                </c:pt>
                <c:pt idx="70">
                  <c:v>442.07820321051531</c:v>
                </c:pt>
                <c:pt idx="71">
                  <c:v>417.64690431824994</c:v>
                </c:pt>
                <c:pt idx="72">
                  <c:v>431.50712073862763</c:v>
                </c:pt>
                <c:pt idx="73">
                  <c:v>445.35777581895201</c:v>
                </c:pt>
                <c:pt idx="74">
                  <c:v>459.1992087644324</c:v>
                </c:pt>
                <c:pt idx="75">
                  <c:v>473.03173666651463</c:v>
                </c:pt>
                <c:pt idx="76">
                  <c:v>448.27251713445958</c:v>
                </c:pt>
                <c:pt idx="77">
                  <c:v>461.74796605237248</c:v>
                </c:pt>
                <c:pt idx="78">
                  <c:v>475.21502577729012</c:v>
                </c:pt>
                <c:pt idx="79">
                  <c:v>488.67396750423922</c:v>
                </c:pt>
                <c:pt idx="80">
                  <c:v>502.12504627431366</c:v>
                </c:pt>
                <c:pt idx="81">
                  <c:v>476.67043320372522</c:v>
                </c:pt>
                <c:pt idx="82">
                  <c:v>489.40125164788623</c:v>
                </c:pt>
                <c:pt idx="83">
                  <c:v>502.12504627431366</c:v>
                </c:pt>
                <c:pt idx="84">
                  <c:v>514.84202011790001</c:v>
                </c:pt>
                <c:pt idx="85">
                  <c:v>527.55236536708867</c:v>
                </c:pt>
                <c:pt idx="86">
                  <c:v>501.39815791487553</c:v>
                </c:pt>
                <c:pt idx="87">
                  <c:v>513.38899068788419</c:v>
                </c:pt>
                <c:pt idx="88">
                  <c:v>525.37391179668487</c:v>
                </c:pt>
                <c:pt idx="89">
                  <c:v>537.3530750865159</c:v>
                </c:pt>
                <c:pt idx="90">
                  <c:v>549.32662698500235</c:v>
                </c:pt>
                <c:pt idx="91">
                  <c:v>522.46901082436341</c:v>
                </c:pt>
                <c:pt idx="92">
                  <c:v>533.72362475342277</c:v>
                </c:pt>
                <c:pt idx="93">
                  <c:v>544.97324841623629</c:v>
                </c:pt>
                <c:pt idx="94">
                  <c:v>556.21799933251657</c:v>
                </c:pt>
                <c:pt idx="95">
                  <c:v>567.45798988344643</c:v>
                </c:pt>
                <c:pt idx="96">
                  <c:v>542.07059084014872</c:v>
                </c:pt>
                <c:pt idx="97">
                  <c:v>552.9538895152142</c:v>
                </c:pt>
                <c:pt idx="98">
                  <c:v>563.8326999376593</c:v>
                </c:pt>
                <c:pt idx="99">
                  <c:v>574.70712090201835</c:v>
                </c:pt>
                <c:pt idx="100">
                  <c:v>585.5772471597453</c:v>
                </c:pt>
                <c:pt idx="101">
                  <c:v>551.1403208164603</c:v>
                </c:pt>
                <c:pt idx="102">
                  <c:v>551.1403208164603</c:v>
                </c:pt>
                <c:pt idx="103">
                  <c:v>551.1403208164603</c:v>
                </c:pt>
                <c:pt idx="104">
                  <c:v>551.1403208164603</c:v>
                </c:pt>
                <c:pt idx="105">
                  <c:v>551.1403208164603</c:v>
                </c:pt>
                <c:pt idx="106">
                  <c:v>551.1403208164603</c:v>
                </c:pt>
                <c:pt idx="107">
                  <c:v>551.1403208164603</c:v>
                </c:pt>
                <c:pt idx="108">
                  <c:v>551.1403208164603</c:v>
                </c:pt>
                <c:pt idx="109">
                  <c:v>551.1403208164603</c:v>
                </c:pt>
                <c:pt idx="110">
                  <c:v>551.1403208164603</c:v>
                </c:pt>
                <c:pt idx="111">
                  <c:v>551.1403208164603</c:v>
                </c:pt>
                <c:pt idx="112">
                  <c:v>551.1403208164603</c:v>
                </c:pt>
                <c:pt idx="113">
                  <c:v>551.1403208164603</c:v>
                </c:pt>
                <c:pt idx="114">
                  <c:v>551.1403208164603</c:v>
                </c:pt>
                <c:pt idx="115">
                  <c:v>551.1403208164603</c:v>
                </c:pt>
                <c:pt idx="116">
                  <c:v>551.1403208164603</c:v>
                </c:pt>
                <c:pt idx="117">
                  <c:v>551.1403208164603</c:v>
                </c:pt>
                <c:pt idx="118">
                  <c:v>551.1403208164603</c:v>
                </c:pt>
                <c:pt idx="119">
                  <c:v>551.1403208164603</c:v>
                </c:pt>
                <c:pt idx="120">
                  <c:v>551.1403208164603</c:v>
                </c:pt>
                <c:pt idx="121">
                  <c:v>551.1403208164603</c:v>
                </c:pt>
                <c:pt idx="122">
                  <c:v>551.1403208164603</c:v>
                </c:pt>
                <c:pt idx="123">
                  <c:v>551.1403208164603</c:v>
                </c:pt>
                <c:pt idx="124">
                  <c:v>551.1403208164603</c:v>
                </c:pt>
                <c:pt idx="125">
                  <c:v>551.1403208164603</c:v>
                </c:pt>
                <c:pt idx="126">
                  <c:v>551.1403208164603</c:v>
                </c:pt>
                <c:pt idx="127">
                  <c:v>551.1403208164603</c:v>
                </c:pt>
                <c:pt idx="128">
                  <c:v>551.1403208164603</c:v>
                </c:pt>
                <c:pt idx="129">
                  <c:v>551.1403208164603</c:v>
                </c:pt>
                <c:pt idx="130">
                  <c:v>551.1403208164603</c:v>
                </c:pt>
                <c:pt idx="131">
                  <c:v>551.1403208164603</c:v>
                </c:pt>
                <c:pt idx="132">
                  <c:v>551.1403208164603</c:v>
                </c:pt>
                <c:pt idx="133">
                  <c:v>551.1403208164603</c:v>
                </c:pt>
                <c:pt idx="134">
                  <c:v>551.1403208164603</c:v>
                </c:pt>
                <c:pt idx="135">
                  <c:v>551.1403208164603</c:v>
                </c:pt>
                <c:pt idx="136">
                  <c:v>551.1403208164603</c:v>
                </c:pt>
                <c:pt idx="137">
                  <c:v>551.1403208164603</c:v>
                </c:pt>
                <c:pt idx="138">
                  <c:v>551.1403208164603</c:v>
                </c:pt>
                <c:pt idx="139">
                  <c:v>551.1403208164603</c:v>
                </c:pt>
                <c:pt idx="140">
                  <c:v>551.1403208164603</c:v>
                </c:pt>
                <c:pt idx="141">
                  <c:v>551.1403208164603</c:v>
                </c:pt>
                <c:pt idx="142">
                  <c:v>551.1403208164603</c:v>
                </c:pt>
                <c:pt idx="143">
                  <c:v>551.1403208164603</c:v>
                </c:pt>
                <c:pt idx="144">
                  <c:v>551.1403208164603</c:v>
                </c:pt>
                <c:pt idx="145">
                  <c:v>551.1403208164603</c:v>
                </c:pt>
                <c:pt idx="146">
                  <c:v>551.1403208164603</c:v>
                </c:pt>
                <c:pt idx="147">
                  <c:v>551.1403208164603</c:v>
                </c:pt>
                <c:pt idx="148">
                  <c:v>551.1403208164603</c:v>
                </c:pt>
                <c:pt idx="149">
                  <c:v>551.1403208164603</c:v>
                </c:pt>
                <c:pt idx="150">
                  <c:v>551.1403208164603</c:v>
                </c:pt>
                <c:pt idx="151">
                  <c:v>551.1403208164603</c:v>
                </c:pt>
                <c:pt idx="152">
                  <c:v>551.1403208164603</c:v>
                </c:pt>
                <c:pt idx="153">
                  <c:v>551.1403208164603</c:v>
                </c:pt>
                <c:pt idx="154">
                  <c:v>551.1403208164603</c:v>
                </c:pt>
                <c:pt idx="155">
                  <c:v>551.1403208164603</c:v>
                </c:pt>
                <c:pt idx="156">
                  <c:v>551.1403208164603</c:v>
                </c:pt>
                <c:pt idx="157">
                  <c:v>551.1403208164603</c:v>
                </c:pt>
                <c:pt idx="158">
                  <c:v>551.1403208164603</c:v>
                </c:pt>
                <c:pt idx="159">
                  <c:v>551.1403208164603</c:v>
                </c:pt>
                <c:pt idx="160">
                  <c:v>551.1403208164603</c:v>
                </c:pt>
                <c:pt idx="161">
                  <c:v>551.1403208164603</c:v>
                </c:pt>
                <c:pt idx="162">
                  <c:v>551.1403208164603</c:v>
                </c:pt>
                <c:pt idx="163">
                  <c:v>551.1403208164603</c:v>
                </c:pt>
                <c:pt idx="164">
                  <c:v>551.1403208164603</c:v>
                </c:pt>
                <c:pt idx="165">
                  <c:v>551.1403208164603</c:v>
                </c:pt>
                <c:pt idx="166">
                  <c:v>551.1403208164603</c:v>
                </c:pt>
                <c:pt idx="167">
                  <c:v>551.1403208164603</c:v>
                </c:pt>
                <c:pt idx="168">
                  <c:v>551.1403208164603</c:v>
                </c:pt>
                <c:pt idx="169">
                  <c:v>551.1403208164603</c:v>
                </c:pt>
                <c:pt idx="170">
                  <c:v>551.1403208164603</c:v>
                </c:pt>
                <c:pt idx="171">
                  <c:v>551.1403208164603</c:v>
                </c:pt>
                <c:pt idx="172">
                  <c:v>551.1403208164603</c:v>
                </c:pt>
                <c:pt idx="173">
                  <c:v>551.1403208164603</c:v>
                </c:pt>
                <c:pt idx="174">
                  <c:v>551.1403208164603</c:v>
                </c:pt>
                <c:pt idx="175">
                  <c:v>551.1403208164603</c:v>
                </c:pt>
                <c:pt idx="176">
                  <c:v>551.1403208164603</c:v>
                </c:pt>
                <c:pt idx="177">
                  <c:v>551.1403208164603</c:v>
                </c:pt>
                <c:pt idx="178">
                  <c:v>551.1403208164603</c:v>
                </c:pt>
                <c:pt idx="179">
                  <c:v>551.1403208164603</c:v>
                </c:pt>
                <c:pt idx="180">
                  <c:v>551.1403208164603</c:v>
                </c:pt>
                <c:pt idx="181">
                  <c:v>551.1403208164603</c:v>
                </c:pt>
                <c:pt idx="182">
                  <c:v>551.1403208164603</c:v>
                </c:pt>
                <c:pt idx="183">
                  <c:v>551.1403208164603</c:v>
                </c:pt>
                <c:pt idx="184">
                  <c:v>551.1403208164603</c:v>
                </c:pt>
                <c:pt idx="185">
                  <c:v>551.1403208164603</c:v>
                </c:pt>
                <c:pt idx="186">
                  <c:v>551.1403208164603</c:v>
                </c:pt>
                <c:pt idx="187">
                  <c:v>551.1403208164603</c:v>
                </c:pt>
                <c:pt idx="188">
                  <c:v>551.1403208164603</c:v>
                </c:pt>
                <c:pt idx="189">
                  <c:v>551.1403208164603</c:v>
                </c:pt>
                <c:pt idx="190">
                  <c:v>551.1403208164603</c:v>
                </c:pt>
                <c:pt idx="191">
                  <c:v>551.1403208164603</c:v>
                </c:pt>
                <c:pt idx="192">
                  <c:v>551.1403208164603</c:v>
                </c:pt>
                <c:pt idx="193">
                  <c:v>551.1403208164603</c:v>
                </c:pt>
                <c:pt idx="194">
                  <c:v>551.1403208164603</c:v>
                </c:pt>
                <c:pt idx="195">
                  <c:v>551.1403208164603</c:v>
                </c:pt>
                <c:pt idx="196">
                  <c:v>551.1403208164603</c:v>
                </c:pt>
                <c:pt idx="197">
                  <c:v>551.1403208164603</c:v>
                </c:pt>
                <c:pt idx="198">
                  <c:v>551.1403208164603</c:v>
                </c:pt>
                <c:pt idx="199">
                  <c:v>551.1403208164603</c:v>
                </c:pt>
                <c:pt idx="200">
                  <c:v>551.1403208164603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2.1120712247919253</c:v>
                </c:pt>
                <c:pt idx="2">
                  <c:v>3.3630159763975538</c:v>
                </c:pt>
                <c:pt idx="3">
                  <c:v>5.3584819922473903</c:v>
                </c:pt>
                <c:pt idx="4">
                  <c:v>8.5435953128074544</c:v>
                </c:pt>
                <c:pt idx="5">
                  <c:v>13.630725034759729</c:v>
                </c:pt>
                <c:pt idx="6">
                  <c:v>21.760546151984894</c:v>
                </c:pt>
                <c:pt idx="7">
                  <c:v>34.760511332385903</c:v>
                </c:pt>
                <c:pt idx="8">
                  <c:v>55.559829236569499</c:v>
                </c:pt>
                <c:pt idx="9">
                  <c:v>88.856002724458179</c:v>
                </c:pt>
                <c:pt idx="10">
                  <c:v>142.18586719742532</c:v>
                </c:pt>
                <c:pt idx="11">
                  <c:v>165.8563448670856</c:v>
                </c:pt>
                <c:pt idx="12">
                  <c:v>189.44696657295165</c:v>
                </c:pt>
                <c:pt idx="13">
                  <c:v>212.96908397258713</c:v>
                </c:pt>
                <c:pt idx="14">
                  <c:v>236.43132973115266</c:v>
                </c:pt>
                <c:pt idx="15">
                  <c:v>259.84048040204476</c:v>
                </c:pt>
                <c:pt idx="16">
                  <c:v>284.07445589472053</c:v>
                </c:pt>
                <c:pt idx="17">
                  <c:v>308.26214305192059</c:v>
                </c:pt>
                <c:pt idx="18">
                  <c:v>332.40768235676427</c:v>
                </c:pt>
                <c:pt idx="19">
                  <c:v>356.51456369810211</c:v>
                </c:pt>
                <c:pt idx="20">
                  <c:v>380.58576660251532</c:v>
                </c:pt>
                <c:pt idx="21">
                  <c:v>401.70200147564884</c:v>
                </c:pt>
                <c:pt idx="22">
                  <c:v>422.79422839222258</c:v>
                </c:pt>
                <c:pt idx="23">
                  <c:v>443.86381270020087</c:v>
                </c:pt>
                <c:pt idx="24">
                  <c:v>464.91197963041674</c:v>
                </c:pt>
                <c:pt idx="25">
                  <c:v>480.01089778767727</c:v>
                </c:pt>
                <c:pt idx="26">
                  <c:v>495.09972376404033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3" zoomScale="80" zoomScaleNormal="80" workbookViewId="0">
      <selection activeCell="C13" sqref="C1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138</v>
      </c>
      <c r="C9" s="32">
        <v>0.4</v>
      </c>
      <c r="D9" s="33">
        <f t="shared" ref="D9:D18" si="0">C9*$C$5</f>
        <v>1.04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0.16</v>
      </c>
      <c r="D10" s="33">
        <f t="shared" si="0"/>
        <v>0.41600000000000004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6</v>
      </c>
      <c r="C11" s="32">
        <v>0.05</v>
      </c>
      <c r="D11" s="33">
        <f t="shared" si="0"/>
        <v>0.13</v>
      </c>
      <c r="E11" s="34">
        <v>85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25</v>
      </c>
      <c r="C12" s="32">
        <v>0.05</v>
      </c>
      <c r="D12" s="33">
        <f t="shared" si="0"/>
        <v>0.13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112</v>
      </c>
      <c r="C13" s="32">
        <v>0.33</v>
      </c>
      <c r="D13" s="33">
        <f t="shared" si="0"/>
        <v>0.8580000000000001</v>
      </c>
      <c r="E13" s="34">
        <v>26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0.99000000000000021</v>
      </c>
      <c r="D19" s="38">
        <f>SUM(D9:D18)</f>
        <v>2.5739999999999998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taeda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14</v>
      </c>
      <c r="B36" s="60">
        <v>98</v>
      </c>
      <c r="C36" s="60">
        <v>1</v>
      </c>
      <c r="D36" s="60">
        <v>22.3</v>
      </c>
      <c r="E36" s="51"/>
      <c r="F36" s="51">
        <v>0.4</v>
      </c>
      <c r="G36" s="51">
        <v>0.6</v>
      </c>
      <c r="H36" s="51"/>
      <c r="I36" s="49">
        <f>IFERROR(B36/A36,"")</f>
        <v>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15</v>
      </c>
      <c r="B37" s="60">
        <v>94</v>
      </c>
      <c r="C37" s="60">
        <v>2</v>
      </c>
      <c r="D37" s="60">
        <v>10.3</v>
      </c>
      <c r="E37" s="51"/>
      <c r="F37" s="51">
        <v>0.4</v>
      </c>
      <c r="G37" s="51">
        <v>0.6</v>
      </c>
      <c r="H37" s="51"/>
      <c r="I37" s="53">
        <f t="shared" ref="I37:I55" si="1">IF(A37&lt;&gt;0,(B37-(B36-D36))/(A37-A36),"")</f>
        <v>18.299999999999997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17</v>
      </c>
      <c r="B38" s="60">
        <v>116</v>
      </c>
      <c r="C38" s="60">
        <v>3</v>
      </c>
      <c r="D38" s="60">
        <v>10.3</v>
      </c>
      <c r="E38" s="51"/>
      <c r="F38" s="51">
        <v>0.4</v>
      </c>
      <c r="G38" s="51">
        <v>0.6</v>
      </c>
      <c r="H38" s="51"/>
      <c r="I38" s="53">
        <f t="shared" si="1"/>
        <v>16.149999999999999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19</v>
      </c>
      <c r="B39" s="60">
        <v>139</v>
      </c>
      <c r="C39" s="60">
        <v>4</v>
      </c>
      <c r="D39" s="60">
        <v>11.5</v>
      </c>
      <c r="E39" s="51">
        <v>0.5</v>
      </c>
      <c r="F39" s="51">
        <v>0.2</v>
      </c>
      <c r="G39" s="51">
        <v>0.3</v>
      </c>
      <c r="H39" s="51"/>
      <c r="I39" s="49">
        <f t="shared" si="1"/>
        <v>16.649999999999999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21</v>
      </c>
      <c r="B40" s="60">
        <v>159</v>
      </c>
      <c r="C40" s="60">
        <v>5</v>
      </c>
      <c r="D40" s="60">
        <v>13.7</v>
      </c>
      <c r="E40" s="51">
        <v>0.5</v>
      </c>
      <c r="F40" s="51">
        <v>0.2</v>
      </c>
      <c r="G40" s="51">
        <v>0.3</v>
      </c>
      <c r="H40" s="51"/>
      <c r="I40" s="49">
        <f t="shared" si="1"/>
        <v>15.75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23</v>
      </c>
      <c r="B41" s="60">
        <v>179</v>
      </c>
      <c r="C41" s="60">
        <v>6</v>
      </c>
      <c r="D41" s="60">
        <v>13.3</v>
      </c>
      <c r="E41" s="51">
        <v>0.6</v>
      </c>
      <c r="F41" s="51">
        <v>0.15</v>
      </c>
      <c r="G41" s="51">
        <v>0.25</v>
      </c>
      <c r="H41" s="51"/>
      <c r="I41" s="53">
        <f t="shared" si="1"/>
        <v>16.849999999999994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25</v>
      </c>
      <c r="B42" s="60">
        <v>197</v>
      </c>
      <c r="C42" s="60">
        <v>7</v>
      </c>
      <c r="D42" s="60">
        <v>14.6</v>
      </c>
      <c r="E42" s="51">
        <v>0.6</v>
      </c>
      <c r="F42" s="51">
        <v>0.15</v>
      </c>
      <c r="G42" s="51">
        <v>0.25</v>
      </c>
      <c r="H42" s="51"/>
      <c r="I42" s="53">
        <f t="shared" si="1"/>
        <v>15.650000000000006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27</v>
      </c>
      <c r="B43" s="60">
        <v>213</v>
      </c>
      <c r="C43" s="60">
        <v>8</v>
      </c>
      <c r="D43" s="60">
        <v>16.3</v>
      </c>
      <c r="E43" s="51">
        <v>0.7</v>
      </c>
      <c r="F43" s="51">
        <v>0.12</v>
      </c>
      <c r="G43" s="51">
        <v>0.18</v>
      </c>
      <c r="H43" s="51"/>
      <c r="I43" s="49">
        <f t="shared" si="1"/>
        <v>15.299999999999997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29</v>
      </c>
      <c r="B44" s="60">
        <v>225</v>
      </c>
      <c r="C44" s="60">
        <v>9</v>
      </c>
      <c r="D44" s="60">
        <v>12.7</v>
      </c>
      <c r="E44" s="51">
        <v>0.7</v>
      </c>
      <c r="F44" s="51">
        <v>0.12</v>
      </c>
      <c r="G44" s="51">
        <v>0.18</v>
      </c>
      <c r="H44" s="51"/>
      <c r="I44" s="49">
        <f t="shared" si="1"/>
        <v>14.150000000000006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45</v>
      </c>
      <c r="B45" s="60">
        <v>471</v>
      </c>
      <c r="C45" s="60">
        <v>10</v>
      </c>
      <c r="D45" s="60">
        <v>471</v>
      </c>
      <c r="E45" s="51">
        <v>0.7</v>
      </c>
      <c r="F45" s="51">
        <v>0.12</v>
      </c>
      <c r="G45" s="51">
        <v>0.18</v>
      </c>
      <c r="H45" s="51"/>
      <c r="I45" s="49">
        <f t="shared" si="1"/>
        <v>16.168749999999999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f>62+8</f>
        <v>70</v>
      </c>
      <c r="C62" s="60">
        <v>1</v>
      </c>
      <c r="D62" s="60">
        <v>8</v>
      </c>
      <c r="E62" s="51"/>
      <c r="F62" s="51"/>
      <c r="G62" s="51"/>
      <c r="H62" s="51">
        <v>1</v>
      </c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76+D63</f>
        <v>97</v>
      </c>
      <c r="C63" s="60">
        <v>2</v>
      </c>
      <c r="D63" s="60">
        <v>21</v>
      </c>
      <c r="E63" s="51"/>
      <c r="F63" s="51"/>
      <c r="G63" s="51"/>
      <c r="H63" s="51">
        <v>1</v>
      </c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35</v>
      </c>
      <c r="B64" s="60">
        <f>95+D64</f>
        <v>116</v>
      </c>
      <c r="C64" s="60">
        <v>3</v>
      </c>
      <c r="D64" s="60">
        <v>21</v>
      </c>
      <c r="E64" s="51">
        <v>0.4</v>
      </c>
      <c r="F64" s="51">
        <v>0.08</v>
      </c>
      <c r="G64" s="51">
        <v>0.12</v>
      </c>
      <c r="H64" s="51">
        <v>0.4</v>
      </c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f>116+D65</f>
        <v>137</v>
      </c>
      <c r="C65" s="60">
        <v>4</v>
      </c>
      <c r="D65" s="60">
        <v>21</v>
      </c>
      <c r="E65" s="51">
        <v>0.4</v>
      </c>
      <c r="F65" s="51">
        <v>0.08</v>
      </c>
      <c r="G65" s="51">
        <v>0.12</v>
      </c>
      <c r="H65" s="51">
        <v>0.4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45</v>
      </c>
      <c r="B66" s="60">
        <f>137+D66</f>
        <v>158</v>
      </c>
      <c r="C66" s="60">
        <v>5</v>
      </c>
      <c r="D66" s="60">
        <v>21</v>
      </c>
      <c r="E66" s="51">
        <v>0.6</v>
      </c>
      <c r="F66" s="51">
        <v>0.04</v>
      </c>
      <c r="G66" s="51">
        <v>0.06</v>
      </c>
      <c r="H66" s="51">
        <v>0.3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50</v>
      </c>
      <c r="B67" s="60">
        <f>157+D67</f>
        <v>178</v>
      </c>
      <c r="C67" s="60">
        <v>6</v>
      </c>
      <c r="D67" s="60">
        <v>21</v>
      </c>
      <c r="E67" s="51">
        <v>0.6</v>
      </c>
      <c r="F67" s="51">
        <v>0.04</v>
      </c>
      <c r="G67" s="51">
        <v>0.06</v>
      </c>
      <c r="H67" s="51">
        <v>0.3</v>
      </c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55</v>
      </c>
      <c r="B68" s="60">
        <f>176+D68</f>
        <v>197</v>
      </c>
      <c r="C68" s="60">
        <v>7</v>
      </c>
      <c r="D68" s="60">
        <v>21</v>
      </c>
      <c r="E68" s="51">
        <v>0.8</v>
      </c>
      <c r="F68" s="51">
        <v>0.04</v>
      </c>
      <c r="G68" s="51">
        <v>0.06</v>
      </c>
      <c r="H68" s="51">
        <v>0.1</v>
      </c>
      <c r="I68" s="49">
        <f t="shared" si="2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v>214</v>
      </c>
      <c r="C69" s="50">
        <v>8</v>
      </c>
      <c r="D69" s="50">
        <v>21</v>
      </c>
      <c r="E69" s="51">
        <v>0.8</v>
      </c>
      <c r="F69" s="51">
        <v>0.04</v>
      </c>
      <c r="G69" s="51">
        <v>0.06</v>
      </c>
      <c r="H69" s="51">
        <v>0.1</v>
      </c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65</v>
      </c>
      <c r="B70" s="50">
        <v>229</v>
      </c>
      <c r="C70" s="50">
        <v>9</v>
      </c>
      <c r="D70" s="50">
        <v>21</v>
      </c>
      <c r="E70" s="51">
        <v>0.8</v>
      </c>
      <c r="F70" s="51">
        <v>0.04</v>
      </c>
      <c r="G70" s="51">
        <v>0.06</v>
      </c>
      <c r="H70" s="51">
        <v>0.1</v>
      </c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70</v>
      </c>
      <c r="B71" s="50">
        <v>242</v>
      </c>
      <c r="C71" s="50">
        <v>10</v>
      </c>
      <c r="D71" s="50">
        <v>21</v>
      </c>
      <c r="E71" s="51">
        <v>0.8</v>
      </c>
      <c r="F71" s="51">
        <v>0.04</v>
      </c>
      <c r="G71" s="51">
        <v>0.06</v>
      </c>
      <c r="H71" s="51">
        <v>0.1</v>
      </c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75</v>
      </c>
      <c r="B72" s="50">
        <v>252</v>
      </c>
      <c r="C72" s="50">
        <v>11</v>
      </c>
      <c r="D72" s="50">
        <v>21</v>
      </c>
      <c r="E72" s="51">
        <v>0.8</v>
      </c>
      <c r="F72" s="51">
        <v>0.04</v>
      </c>
      <c r="G72" s="51">
        <v>0.06</v>
      </c>
      <c r="H72" s="51">
        <v>0.1</v>
      </c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80</v>
      </c>
      <c r="B73" s="50">
        <v>261</v>
      </c>
      <c r="C73" s="50">
        <v>12</v>
      </c>
      <c r="D73" s="50">
        <v>21</v>
      </c>
      <c r="E73" s="51">
        <v>0.8</v>
      </c>
      <c r="F73" s="51">
        <v>0.04</v>
      </c>
      <c r="G73" s="51">
        <v>0.06</v>
      </c>
      <c r="H73" s="51">
        <v>0.1</v>
      </c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85</v>
      </c>
      <c r="B74" s="50">
        <v>269</v>
      </c>
      <c r="C74" s="50">
        <v>13</v>
      </c>
      <c r="D74" s="50">
        <v>21</v>
      </c>
      <c r="E74" s="51">
        <v>0.8</v>
      </c>
      <c r="F74" s="51">
        <v>0.04</v>
      </c>
      <c r="G74" s="51">
        <v>0.06</v>
      </c>
      <c r="H74" s="51">
        <v>0.1</v>
      </c>
      <c r="I74" s="49">
        <f t="shared" si="2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90</v>
      </c>
      <c r="B75" s="50">
        <v>275</v>
      </c>
      <c r="C75" s="50">
        <v>14</v>
      </c>
      <c r="D75" s="50">
        <v>21</v>
      </c>
      <c r="E75" s="51">
        <v>0.8</v>
      </c>
      <c r="F75" s="51">
        <v>0.04</v>
      </c>
      <c r="G75" s="51">
        <v>0.06</v>
      </c>
      <c r="H75" s="51">
        <v>0.1</v>
      </c>
      <c r="I75" s="49">
        <f t="shared" si="2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95</v>
      </c>
      <c r="B76" s="50">
        <v>279</v>
      </c>
      <c r="C76" s="50">
        <v>15</v>
      </c>
      <c r="D76" s="50">
        <v>21</v>
      </c>
      <c r="E76" s="51">
        <v>0.8</v>
      </c>
      <c r="F76" s="51">
        <v>0.04</v>
      </c>
      <c r="G76" s="51">
        <v>0.06</v>
      </c>
      <c r="H76" s="51">
        <v>0.1</v>
      </c>
      <c r="I76" s="49">
        <f t="shared" si="2"/>
        <v>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100</v>
      </c>
      <c r="B77" s="50">
        <v>282</v>
      </c>
      <c r="C77" s="50">
        <v>16</v>
      </c>
      <c r="D77" s="50">
        <v>21</v>
      </c>
      <c r="E77" s="51">
        <v>0.8</v>
      </c>
      <c r="F77" s="51">
        <v>0.04</v>
      </c>
      <c r="G77" s="51">
        <v>0.06</v>
      </c>
      <c r="H77" s="51">
        <v>0.1</v>
      </c>
      <c r="I77" s="49">
        <f t="shared" si="2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105</v>
      </c>
      <c r="B78" s="50">
        <v>284</v>
      </c>
      <c r="C78" s="50">
        <v>17</v>
      </c>
      <c r="D78" s="50">
        <v>20</v>
      </c>
      <c r="E78" s="51">
        <v>0.8</v>
      </c>
      <c r="F78" s="51">
        <v>0.04</v>
      </c>
      <c r="G78" s="51">
        <v>0.06</v>
      </c>
      <c r="H78" s="51">
        <v>0.1</v>
      </c>
      <c r="I78" s="49">
        <f t="shared" si="2"/>
        <v>4.5999999999999996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110</v>
      </c>
      <c r="B79" s="50">
        <v>285</v>
      </c>
      <c r="C79" s="50">
        <v>18</v>
      </c>
      <c r="D79" s="50">
        <v>19</v>
      </c>
      <c r="E79" s="51">
        <v>0.8</v>
      </c>
      <c r="F79" s="51">
        <v>0.04</v>
      </c>
      <c r="G79" s="51">
        <v>0.06</v>
      </c>
      <c r="H79" s="51">
        <v>0.1</v>
      </c>
      <c r="I79" s="49">
        <f t="shared" si="2"/>
        <v>4.2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115</v>
      </c>
      <c r="B80" s="50">
        <v>285</v>
      </c>
      <c r="C80" s="50">
        <v>19</v>
      </c>
      <c r="D80" s="50">
        <v>18</v>
      </c>
      <c r="E80" s="51">
        <v>0.8</v>
      </c>
      <c r="F80" s="51">
        <v>0.04</v>
      </c>
      <c r="G80" s="51">
        <v>0.06</v>
      </c>
      <c r="H80" s="51">
        <v>0.1</v>
      </c>
      <c r="I80" s="49">
        <f t="shared" si="2"/>
        <v>3.8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120</v>
      </c>
      <c r="B81" s="50">
        <v>285</v>
      </c>
      <c r="C81" s="50">
        <v>20</v>
      </c>
      <c r="D81" s="50">
        <v>17</v>
      </c>
      <c r="E81" s="51">
        <v>0.8</v>
      </c>
      <c r="F81" s="51">
        <v>0.04</v>
      </c>
      <c r="G81" s="51">
        <v>0.06</v>
      </c>
      <c r="H81" s="51">
        <v>0.1</v>
      </c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57</v>
      </c>
      <c r="C88" s="60">
        <v>1</v>
      </c>
      <c r="D88" s="60">
        <f>B88-46</f>
        <v>11</v>
      </c>
      <c r="E88" s="51"/>
      <c r="F88" s="51"/>
      <c r="G88" s="51"/>
      <c r="H88" s="87">
        <v>1</v>
      </c>
      <c r="I88" s="53">
        <f>IFERROR(B88/A88,"")</f>
        <v>3.8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95</v>
      </c>
      <c r="C89" s="60">
        <v>2</v>
      </c>
      <c r="D89" s="60">
        <f>B89-80</f>
        <v>15</v>
      </c>
      <c r="E89" s="51"/>
      <c r="F89" s="51"/>
      <c r="G89" s="51"/>
      <c r="H89" s="87">
        <v>1</v>
      </c>
      <c r="I89" s="53">
        <f t="shared" ref="I89:I107" si="3">IF(A89&lt;&gt;0,(B89-(B88-D88))/(A89-A88),"")</f>
        <v>9.8000000000000007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131</v>
      </c>
      <c r="C90" s="60">
        <v>3</v>
      </c>
      <c r="D90" s="60">
        <f>B90-112</f>
        <v>19</v>
      </c>
      <c r="E90" s="87">
        <v>0.3</v>
      </c>
      <c r="F90" s="87">
        <v>0.08</v>
      </c>
      <c r="G90" s="87">
        <v>0.12</v>
      </c>
      <c r="H90" s="87">
        <v>0.5</v>
      </c>
      <c r="I90" s="53">
        <f t="shared" si="3"/>
        <v>10.199999999999999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v>163</v>
      </c>
      <c r="C91" s="60">
        <v>4</v>
      </c>
      <c r="D91" s="60">
        <f>B91-142</f>
        <v>21</v>
      </c>
      <c r="E91" s="87">
        <v>0.3</v>
      </c>
      <c r="F91" s="87">
        <v>0.08</v>
      </c>
      <c r="G91" s="87">
        <v>0.12</v>
      </c>
      <c r="H91" s="87">
        <v>0.5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v>192</v>
      </c>
      <c r="C92" s="60">
        <v>5</v>
      </c>
      <c r="D92" s="60">
        <f>B92-170</f>
        <v>22</v>
      </c>
      <c r="E92" s="87">
        <v>0.4</v>
      </c>
      <c r="F92" s="87">
        <v>0.06</v>
      </c>
      <c r="G92" s="87">
        <v>0.14000000000000001</v>
      </c>
      <c r="H92" s="87">
        <v>0.4</v>
      </c>
      <c r="I92" s="53">
        <f t="shared" si="3"/>
        <v>10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v>216</v>
      </c>
      <c r="C93" s="60">
        <v>6</v>
      </c>
      <c r="D93" s="60">
        <f>B93-193</f>
        <v>23</v>
      </c>
      <c r="E93" s="87">
        <v>0.4</v>
      </c>
      <c r="F93" s="87">
        <v>0.06</v>
      </c>
      <c r="G93" s="87">
        <v>0.14000000000000001</v>
      </c>
      <c r="H93" s="87">
        <v>0.4</v>
      </c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v>238</v>
      </c>
      <c r="C94" s="60">
        <v>7</v>
      </c>
      <c r="D94" s="60">
        <f>B94-214</f>
        <v>24</v>
      </c>
      <c r="E94" s="87">
        <v>0.6</v>
      </c>
      <c r="F94" s="87">
        <v>0.04</v>
      </c>
      <c r="G94" s="87">
        <v>0.06</v>
      </c>
      <c r="H94" s="87">
        <v>0.3</v>
      </c>
      <c r="I94" s="53">
        <f t="shared" si="3"/>
        <v>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v>257</v>
      </c>
      <c r="C95" s="60">
        <v>8</v>
      </c>
      <c r="D95" s="60">
        <f>B95-233</f>
        <v>24</v>
      </c>
      <c r="E95" s="87">
        <v>0.6</v>
      </c>
      <c r="F95" s="87">
        <v>0.04</v>
      </c>
      <c r="G95" s="87">
        <v>0.06</v>
      </c>
      <c r="H95" s="87">
        <v>0.3</v>
      </c>
      <c r="I95" s="53">
        <f t="shared" si="3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55</v>
      </c>
      <c r="B96" s="60">
        <v>274</v>
      </c>
      <c r="C96" s="60">
        <v>9</v>
      </c>
      <c r="D96" s="60">
        <f>B96-251</f>
        <v>23</v>
      </c>
      <c r="E96" s="87">
        <v>0.7</v>
      </c>
      <c r="F96" s="87">
        <v>0.04</v>
      </c>
      <c r="G96" s="87">
        <v>0.06</v>
      </c>
      <c r="H96" s="87">
        <v>0.2</v>
      </c>
      <c r="I96" s="53">
        <f t="shared" si="3"/>
        <v>8.1999999999999993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60</v>
      </c>
      <c r="B97" s="60">
        <v>289</v>
      </c>
      <c r="C97" s="60">
        <v>10</v>
      </c>
      <c r="D97" s="60">
        <f>B97-266</f>
        <v>23</v>
      </c>
      <c r="E97" s="87">
        <v>0.7</v>
      </c>
      <c r="F97" s="87">
        <v>0.04</v>
      </c>
      <c r="G97" s="87">
        <v>0.06</v>
      </c>
      <c r="H97" s="87">
        <v>0.2</v>
      </c>
      <c r="I97" s="53">
        <f t="shared" si="3"/>
        <v>7.6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65</v>
      </c>
      <c r="B98" s="60">
        <v>302</v>
      </c>
      <c r="C98" s="60">
        <v>11</v>
      </c>
      <c r="D98" s="60">
        <f>B98-279</f>
        <v>23</v>
      </c>
      <c r="E98" s="87">
        <v>0.7</v>
      </c>
      <c r="F98" s="87">
        <v>0.04</v>
      </c>
      <c r="G98" s="87">
        <v>0.06</v>
      </c>
      <c r="H98" s="87">
        <v>0.2</v>
      </c>
      <c r="I98" s="53">
        <f t="shared" si="3"/>
        <v>7.2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70</v>
      </c>
      <c r="B99" s="60">
        <v>313</v>
      </c>
      <c r="C99" s="60">
        <v>12</v>
      </c>
      <c r="D99" s="60">
        <f>B99-291</f>
        <v>22</v>
      </c>
      <c r="E99" s="87">
        <v>0.8</v>
      </c>
      <c r="F99" s="87">
        <v>0.04</v>
      </c>
      <c r="G99" s="87">
        <v>0.06</v>
      </c>
      <c r="H99" s="87">
        <v>0.1</v>
      </c>
      <c r="I99" s="53">
        <f t="shared" si="3"/>
        <v>6.8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75</v>
      </c>
      <c r="B100" s="60">
        <v>324</v>
      </c>
      <c r="C100" s="60">
        <v>13</v>
      </c>
      <c r="D100" s="60">
        <f>B100-302</f>
        <v>22</v>
      </c>
      <c r="E100" s="65">
        <v>0.8</v>
      </c>
      <c r="F100" s="65">
        <v>0.04</v>
      </c>
      <c r="G100" s="65">
        <v>0.06</v>
      </c>
      <c r="H100" s="65">
        <v>0.1</v>
      </c>
      <c r="I100" s="53">
        <f t="shared" si="3"/>
        <v>6.6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80</v>
      </c>
      <c r="B101" s="60">
        <v>333</v>
      </c>
      <c r="C101" s="60">
        <v>14</v>
      </c>
      <c r="D101" s="60">
        <f>B101-312</f>
        <v>21</v>
      </c>
      <c r="E101" s="65">
        <v>0.8</v>
      </c>
      <c r="F101" s="65">
        <v>0.04</v>
      </c>
      <c r="G101" s="65">
        <v>0.06</v>
      </c>
      <c r="H101" s="65">
        <v>0.1</v>
      </c>
      <c r="I101" s="53">
        <f t="shared" si="3"/>
        <v>6.2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85</v>
      </c>
      <c r="B102" s="50">
        <v>342</v>
      </c>
      <c r="C102" s="60">
        <v>15</v>
      </c>
      <c r="D102" s="50">
        <v>20</v>
      </c>
      <c r="E102" s="54">
        <v>0.8</v>
      </c>
      <c r="F102" s="54">
        <v>0.04</v>
      </c>
      <c r="G102" s="54">
        <v>0.06</v>
      </c>
      <c r="H102" s="54">
        <v>0.1</v>
      </c>
      <c r="I102" s="53">
        <f t="shared" si="3"/>
        <v>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Hêtre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30</v>
      </c>
      <c r="B114" s="60">
        <f>61+D114</f>
        <v>73</v>
      </c>
      <c r="C114" s="50">
        <v>1</v>
      </c>
      <c r="D114" s="60">
        <v>12</v>
      </c>
      <c r="E114" s="51"/>
      <c r="F114" s="51"/>
      <c r="G114" s="51"/>
      <c r="H114" s="51">
        <v>1</v>
      </c>
      <c r="I114" s="53">
        <f>IFERROR(B114/A114,"")</f>
        <v>2.4333333333333331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35</v>
      </c>
      <c r="B115" s="60">
        <f>76+D115</f>
        <v>97</v>
      </c>
      <c r="C115" s="50">
        <v>2</v>
      </c>
      <c r="D115" s="60">
        <v>21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7.2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f>94+D116</f>
        <v>115</v>
      </c>
      <c r="C116" s="50">
        <v>3</v>
      </c>
      <c r="D116" s="60">
        <v>21</v>
      </c>
      <c r="E116" s="51">
        <v>0.3</v>
      </c>
      <c r="F116" s="51">
        <v>0.08</v>
      </c>
      <c r="G116" s="51">
        <v>0.12</v>
      </c>
      <c r="H116" s="51">
        <v>0.5</v>
      </c>
      <c r="I116" s="53">
        <f t="shared" si="4"/>
        <v>7.8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45</v>
      </c>
      <c r="B117" s="60">
        <f>113+D117</f>
        <v>134</v>
      </c>
      <c r="C117" s="50">
        <v>4</v>
      </c>
      <c r="D117" s="60">
        <v>21</v>
      </c>
      <c r="E117" s="51">
        <v>0.3</v>
      </c>
      <c r="F117" s="51">
        <v>0.08</v>
      </c>
      <c r="G117" s="51">
        <v>0.12</v>
      </c>
      <c r="H117" s="51">
        <v>0.5</v>
      </c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50</v>
      </c>
      <c r="B118" s="60">
        <f>133+D118</f>
        <v>154</v>
      </c>
      <c r="C118" s="50">
        <v>5</v>
      </c>
      <c r="D118" s="60">
        <v>21</v>
      </c>
      <c r="E118" s="51">
        <v>0.4</v>
      </c>
      <c r="F118" s="51">
        <v>0.06</v>
      </c>
      <c r="G118" s="51">
        <v>0.14000000000000001</v>
      </c>
      <c r="H118" s="51">
        <v>0.4</v>
      </c>
      <c r="I118" s="53">
        <f t="shared" si="4"/>
        <v>8.1999999999999993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55</v>
      </c>
      <c r="B119" s="60">
        <f>155+D119</f>
        <v>176</v>
      </c>
      <c r="C119" s="50">
        <v>6</v>
      </c>
      <c r="D119" s="60">
        <v>21</v>
      </c>
      <c r="E119" s="51">
        <v>0.4</v>
      </c>
      <c r="F119" s="51">
        <v>0.06</v>
      </c>
      <c r="G119" s="51">
        <v>0.14000000000000001</v>
      </c>
      <c r="H119" s="51">
        <v>0.4</v>
      </c>
      <c r="I119" s="53">
        <f t="shared" si="4"/>
        <v>8.6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60</v>
      </c>
      <c r="B120" s="60">
        <f>176+D120</f>
        <v>197</v>
      </c>
      <c r="C120" s="60">
        <v>7</v>
      </c>
      <c r="D120" s="60">
        <v>21</v>
      </c>
      <c r="E120" s="87">
        <v>0.6</v>
      </c>
      <c r="F120" s="87">
        <v>0.04</v>
      </c>
      <c r="G120" s="87">
        <v>0.06</v>
      </c>
      <c r="H120" s="87">
        <v>0.3</v>
      </c>
      <c r="I120" s="53">
        <f t="shared" si="4"/>
        <v>8.4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65</v>
      </c>
      <c r="B121" s="60">
        <f>196+D121</f>
        <v>217</v>
      </c>
      <c r="C121" s="60">
        <v>8</v>
      </c>
      <c r="D121" s="60">
        <v>21</v>
      </c>
      <c r="E121" s="87">
        <v>0.6</v>
      </c>
      <c r="F121" s="87">
        <v>0.04</v>
      </c>
      <c r="G121" s="87">
        <v>0.06</v>
      </c>
      <c r="H121" s="87">
        <v>0.3</v>
      </c>
      <c r="I121" s="53">
        <f t="shared" si="4"/>
        <v>8.1999999999999993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70</v>
      </c>
      <c r="B122" s="60">
        <f>216+D122</f>
        <v>237</v>
      </c>
      <c r="C122" s="60">
        <v>9</v>
      </c>
      <c r="D122" s="60">
        <v>21</v>
      </c>
      <c r="E122" s="87">
        <v>0.7</v>
      </c>
      <c r="F122" s="87">
        <v>0.04</v>
      </c>
      <c r="G122" s="87">
        <v>0.06</v>
      </c>
      <c r="H122" s="87">
        <v>0.2</v>
      </c>
      <c r="I122" s="53">
        <f t="shared" si="4"/>
        <v>8.1999999999999993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75</v>
      </c>
      <c r="B123" s="60">
        <f>233+D123</f>
        <v>254</v>
      </c>
      <c r="C123" s="60">
        <v>10</v>
      </c>
      <c r="D123" s="60">
        <v>21</v>
      </c>
      <c r="E123" s="87">
        <v>0.7</v>
      </c>
      <c r="F123" s="87">
        <v>0.04</v>
      </c>
      <c r="G123" s="87">
        <v>0.06</v>
      </c>
      <c r="H123" s="87">
        <v>0.2</v>
      </c>
      <c r="I123" s="53">
        <f t="shared" si="4"/>
        <v>7.6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80</v>
      </c>
      <c r="B124" s="60">
        <f>249+D124</f>
        <v>270</v>
      </c>
      <c r="C124" s="60">
        <v>11</v>
      </c>
      <c r="D124" s="60">
        <v>21</v>
      </c>
      <c r="E124" s="87">
        <v>0.7</v>
      </c>
      <c r="F124" s="87">
        <v>0.04</v>
      </c>
      <c r="G124" s="87">
        <v>0.06</v>
      </c>
      <c r="H124" s="87">
        <v>0.2</v>
      </c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85</v>
      </c>
      <c r="B125" s="60">
        <f>263+D125</f>
        <v>284</v>
      </c>
      <c r="C125" s="60">
        <v>12</v>
      </c>
      <c r="D125" s="60">
        <v>21</v>
      </c>
      <c r="E125" s="87">
        <v>0.8</v>
      </c>
      <c r="F125" s="87">
        <v>0.04</v>
      </c>
      <c r="G125" s="87">
        <v>0.06</v>
      </c>
      <c r="H125" s="87">
        <v>0.1</v>
      </c>
      <c r="I125" s="53">
        <f t="shared" si="4"/>
        <v>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90</v>
      </c>
      <c r="B126" s="60">
        <f>275+D126</f>
        <v>296</v>
      </c>
      <c r="C126" s="60">
        <v>13</v>
      </c>
      <c r="D126" s="60">
        <v>21</v>
      </c>
      <c r="E126" s="65">
        <v>0.8</v>
      </c>
      <c r="F126" s="65">
        <v>0.04</v>
      </c>
      <c r="G126" s="65">
        <v>0.06</v>
      </c>
      <c r="H126" s="65">
        <v>0.1</v>
      </c>
      <c r="I126" s="53">
        <f t="shared" si="4"/>
        <v>6.6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95</v>
      </c>
      <c r="B127" s="60">
        <f>286+D127</f>
        <v>306</v>
      </c>
      <c r="C127" s="60">
        <v>14</v>
      </c>
      <c r="D127" s="60">
        <v>20</v>
      </c>
      <c r="E127" s="65">
        <v>0.8</v>
      </c>
      <c r="F127" s="65">
        <v>0.04</v>
      </c>
      <c r="G127" s="65">
        <v>0.06</v>
      </c>
      <c r="H127" s="65">
        <v>0.1</v>
      </c>
      <c r="I127" s="53">
        <f t="shared" si="4"/>
        <v>6.2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100</v>
      </c>
      <c r="B128" s="50">
        <f>297+D128</f>
        <v>316</v>
      </c>
      <c r="C128" s="50">
        <v>15</v>
      </c>
      <c r="D128" s="50">
        <v>19</v>
      </c>
      <c r="E128" s="54">
        <v>0.8</v>
      </c>
      <c r="F128" s="54">
        <v>0.04</v>
      </c>
      <c r="G128" s="54">
        <v>0.06</v>
      </c>
      <c r="H128" s="54">
        <v>0.1</v>
      </c>
      <c r="I128" s="53">
        <f t="shared" si="4"/>
        <v>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Peuplier Koster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125</v>
      </c>
      <c r="C140" s="50"/>
      <c r="D140" s="60"/>
      <c r="E140" s="51"/>
      <c r="F140" s="51"/>
      <c r="G140" s="51"/>
      <c r="H140" s="51"/>
      <c r="I140" s="57">
        <f>IFERROR(B140/A140,"")</f>
        <v>12.5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232</v>
      </c>
      <c r="C141" s="50"/>
      <c r="D141" s="60"/>
      <c r="E141" s="51"/>
      <c r="F141" s="51"/>
      <c r="G141" s="51"/>
      <c r="H141" s="51"/>
      <c r="I141" s="57">
        <f t="shared" ref="I141:I159" si="5">IF(A141&lt;&gt;0,(B141-(B140-D140))/(A141-A140),"")</f>
        <v>21.4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343</v>
      </c>
      <c r="C142" s="50"/>
      <c r="D142" s="60"/>
      <c r="E142" s="51"/>
      <c r="F142" s="51"/>
      <c r="G142" s="51"/>
      <c r="H142" s="51"/>
      <c r="I142" s="57">
        <f t="shared" si="5"/>
        <v>22.2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22</v>
      </c>
      <c r="B143" s="60">
        <v>382</v>
      </c>
      <c r="C143" s="50"/>
      <c r="D143" s="60"/>
      <c r="E143" s="51"/>
      <c r="F143" s="51"/>
      <c r="G143" s="51"/>
      <c r="H143" s="51"/>
      <c r="I143" s="57">
        <f t="shared" si="5"/>
        <v>19.5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24</v>
      </c>
      <c r="B144" s="60">
        <v>421</v>
      </c>
      <c r="C144" s="50"/>
      <c r="D144" s="60"/>
      <c r="E144" s="51"/>
      <c r="F144" s="51"/>
      <c r="G144" s="51"/>
      <c r="H144" s="51"/>
      <c r="I144" s="57">
        <f t="shared" si="5"/>
        <v>19.5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26</v>
      </c>
      <c r="B145" s="60">
        <v>449</v>
      </c>
      <c r="C145" s="50">
        <v>1</v>
      </c>
      <c r="D145" s="60">
        <v>449</v>
      </c>
      <c r="E145" s="51">
        <v>0.56000000000000005</v>
      </c>
      <c r="F145" s="51">
        <v>0.34</v>
      </c>
      <c r="G145" s="51">
        <v>0.1</v>
      </c>
      <c r="H145" s="51"/>
      <c r="I145" s="57">
        <f t="shared" si="5"/>
        <v>14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3" zoomScaleNormal="100" workbookViewId="0">
      <selection activeCell="G18" sqref="G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taeda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Hêtre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Peuplier Koster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216.83230520434313</v>
      </c>
      <c r="T3" s="59">
        <f>IF('Données projet'!E9&gt;30,$R$33-$H$33,LOOKUP('Données projet'!$E$9,$A$3:$A$203,R3:R203)-LOOKUP('Données projet'!$E$9,$A$3:$A$203,$H$3:$H$203))</f>
        <v>275.41891707278205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292.42154837691379</v>
      </c>
      <c r="AO3" s="59">
        <f>IF('Données projet'!E10&gt;30,$AM$33-$H$33,LOOKUP('Données projet'!$E$10,$A$3:$A$203,AM3:AM203)-LOOKUP('Données projet'!$E$10,$A$3:$A$203,$H$3:$H$203))</f>
        <v>193.18009444354601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339.00921630742886</v>
      </c>
      <c r="BJ3" s="59">
        <f>IF('Données projet'!E11&gt;30,$BH$33-$H$33,LOOKUP('Données projet'!$E$11,$A$3:$A$203,BH3:BH203)-LOOKUP('Données projet'!$E$11,$A$3:$A$203,$H$3:$H$203))</f>
        <v>314.95763895978303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204.6927427024138</v>
      </c>
      <c r="CE3" s="59">
        <f>IF('Données projet'!E12&gt;30,$CC$33-$H$33,LOOKUP('Données projet'!$E$12,$A$3:$A$203,CC3:CC203)-LOOKUP('Données projet'!$E$12,$A$3:$A$203,$H$3:$H$203))</f>
        <v>115.74231133146816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204.15575418077316</v>
      </c>
      <c r="CZ3" s="59">
        <f>IF('Données projet'!E13&gt;30,$CX$33-$H$33,LOOKUP('Données projet'!$E$13,$A$3:$A$203,CX3:CX203)-LOOKUP('Données projet'!$E$13,$A$3:$A$203,$H$3:$H$203))</f>
        <v>473.73726605265045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</v>
      </c>
      <c r="N4" s="13">
        <f>IF('Données projet'!$A$36&gt;35,N3+M4-V3,IF(A4&lt;'Données projet'!$A$36,$K$205^A4,IF(A4='Données projet'!$A$36,'Données projet'!$B$36,N3+M4-V3)))</f>
        <v>1.3874918282171698</v>
      </c>
      <c r="O4" s="13">
        <f>N4*VLOOKUP('Données projet'!$B$9,Paramètres!$A$1:$I$89,3,0)*VLOOKUP('Données projet'!$B$9,Paramètres!$A$1:$I$89,5,0)</f>
        <v>0.82972011327386763</v>
      </c>
      <c r="P4" s="13">
        <f>EXP(-1.0587+0.8836*LN(O4)+0.284)</f>
        <v>0.390768945114226</v>
      </c>
      <c r="Q4" s="20">
        <f t="shared" ref="Q4:Q34" si="2">(O4+P4)*0.475*44/12</f>
        <v>2.1256851100259295</v>
      </c>
      <c r="R4" s="59">
        <f t="shared" si="0"/>
        <v>260.01457399891478</v>
      </c>
      <c r="S4" s="59">
        <f ca="1">AVERAGE(OFFSET($R$3,0,0,'Données projet'!$E$9+1,1))-AVERAGE(OFFSET($H$3,0,0,'Données projet'!$E$9+1,1))</f>
        <v>216.83230520434313</v>
      </c>
      <c r="T4" s="59">
        <f>$T$3</f>
        <v>275.41891707278205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1.2018267787257499</v>
      </c>
      <c r="AK4" s="13">
        <f>EXP(-1.0587+0.8836*LN(AJ4)+0.284)</f>
        <v>0.5421261382842083</v>
      </c>
      <c r="AL4" s="20">
        <f t="shared" ref="AL4:AL67" si="4">(AJ4+AK4)*0.475*44/12</f>
        <v>3.0373846637923445</v>
      </c>
      <c r="AM4" s="59">
        <f t="shared" ref="AM4:AM67" si="5">AL4+(AD4+AE4)*44/12</f>
        <v>260.92627355268121</v>
      </c>
      <c r="AN4" s="59">
        <f ca="1">AVERAGE(OFFSET($AM$3,0,0,'Données projet'!$E$10+1,1))-AVERAGE(OFFSET($H$3,0,0,'Données projet'!$E$10+1,1))</f>
        <v>292.42154837691379</v>
      </c>
      <c r="AO4" s="59">
        <f>$AO$3</f>
        <v>193.18009444354601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</v>
      </c>
      <c r="BD4" s="12">
        <f>IF('Données projet'!$A$88&gt;35,BD3+BC4-BL3,IF(A4&lt;'Données projet'!$A$88,$BA$205^A4,IF(A4='Données projet'!$A$88,'Données projet'!$B$88,BD3+BC4-BL3)))</f>
        <v>1.3093577517960842</v>
      </c>
      <c r="BE4" s="13">
        <f>BD4*VLOOKUP('Données projet'!$B$11,Paramètres!$A$1:$I$89,3,0)*VLOOKUP('Données projet'!$B$11,Paramètres!$A$1:$I$89,5,0)</f>
        <v>1.2459848366091537</v>
      </c>
      <c r="BF4" s="13">
        <f>EXP(-1.0587+0.8836*LN(BE4)+0.284)</f>
        <v>0.55968947110461409</v>
      </c>
      <c r="BG4" s="20">
        <f t="shared" ref="BG4:BG67" si="7">(BE4+BF4)*0.475*44/12</f>
        <v>3.1448827526014789</v>
      </c>
      <c r="BH4" s="59">
        <f t="shared" ref="BH4:BH67" si="8">BG4+(AY4+AZ4)*44/12</f>
        <v>261.03377164149032</v>
      </c>
      <c r="BI4" s="59">
        <f ca="1">AVERAGE(OFFSET($BH$3,0,0,'Données projet'!$E$11+1,1))-AVERAGE(OFFSET($H$3,0,0,'Données projet'!$E$11+1,1))</f>
        <v>339.00921630742886</v>
      </c>
      <c r="BJ4" s="59">
        <f>$BJ$3</f>
        <v>314.95763895978303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2.4333333333333331</v>
      </c>
      <c r="BY4" s="12">
        <f>IF('Données projet'!$A$114&gt;35,BY3+BX4-CG3,IF(A4&lt;'Données projet'!$A$114,$BV$205^A4,IF(A4='Données projet'!$A$114,'Données projet'!$B$114,BY3+BX4-CG3)))</f>
        <v>1.1537474708328095</v>
      </c>
      <c r="BZ4" s="13">
        <f>BY4*VLOOKUP('Données projet'!$B$12,Paramètres!$A$1:$I$89,3,0)*VLOOKUP('Données projet'!$B$12,Paramètres!$A$1:$I$89,5,0)</f>
        <v>0.98991532997455067</v>
      </c>
      <c r="CA4" s="13">
        <f>EXP(-1.0587+0.8836*LN(BZ4)+0.284)</f>
        <v>0.45673311590716525</v>
      </c>
      <c r="CB4" s="20">
        <f t="shared" ref="CB4:CB67" si="10">(BZ4+CA4)*0.475*44/12</f>
        <v>2.519579376577322</v>
      </c>
      <c r="CC4" s="59">
        <f t="shared" ref="CC4:CC67" si="11">CB4+(BT4+BU4)*44/12</f>
        <v>260.40846826546618</v>
      </c>
      <c r="CD4" s="59">
        <f ca="1">AVERAGE(OFFSET($CC$3,0,0,'Données projet'!$E$12+1,1))-AVERAGE(OFFSET($H$3,0,0,'Données projet'!$E$12+1,1))</f>
        <v>204.6927427024138</v>
      </c>
      <c r="CE4" s="59">
        <f>$CE$3</f>
        <v>115.74231133146816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12.5</v>
      </c>
      <c r="CT4" s="12">
        <f>IF('Données projet'!$A$140&gt;35,CT3+CS4-DB3,IF(A4&lt;'Données projet'!$A$140,$CQ$205^A4,IF(A4='Données projet'!$A$140,'Données projet'!$B$140,CT3+CS4-DB3)))</f>
        <v>1.6206565966927624</v>
      </c>
      <c r="CU4" s="17">
        <f>CT4*VLOOKUP('Données projet'!$B$13,Paramètres!$A$1:$I$89,3,0)*VLOOKUP('Données projet'!$B$13,Paramètres!$A$1:$I$89,5,0)</f>
        <v>0.82420111881407132</v>
      </c>
      <c r="CV4" s="13">
        <f>EXP(-1.0587+0.8836*LN(CU4)+0.284)</f>
        <v>0.38847135475067074</v>
      </c>
      <c r="CW4" s="20">
        <f t="shared" ref="CW4:CW67" si="13">(CU4+CV4)*0.475*44/12</f>
        <v>2.1120712247919253</v>
      </c>
      <c r="CX4" s="59">
        <f t="shared" ref="CX4:CX67" si="14">CW4+(CO4+CP4)*44/12</f>
        <v>260.00096011368078</v>
      </c>
      <c r="CY4" s="59">
        <f ca="1">AVERAGE(OFFSET($CX$3,0,0,'Données projet'!$E$13+1,1))-AVERAGE(OFFSET($H$3,0,0,'Données projet'!$E$13+1,1))</f>
        <v>204.15575418077316</v>
      </c>
      <c r="CZ4" s="59">
        <f>$CZ$3</f>
        <v>473.73726605265045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</v>
      </c>
      <c r="N5" s="13">
        <f>IF('Données projet'!$A$36&gt;35,N4+M5-V4,IF(A5&lt;'Données projet'!$A$36,$K$205^A5,IF(A5='Données projet'!$A$36,'Données projet'!$B$36,N4+M5-V4)))</f>
        <v>1.9251335733694241</v>
      </c>
      <c r="O5" s="13">
        <f>N5*VLOOKUP('Données projet'!$B$9,Paramètres!$A$1:$I$89,3,0)*VLOOKUP('Données projet'!$B$9,Paramètres!$A$1:$I$89,5,0)</f>
        <v>1.1512298768749158</v>
      </c>
      <c r="P5" s="13">
        <f t="shared" ref="P5:P68" si="33">EXP(-1.0587+0.8836*LN(O5)+0.284)</f>
        <v>0.52190908160558036</v>
      </c>
      <c r="Q5" s="20">
        <f t="shared" si="2"/>
        <v>2.9140503526868642</v>
      </c>
      <c r="R5" s="59">
        <f t="shared" si="0"/>
        <v>262.02516146379799</v>
      </c>
      <c r="S5" s="59">
        <f ca="1">AVERAGE(OFFSET($R$3,0,0,'Données projet'!$E$9+1,1))-AVERAGE(OFFSET($H$3,0,0,'Données projet'!$E$9+1,1))</f>
        <v>216.83230520434313</v>
      </c>
      <c r="T5" s="59">
        <f t="shared" ref="T5:T68" si="34">$T$3</f>
        <v>275.41891707278205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1.4244453708701312</v>
      </c>
      <c r="AK5" s="13">
        <f t="shared" ref="AK5:AK68" si="35">EXP(-1.0587+0.8836*LN(AJ5)+0.284)</f>
        <v>0.62996075113518346</v>
      </c>
      <c r="AL5" s="20">
        <f t="shared" si="4"/>
        <v>3.5780906624925897</v>
      </c>
      <c r="AM5" s="59">
        <f t="shared" si="5"/>
        <v>262.68920177360371</v>
      </c>
      <c r="AN5" s="59">
        <f ca="1">AVERAGE(OFFSET($AM$3,0,0,'Données projet'!$E$10+1,1))-AVERAGE(OFFSET($H$3,0,0,'Données projet'!$E$10+1,1))</f>
        <v>292.42154837691379</v>
      </c>
      <c r="AO5" s="59">
        <f t="shared" ref="AO5:AO68" si="36">$AO$3</f>
        <v>193.18009444354601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</v>
      </c>
      <c r="BD5" s="12">
        <f>IF('Données projet'!$A$88&gt;35,BD4+BC5-BL4,IF(A5&lt;'Données projet'!$A$88,$BA$205^A5,IF(A5='Données projet'!$A$88,'Données projet'!$B$88,BD4+BC5-BL4)))</f>
        <v>1.714417722188496</v>
      </c>
      <c r="BE5" s="13">
        <f>BD5*VLOOKUP('Données projet'!$B$11,Paramètres!$A$1:$I$89,3,0)*VLOOKUP('Données projet'!$B$11,Paramètres!$A$1:$I$89,5,0)</f>
        <v>1.6314399044345729</v>
      </c>
      <c r="BF5" s="13">
        <f t="shared" ref="BF5:BF68" si="37">EXP(-1.0587+0.8836*LN(BE5)+0.284)</f>
        <v>0.71019869812318392</v>
      </c>
      <c r="BG5" s="20">
        <f t="shared" si="7"/>
        <v>4.0783538994547595</v>
      </c>
      <c r="BH5" s="59">
        <f t="shared" si="8"/>
        <v>263.18946501056593</v>
      </c>
      <c r="BI5" s="59">
        <f ca="1">AVERAGE(OFFSET($BH$3,0,0,'Données projet'!$E$11+1,1))-AVERAGE(OFFSET($H$3,0,0,'Données projet'!$E$11+1,1))</f>
        <v>339.00921630742886</v>
      </c>
      <c r="BJ5" s="59">
        <f t="shared" ref="BJ5:BJ68" si="38">$BJ$3</f>
        <v>314.95763895978303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2.4333333333333331</v>
      </c>
      <c r="BY5" s="12">
        <f>IF('Données projet'!$A$114&gt;35,BY4+BX5-CG4,IF(A5&lt;'Données projet'!$A$114,$BV$205^A5,IF(A5='Données projet'!$A$114,'Données projet'!$B$114,BY4+BX5-CG4)))</f>
        <v>1.3311332264531046</v>
      </c>
      <c r="BZ5" s="13">
        <f>BY5*VLOOKUP('Données projet'!$B$12,Paramètres!$A$1:$I$89,3,0)*VLOOKUP('Données projet'!$B$12,Paramètres!$A$1:$I$89,5,0)</f>
        <v>1.1421123082967639</v>
      </c>
      <c r="CA5" s="13">
        <f t="shared" ref="CA5:CA68" si="39">EXP(-1.0587+0.8836*LN(BZ5)+0.284)</f>
        <v>0.51825508385623853</v>
      </c>
      <c r="CB5" s="20">
        <f t="shared" si="10"/>
        <v>2.8918065413331457</v>
      </c>
      <c r="CC5" s="59">
        <f t="shared" si="11"/>
        <v>262.0029176524443</v>
      </c>
      <c r="CD5" s="59">
        <f ca="1">AVERAGE(OFFSET($CC$3,0,0,'Données projet'!$E$12+1,1))-AVERAGE(OFFSET($H$3,0,0,'Données projet'!$E$12+1,1))</f>
        <v>204.6927427024138</v>
      </c>
      <c r="CE5" s="59">
        <f t="shared" ref="CE5:CE68" si="40">$CE$3</f>
        <v>115.74231133146816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12.5</v>
      </c>
      <c r="CT5" s="12">
        <f>IF('Données projet'!$A$140&gt;35,CT4+CS5-DB4,IF(A5&lt;'Données projet'!$A$140,$CQ$205^A5,IF(A5='Données projet'!$A$140,'Données projet'!$B$140,CT4+CS5-DB4)))</f>
        <v>2.626527804403767</v>
      </c>
      <c r="CU5" s="17">
        <f>CT5*VLOOKUP('Données projet'!$B$13,Paramètres!$A$1:$I$89,3,0)*VLOOKUP('Données projet'!$B$13,Paramètres!$A$1:$I$89,5,0)</f>
        <v>1.3357469802075799</v>
      </c>
      <c r="CV5" s="13">
        <f t="shared" ref="CV5:CV68" si="41">EXP(-1.0587+0.8836*LN(CU5)+0.284)</f>
        <v>0.5951712837527382</v>
      </c>
      <c r="CW5" s="20">
        <f t="shared" si="13"/>
        <v>3.3630159763975538</v>
      </c>
      <c r="CX5" s="59">
        <f t="shared" si="14"/>
        <v>262.47412708750869</v>
      </c>
      <c r="CY5" s="59">
        <f ca="1">AVERAGE(OFFSET($CX$3,0,0,'Données projet'!$E$13+1,1))-AVERAGE(OFFSET($H$3,0,0,'Données projet'!$E$13+1,1))</f>
        <v>204.15575418077316</v>
      </c>
      <c r="CZ5" s="59">
        <f t="shared" ref="CZ5:CZ68" si="42">$CZ$3</f>
        <v>473.73726605265045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</v>
      </c>
      <c r="N6" s="13">
        <f>IF('Données projet'!$A$36&gt;35,N5+M6-V5,IF(A6&lt;'Données projet'!$A$36,$K$205^A6,IF(A6='Données projet'!$A$36,'Données projet'!$B$36,N5+M6-V5)))</f>
        <v>2.6711071012765952</v>
      </c>
      <c r="O6" s="13">
        <f>N6*VLOOKUP('Données projet'!$B$9,Paramètres!$A$1:$I$89,3,0)*VLOOKUP('Données projet'!$B$9,Paramètres!$A$1:$I$89,5,0)</f>
        <v>1.5973220465634042</v>
      </c>
      <c r="P6" s="13">
        <f t="shared" si="33"/>
        <v>0.69705920306117974</v>
      </c>
      <c r="Q6" s="20">
        <f t="shared" si="2"/>
        <v>3.9960473430961501</v>
      </c>
      <c r="R6" s="59">
        <f t="shared" si="0"/>
        <v>264.32938067642948</v>
      </c>
      <c r="S6" s="59">
        <f ca="1">AVERAGE(OFFSET($R$3,0,0,'Données projet'!$E$9+1,1))-AVERAGE(OFFSET($H$3,0,0,'Données projet'!$E$9+1,1))</f>
        <v>216.83230520434313</v>
      </c>
      <c r="T6" s="59">
        <f t="shared" si="34"/>
        <v>275.41891707278205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1.6883003861377279</v>
      </c>
      <c r="AK6" s="13">
        <f t="shared" si="35"/>
        <v>0.7320262203678447</v>
      </c>
      <c r="AL6" s="20">
        <f t="shared" si="4"/>
        <v>4.215402172997206</v>
      </c>
      <c r="AM6" s="59">
        <f t="shared" si="5"/>
        <v>264.5487355063305</v>
      </c>
      <c r="AN6" s="59">
        <f ca="1">AVERAGE(OFFSET($AM$3,0,0,'Données projet'!$E$10+1,1))-AVERAGE(OFFSET($H$3,0,0,'Données projet'!$E$10+1,1))</f>
        <v>292.42154837691379</v>
      </c>
      <c r="AO6" s="59">
        <f t="shared" si="36"/>
        <v>193.18009444354601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</v>
      </c>
      <c r="BD6" s="12">
        <f>IF('Données projet'!$A$88&gt;35,BD5+BC6-BL5,IF(A6&lt;'Données projet'!$A$88,$BA$205^A6,IF(A6='Données projet'!$A$88,'Données projet'!$B$88,BD5+BC6-BL5)))</f>
        <v>2.2447861343640927</v>
      </c>
      <c r="BE6" s="13">
        <f>BD6*VLOOKUP('Données projet'!$B$11,Paramètres!$A$1:$I$89,3,0)*VLOOKUP('Données projet'!$B$11,Paramètres!$A$1:$I$89,5,0)</f>
        <v>2.1361384854608705</v>
      </c>
      <c r="BF6" s="13">
        <f t="shared" si="37"/>
        <v>0.90118220344650524</v>
      </c>
      <c r="BG6" s="20">
        <f t="shared" si="7"/>
        <v>5.2900001998470128</v>
      </c>
      <c r="BH6" s="59">
        <f t="shared" si="8"/>
        <v>265.6233335331803</v>
      </c>
      <c r="BI6" s="59">
        <f ca="1">AVERAGE(OFFSET($BH$3,0,0,'Données projet'!$E$11+1,1))-AVERAGE(OFFSET($H$3,0,0,'Données projet'!$E$11+1,1))</f>
        <v>339.00921630742886</v>
      </c>
      <c r="BJ6" s="59">
        <f t="shared" si="38"/>
        <v>314.95763895978303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2.4333333333333331</v>
      </c>
      <c r="BY6" s="12">
        <f>IF('Données projet'!$A$114&gt;35,BY5+BX6-CG5,IF(A6&lt;'Données projet'!$A$114,$BV$205^A6,IF(A6='Données projet'!$A$114,'Données projet'!$B$114,BY5+BX6-CG5)))</f>
        <v>1.5357915933617869</v>
      </c>
      <c r="BZ6" s="13">
        <f>BY6*VLOOKUP('Données projet'!$B$12,Paramètres!$A$1:$I$89,3,0)*VLOOKUP('Données projet'!$B$12,Paramètres!$A$1:$I$89,5,0)</f>
        <v>1.3177091871044133</v>
      </c>
      <c r="CA6" s="13">
        <f t="shared" si="39"/>
        <v>0.58806406320979276</v>
      </c>
      <c r="CB6" s="20">
        <f t="shared" si="10"/>
        <v>3.3192217442972427</v>
      </c>
      <c r="CC6" s="59">
        <f t="shared" si="11"/>
        <v>263.65255507763055</v>
      </c>
      <c r="CD6" s="59">
        <f ca="1">AVERAGE(OFFSET($CC$3,0,0,'Données projet'!$E$12+1,1))-AVERAGE(OFFSET($H$3,0,0,'Données projet'!$E$12+1,1))</f>
        <v>204.6927427024138</v>
      </c>
      <c r="CE6" s="59">
        <f t="shared" si="40"/>
        <v>115.74231133146816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12.5</v>
      </c>
      <c r="CT6" s="12">
        <f>IF('Données projet'!$A$140&gt;35,CT5+CS6-DB5,IF(A6&lt;'Données projet'!$A$140,$CQ$205^A6,IF(A6='Données projet'!$A$140,'Données projet'!$B$140,CT5+CS6-DB5)))</f>
        <v>4.2566996126039225</v>
      </c>
      <c r="CU6" s="17">
        <f>CT6*VLOOKUP('Données projet'!$B$13,Paramètres!$A$1:$I$89,3,0)*VLOOKUP('Données projet'!$B$13,Paramètres!$A$1:$I$89,5,0)</f>
        <v>2.1647871549858508</v>
      </c>
      <c r="CV6" s="13">
        <f t="shared" si="41"/>
        <v>0.91185322333800944</v>
      </c>
      <c r="CW6" s="20">
        <f t="shared" si="13"/>
        <v>5.3584819922473903</v>
      </c>
      <c r="CX6" s="59">
        <f t="shared" si="14"/>
        <v>265.69181532558071</v>
      </c>
      <c r="CY6" s="59">
        <f ca="1">AVERAGE(OFFSET($CX$3,0,0,'Données projet'!$E$13+1,1))-AVERAGE(OFFSET($H$3,0,0,'Données projet'!$E$13+1,1))</f>
        <v>204.15575418077316</v>
      </c>
      <c r="CZ6" s="59">
        <f t="shared" si="42"/>
        <v>473.73726605265045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</v>
      </c>
      <c r="N7" s="13">
        <f>IF('Données projet'!$A$36&gt;35,N6+M7-V6,IF(A7&lt;'Données projet'!$A$36,$K$205^A7,IF(A7='Données projet'!$A$36,'Données projet'!$B$36,N6+M7-V6)))</f>
        <v>3.7061392753141278</v>
      </c>
      <c r="O7" s="13">
        <f>N7*VLOOKUP('Données projet'!$B$9,Paramètres!$A$1:$I$89,3,0)*VLOOKUP('Données projet'!$B$9,Paramètres!$A$1:$I$89,5,0)</f>
        <v>2.2162712866378489</v>
      </c>
      <c r="P7" s="13">
        <f t="shared" si="33"/>
        <v>0.93098884402913562</v>
      </c>
      <c r="Q7" s="20">
        <f t="shared" si="2"/>
        <v>5.4814780609116633</v>
      </c>
      <c r="R7" s="59">
        <f t="shared" si="0"/>
        <v>267.03703361646723</v>
      </c>
      <c r="S7" s="59">
        <f ca="1">AVERAGE(OFFSET($R$3,0,0,'Données projet'!$E$9+1,1))-AVERAGE(OFFSET($H$3,0,0,'Données projet'!$E$9+1,1))</f>
        <v>216.83230520434313</v>
      </c>
      <c r="T7" s="59">
        <f t="shared" si="34"/>
        <v>275.41891707278205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2.001030191906652</v>
      </c>
      <c r="AK7" s="13">
        <f t="shared" si="35"/>
        <v>0.85062821190115911</v>
      </c>
      <c r="AL7" s="20">
        <f t="shared" si="4"/>
        <v>4.9666383866319377</v>
      </c>
      <c r="AM7" s="59">
        <f t="shared" si="5"/>
        <v>266.52219394218747</v>
      </c>
      <c r="AN7" s="59">
        <f ca="1">AVERAGE(OFFSET($AM$3,0,0,'Données projet'!$E$10+1,1))-AVERAGE(OFFSET($H$3,0,0,'Données projet'!$E$10+1,1))</f>
        <v>292.42154837691379</v>
      </c>
      <c r="AO7" s="59">
        <f t="shared" si="36"/>
        <v>193.18009444354601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</v>
      </c>
      <c r="BD7" s="12">
        <f>IF('Données projet'!$A$88&gt;35,BD6+BC7-BL6,IF(A7&lt;'Données projet'!$A$88,$BA$205^A7,IF(A7='Données projet'!$A$88,'Données projet'!$B$88,BD6+BC7-BL6)))</f>
        <v>2.9392281261539908</v>
      </c>
      <c r="BE7" s="13">
        <f>BD7*VLOOKUP('Données projet'!$B$11,Paramètres!$A$1:$I$89,3,0)*VLOOKUP('Données projet'!$B$11,Paramètres!$A$1:$I$89,5,0)</f>
        <v>2.7969694848481375</v>
      </c>
      <c r="BF7" s="13">
        <f t="shared" si="37"/>
        <v>1.1435241516985077</v>
      </c>
      <c r="BG7" s="20">
        <f t="shared" si="7"/>
        <v>6.8630264169854067</v>
      </c>
      <c r="BH7" s="59">
        <f t="shared" si="8"/>
        <v>268.41858197254095</v>
      </c>
      <c r="BI7" s="59">
        <f ca="1">AVERAGE(OFFSET($BH$3,0,0,'Données projet'!$E$11+1,1))-AVERAGE(OFFSET($H$3,0,0,'Données projet'!$E$11+1,1))</f>
        <v>339.00921630742886</v>
      </c>
      <c r="BJ7" s="59">
        <f t="shared" si="38"/>
        <v>314.95763895978303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2.4333333333333331</v>
      </c>
      <c r="BY7" s="12">
        <f>IF('Données projet'!$A$114&gt;35,BY6+BX7-CG6,IF(A7&lt;'Données projet'!$A$114,$BV$205^A7,IF(A7='Données projet'!$A$114,'Données projet'!$B$114,BY6+BX7-CG6)))</f>
        <v>1.7719156665674523</v>
      </c>
      <c r="BZ7" s="13">
        <f>BY7*VLOOKUP('Données projet'!$B$12,Paramètres!$A$1:$I$89,3,0)*VLOOKUP('Données projet'!$B$12,Paramètres!$A$1:$I$89,5,0)</f>
        <v>1.5203036419148743</v>
      </c>
      <c r="CA7" s="13">
        <f t="shared" si="39"/>
        <v>0.66727631471675009</v>
      </c>
      <c r="CB7" s="20">
        <f t="shared" si="10"/>
        <v>3.8100350911334124</v>
      </c>
      <c r="CC7" s="59">
        <f t="shared" si="11"/>
        <v>265.36559064668893</v>
      </c>
      <c r="CD7" s="59">
        <f ca="1">AVERAGE(OFFSET($CC$3,0,0,'Données projet'!$E$12+1,1))-AVERAGE(OFFSET($H$3,0,0,'Données projet'!$E$12+1,1))</f>
        <v>204.6927427024138</v>
      </c>
      <c r="CE7" s="59">
        <f t="shared" si="40"/>
        <v>115.74231133146816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12.5</v>
      </c>
      <c r="CT7" s="12">
        <f>IF('Données projet'!$A$140&gt;35,CT6+CS7-DB6,IF(A7&lt;'Données projet'!$A$140,$CQ$205^A7,IF(A7='Données projet'!$A$140,'Données projet'!$B$140,CT6+CS7-DB6)))</f>
        <v>6.8986483073060727</v>
      </c>
      <c r="CU7" s="17">
        <f>CT7*VLOOKUP('Données projet'!$B$13,Paramètres!$A$1:$I$89,3,0)*VLOOKUP('Données projet'!$B$13,Paramètres!$A$1:$I$89,5,0)</f>
        <v>3.5083765831635771</v>
      </c>
      <c r="CV7" s="13">
        <f t="shared" si="41"/>
        <v>1.3970369935679754</v>
      </c>
      <c r="CW7" s="20">
        <f t="shared" si="13"/>
        <v>8.5435953128074544</v>
      </c>
      <c r="CX7" s="59">
        <f t="shared" si="14"/>
        <v>270.09915086836298</v>
      </c>
      <c r="CY7" s="59">
        <f ca="1">AVERAGE(OFFSET($CX$3,0,0,'Données projet'!$E$13+1,1))-AVERAGE(OFFSET($H$3,0,0,'Données projet'!$E$13+1,1))</f>
        <v>204.15575418077316</v>
      </c>
      <c r="CZ7" s="59">
        <f t="shared" si="42"/>
        <v>473.73726605265045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</v>
      </c>
      <c r="N8" s="13">
        <f>IF('Données projet'!$A$36&gt;35,N7+M8-V7,IF(A8&lt;'Données projet'!$A$36,$K$205^A8,IF(A8='Données projet'!$A$36,'Données projet'!$B$36,N7+M8-V7)))</f>
        <v>5.1422379587330562</v>
      </c>
      <c r="O8" s="13">
        <f>N8*VLOOKUP('Données projet'!$B$9,Paramètres!$A$1:$I$89,3,0)*VLOOKUP('Données projet'!$B$9,Paramètres!$A$1:$I$89,5,0)</f>
        <v>3.0750582993223681</v>
      </c>
      <c r="P8" s="13">
        <f t="shared" si="33"/>
        <v>1.2434241222271529</v>
      </c>
      <c r="Q8" s="20">
        <f t="shared" si="2"/>
        <v>7.5213568841987488</v>
      </c>
      <c r="R8" s="59">
        <f t="shared" si="0"/>
        <v>270.2991346619765</v>
      </c>
      <c r="S8" s="59">
        <f ca="1">AVERAGE(OFFSET($R$3,0,0,'Données projet'!$E$9+1,1))-AVERAGE(OFFSET($H$3,0,0,'Données projet'!$E$9+1,1))</f>
        <v>216.83230520434313</v>
      </c>
      <c r="T8" s="59">
        <f t="shared" si="34"/>
        <v>275.41891707278205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2.3716880371520133</v>
      </c>
      <c r="AK8" s="13">
        <f t="shared" si="35"/>
        <v>0.98844595282197545</v>
      </c>
      <c r="AL8" s="20">
        <f t="shared" si="4"/>
        <v>5.8522333658713634</v>
      </c>
      <c r="AM8" s="59">
        <f t="shared" si="5"/>
        <v>268.63001114364914</v>
      </c>
      <c r="AN8" s="59">
        <f ca="1">AVERAGE(OFFSET($AM$3,0,0,'Données projet'!$E$10+1,1))-AVERAGE(OFFSET($H$3,0,0,'Données projet'!$E$10+1,1))</f>
        <v>292.42154837691379</v>
      </c>
      <c r="AO8" s="59">
        <f t="shared" si="36"/>
        <v>193.18009444354601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</v>
      </c>
      <c r="BD8" s="12">
        <f>IF('Données projet'!$A$88&gt;35,BD7+BC8-BL7,IF(A8&lt;'Données projet'!$A$88,$BA$205^A8,IF(A8='Données projet'!$A$88,'Données projet'!$B$88,BD7+BC8-BL7)))</f>
        <v>3.8485011312768065</v>
      </c>
      <c r="BE8" s="13">
        <f>BD8*VLOOKUP('Données projet'!$B$11,Paramètres!$A$1:$I$89,3,0)*VLOOKUP('Données projet'!$B$11,Paramètres!$A$1:$I$89,5,0)</f>
        <v>3.6622336765230092</v>
      </c>
      <c r="BF8" s="13">
        <f t="shared" si="37"/>
        <v>1.4510356291067332</v>
      </c>
      <c r="BG8" s="20">
        <f t="shared" si="7"/>
        <v>8.9056107073051347</v>
      </c>
      <c r="BH8" s="59">
        <f t="shared" si="8"/>
        <v>271.6833884850829</v>
      </c>
      <c r="BI8" s="59">
        <f ca="1">AVERAGE(OFFSET($BH$3,0,0,'Données projet'!$E$11+1,1))-AVERAGE(OFFSET($H$3,0,0,'Données projet'!$E$11+1,1))</f>
        <v>339.00921630742886</v>
      </c>
      <c r="BJ8" s="59">
        <f t="shared" si="38"/>
        <v>314.95763895978303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2.4333333333333331</v>
      </c>
      <c r="BY8" s="12">
        <f>IF('Données projet'!$A$114&gt;35,BY7+BX8-CG7,IF(A8&lt;'Données projet'!$A$114,$BV$205^A8,IF(A8='Données projet'!$A$114,'Données projet'!$B$114,BY7+BX8-CG7)))</f>
        <v>2.0443432188312296</v>
      </c>
      <c r="BZ8" s="13">
        <f>BY8*VLOOKUP('Données projet'!$B$12,Paramètres!$A$1:$I$89,3,0)*VLOOKUP('Données projet'!$B$12,Paramètres!$A$1:$I$89,5,0)</f>
        <v>1.7540464817571952</v>
      </c>
      <c r="CA8" s="13">
        <f t="shared" si="39"/>
        <v>0.75715845949103844</v>
      </c>
      <c r="CB8" s="20">
        <f t="shared" si="10"/>
        <v>4.3736819393406732</v>
      </c>
      <c r="CC8" s="59">
        <f t="shared" si="11"/>
        <v>267.15145971711843</v>
      </c>
      <c r="CD8" s="59">
        <f ca="1">AVERAGE(OFFSET($CC$3,0,0,'Données projet'!$E$12+1,1))-AVERAGE(OFFSET($H$3,0,0,'Données projet'!$E$12+1,1))</f>
        <v>204.6927427024138</v>
      </c>
      <c r="CE8" s="59">
        <f t="shared" si="40"/>
        <v>115.74231133146816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12.5</v>
      </c>
      <c r="CT8" s="12">
        <f>IF('Données projet'!$A$140&gt;35,CT7+CS8-DB7,IF(A8&lt;'Données projet'!$A$140,$CQ$205^A8,IF(A8='Données projet'!$A$140,'Données projet'!$B$140,CT7+CS8-DB7)))</f>
        <v>11.180339887498945</v>
      </c>
      <c r="CU8" s="17">
        <f>CT8*VLOOKUP('Données projet'!$B$13,Paramètres!$A$1:$I$89,3,0)*VLOOKUP('Données projet'!$B$13,Paramètres!$A$1:$I$89,5,0)</f>
        <v>5.685873653186464</v>
      </c>
      <c r="CV8" s="13">
        <f t="shared" si="41"/>
        <v>2.1403799552880218</v>
      </c>
      <c r="CW8" s="20">
        <f t="shared" si="13"/>
        <v>13.630725034759729</v>
      </c>
      <c r="CX8" s="59">
        <f t="shared" si="14"/>
        <v>276.40850281253751</v>
      </c>
      <c r="CY8" s="59">
        <f ca="1">AVERAGE(OFFSET($CX$3,0,0,'Données projet'!$E$13+1,1))-AVERAGE(OFFSET($H$3,0,0,'Données projet'!$E$13+1,1))</f>
        <v>204.15575418077316</v>
      </c>
      <c r="CZ8" s="59">
        <f t="shared" si="42"/>
        <v>473.73726605265045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</v>
      </c>
      <c r="N9" s="13">
        <f>IF('Données projet'!$A$36&gt;35,N8+M9-V8,IF(A9&lt;'Données projet'!$A$36,$K$205^A9,IF(A9='Données projet'!$A$36,'Données projet'!$B$36,N8+M9-V8)))</f>
        <v>7.1348131464902549</v>
      </c>
      <c r="O9" s="13">
        <f>N9*VLOOKUP('Données projet'!$B$9,Paramètres!$A$1:$I$89,3,0)*VLOOKUP('Données projet'!$B$9,Paramètres!$A$1:$I$89,5,0)</f>
        <v>4.266618261601173</v>
      </c>
      <c r="P9" s="13">
        <f t="shared" si="33"/>
        <v>1.6607111434817365</v>
      </c>
      <c r="Q9" s="20">
        <f t="shared" si="2"/>
        <v>10.323432047186067</v>
      </c>
      <c r="R9" s="59">
        <f t="shared" si="0"/>
        <v>274.32343204718609</v>
      </c>
      <c r="S9" s="59">
        <f ca="1">AVERAGE(OFFSET($R$3,0,0,'Données projet'!$E$9+1,1))-AVERAGE(OFFSET($H$3,0,0,'Données projet'!$E$9+1,1))</f>
        <v>216.83230520434313</v>
      </c>
      <c r="T9" s="59">
        <f t="shared" si="34"/>
        <v>275.41891707278205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2.8110041359297839</v>
      </c>
      <c r="AK9" s="13">
        <f t="shared" si="35"/>
        <v>1.1485927553078508</v>
      </c>
      <c r="AL9" s="20">
        <f t="shared" si="4"/>
        <v>6.8962979189055469</v>
      </c>
      <c r="AM9" s="59">
        <f t="shared" si="5"/>
        <v>270.89629791890553</v>
      </c>
      <c r="AN9" s="59">
        <f ca="1">AVERAGE(OFFSET($AM$3,0,0,'Données projet'!$E$10+1,1))-AVERAGE(OFFSET($H$3,0,0,'Données projet'!$E$10+1,1))</f>
        <v>292.42154837691379</v>
      </c>
      <c r="AO9" s="59">
        <f t="shared" si="36"/>
        <v>193.18009444354601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</v>
      </c>
      <c r="BD9" s="12">
        <f>IF('Données projet'!$A$88&gt;35,BD8+BC9-BL8,IF(A9&lt;'Données projet'!$A$88,$BA$205^A9,IF(A9='Données projet'!$A$88,'Données projet'!$B$88,BD8+BC9-BL8)))</f>
        <v>5.0390647890332865</v>
      </c>
      <c r="BE9" s="13">
        <f>BD9*VLOOKUP('Données projet'!$B$11,Paramètres!$A$1:$I$89,3,0)*VLOOKUP('Données projet'!$B$11,Paramètres!$A$1:$I$89,5,0)</f>
        <v>4.7951740532440752</v>
      </c>
      <c r="BF9" s="13">
        <f t="shared" si="37"/>
        <v>1.8412417383662687</v>
      </c>
      <c r="BG9" s="20">
        <f t="shared" si="7"/>
        <v>11.558424170388015</v>
      </c>
      <c r="BH9" s="59">
        <f t="shared" si="8"/>
        <v>275.55842417038804</v>
      </c>
      <c r="BI9" s="59">
        <f ca="1">AVERAGE(OFFSET($BH$3,0,0,'Données projet'!$E$11+1,1))-AVERAGE(OFFSET($H$3,0,0,'Données projet'!$E$11+1,1))</f>
        <v>339.00921630742886</v>
      </c>
      <c r="BJ9" s="59">
        <f t="shared" si="38"/>
        <v>314.95763895978303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2.4333333333333331</v>
      </c>
      <c r="BY9" s="12">
        <f>IF('Données projet'!$A$114&gt;35,BY8+BX9-CG8,IF(A9&lt;'Données projet'!$A$114,$BV$205^A9,IF(A9='Données projet'!$A$114,'Données projet'!$B$114,BY8+BX9-CG8)))</f>
        <v>2.3586558182407362</v>
      </c>
      <c r="BZ9" s="13">
        <f>BY9*VLOOKUP('Données projet'!$B$12,Paramètres!$A$1:$I$89,3,0)*VLOOKUP('Données projet'!$B$12,Paramètres!$A$1:$I$89,5,0)</f>
        <v>2.0237266920505519</v>
      </c>
      <c r="CA9" s="13">
        <f t="shared" si="39"/>
        <v>0.85914773255843202</v>
      </c>
      <c r="CB9" s="20">
        <f t="shared" si="10"/>
        <v>5.0210062895273131</v>
      </c>
      <c r="CC9" s="59">
        <f t="shared" si="11"/>
        <v>269.02100628952729</v>
      </c>
      <c r="CD9" s="59">
        <f ca="1">AVERAGE(OFFSET($CC$3,0,0,'Données projet'!$E$12+1,1))-AVERAGE(OFFSET($H$3,0,0,'Données projet'!$E$12+1,1))</f>
        <v>204.6927427024138</v>
      </c>
      <c r="CE9" s="59">
        <f t="shared" si="40"/>
        <v>115.74231133146816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12.5</v>
      </c>
      <c r="CT9" s="12">
        <f>IF('Données projet'!$A$140&gt;35,CT8+CS9-DB8,IF(A9&lt;'Données projet'!$A$140,$CQ$205^A9,IF(A9='Données projet'!$A$140,'Données projet'!$B$140,CT8+CS9-DB8)))</f>
        <v>18.119491591942381</v>
      </c>
      <c r="CU9" s="17">
        <f>CT9*VLOOKUP('Données projet'!$B$13,Paramètres!$A$1:$I$89,3,0)*VLOOKUP('Données projet'!$B$13,Paramètres!$A$1:$I$89,5,0)</f>
        <v>9.2148486439982182</v>
      </c>
      <c r="CV9" s="13">
        <f t="shared" si="41"/>
        <v>3.2792448403950205</v>
      </c>
      <c r="CW9" s="20">
        <f t="shared" si="13"/>
        <v>21.760546151984894</v>
      </c>
      <c r="CX9" s="59">
        <f t="shared" si="14"/>
        <v>285.7605461519849</v>
      </c>
      <c r="CY9" s="59">
        <f ca="1">AVERAGE(OFFSET($CX$3,0,0,'Données projet'!$E$13+1,1))-AVERAGE(OFFSET($H$3,0,0,'Données projet'!$E$13+1,1))</f>
        <v>204.15575418077316</v>
      </c>
      <c r="CZ9" s="59">
        <f t="shared" si="42"/>
        <v>473.73726605265045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</v>
      </c>
      <c r="N10" s="13">
        <f>IF('Données projet'!$A$36&gt;35,N9+M10-V9,IF(A10&lt;'Données projet'!$A$36,$K$205^A10,IF(A10='Données projet'!$A$36,'Données projet'!$B$36,N9+M10-V9)))</f>
        <v>9.8994949366116618</v>
      </c>
      <c r="O10" s="13">
        <f>N10*VLOOKUP('Données projet'!$B$9,Paramètres!$A$1:$I$89,3,0)*VLOOKUP('Données projet'!$B$9,Paramètres!$A$1:$I$89,5,0)</f>
        <v>5.9198979720937741</v>
      </c>
      <c r="P10" s="13">
        <f t="shared" si="33"/>
        <v>2.2180376371856996</v>
      </c>
      <c r="Q10" s="20">
        <f t="shared" si="2"/>
        <v>14.17357118616175</v>
      </c>
      <c r="R10" s="59">
        <f t="shared" si="0"/>
        <v>279.39579340838395</v>
      </c>
      <c r="S10" s="59">
        <f ca="1">AVERAGE(OFFSET($R$3,0,0,'Données projet'!$E$9+1,1))-AVERAGE(OFFSET($H$3,0,0,'Données projet'!$E$9+1,1))</f>
        <v>216.83230520434313</v>
      </c>
      <c r="T10" s="59">
        <f t="shared" si="34"/>
        <v>275.41891707278205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3.3316962975041937</v>
      </c>
      <c r="AK10" s="13">
        <f t="shared" si="35"/>
        <v>1.3346863465617191</v>
      </c>
      <c r="AL10" s="20">
        <f t="shared" si="4"/>
        <v>8.1272831050814656</v>
      </c>
      <c r="AM10" s="59">
        <f t="shared" si="5"/>
        <v>273.34950532730369</v>
      </c>
      <c r="AN10" s="59">
        <f ca="1">AVERAGE(OFFSET($AM$3,0,0,'Données projet'!$E$10+1,1))-AVERAGE(OFFSET($H$3,0,0,'Données projet'!$E$10+1,1))</f>
        <v>292.42154837691379</v>
      </c>
      <c r="AO10" s="59">
        <f t="shared" si="36"/>
        <v>193.18009444354601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</v>
      </c>
      <c r="BD10" s="12">
        <f>IF('Données projet'!$A$88&gt;35,BD9+BC10-BL9,IF(A10&lt;'Données projet'!$A$88,$BA$205^A10,IF(A10='Données projet'!$A$88,'Données projet'!$B$88,BD9+BC10-BL9)))</f>
        <v>6.5979385433234325</v>
      </c>
      <c r="BE10" s="13">
        <f>BD10*VLOOKUP('Données projet'!$B$11,Paramètres!$A$1:$I$89,3,0)*VLOOKUP('Données projet'!$B$11,Paramètres!$A$1:$I$89,5,0)</f>
        <v>6.278598317826579</v>
      </c>
      <c r="BF10" s="13">
        <f t="shared" si="37"/>
        <v>2.3363803555871674</v>
      </c>
      <c r="BG10" s="20">
        <f t="shared" si="7"/>
        <v>15.004421189528943</v>
      </c>
      <c r="BH10" s="59">
        <f t="shared" si="8"/>
        <v>280.22664341175118</v>
      </c>
      <c r="BI10" s="59">
        <f ca="1">AVERAGE(OFFSET($BH$3,0,0,'Données projet'!$E$11+1,1))-AVERAGE(OFFSET($H$3,0,0,'Données projet'!$E$11+1,1))</f>
        <v>339.00921630742886</v>
      </c>
      <c r="BJ10" s="59">
        <f t="shared" si="38"/>
        <v>314.95763895978303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2.4333333333333331</v>
      </c>
      <c r="BY10" s="12">
        <f>IF('Données projet'!$A$114&gt;35,BY9+BX10-CG9,IF(A10&lt;'Données projet'!$A$114,$BV$205^A10,IF(A10='Données projet'!$A$114,'Données projet'!$B$114,BY9+BX10-CG9)))</f>
        <v>2.7212931848603401</v>
      </c>
      <c r="BZ10" s="13">
        <f>BY10*VLOOKUP('Données projet'!$B$12,Paramètres!$A$1:$I$89,3,0)*VLOOKUP('Données projet'!$B$12,Paramètres!$A$1:$I$89,5,0)</f>
        <v>2.3348695526101717</v>
      </c>
      <c r="CA10" s="13">
        <f t="shared" si="39"/>
        <v>0.97487496455691547</v>
      </c>
      <c r="CB10" s="20">
        <f t="shared" si="10"/>
        <v>5.7644717007326767</v>
      </c>
      <c r="CC10" s="59">
        <f t="shared" si="11"/>
        <v>270.98669392295488</v>
      </c>
      <c r="CD10" s="59">
        <f ca="1">AVERAGE(OFFSET($CC$3,0,0,'Données projet'!$E$12+1,1))-AVERAGE(OFFSET($H$3,0,0,'Données projet'!$E$12+1,1))</f>
        <v>204.6927427024138</v>
      </c>
      <c r="CE10" s="59">
        <f t="shared" si="40"/>
        <v>115.74231133146816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12.5</v>
      </c>
      <c r="CT10" s="12">
        <f>IF('Données projet'!$A$140&gt;35,CT9+CS10-DB9,IF(A10&lt;'Données projet'!$A$140,$CQ$205^A10,IF(A10='Données projet'!$A$140,'Données projet'!$B$140,CT9+CS10-DB9)))</f>
        <v>29.365473577200465</v>
      </c>
      <c r="CU10" s="17">
        <f>CT10*VLOOKUP('Données projet'!$B$13,Paramètres!$A$1:$I$89,3,0)*VLOOKUP('Données projet'!$B$13,Paramètres!$A$1:$I$89,5,0)</f>
        <v>14.934105242421069</v>
      </c>
      <c r="CV10" s="13">
        <f t="shared" si="41"/>
        <v>5.0240830823938047</v>
      </c>
      <c r="CW10" s="20">
        <f t="shared" si="13"/>
        <v>34.760511332385903</v>
      </c>
      <c r="CX10" s="59">
        <f t="shared" si="14"/>
        <v>299.9827335546081</v>
      </c>
      <c r="CY10" s="59">
        <f ca="1">AVERAGE(OFFSET($CX$3,0,0,'Données projet'!$E$13+1,1))-AVERAGE(OFFSET($H$3,0,0,'Données projet'!$E$13+1,1))</f>
        <v>204.15575418077316</v>
      </c>
      <c r="CZ10" s="59">
        <f t="shared" si="42"/>
        <v>473.73726605265045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</v>
      </c>
      <c r="N11" s="13">
        <f>IF('Données projet'!$A$36&gt;35,N10+M11-V10,IF(A11&lt;'Données projet'!$A$36,$K$205^A11,IF(A11='Données projet'!$A$36,'Données projet'!$B$36,N10+M11-V10)))</f>
        <v>13.735468328025929</v>
      </c>
      <c r="O11" s="13">
        <f>N11*VLOOKUP('Données projet'!$B$9,Paramètres!$A$1:$I$89,3,0)*VLOOKUP('Données projet'!$B$9,Paramètres!$A$1:$I$89,5,0)</f>
        <v>8.2138100601595063</v>
      </c>
      <c r="P11" s="13">
        <f t="shared" si="33"/>
        <v>2.9624001616909874</v>
      </c>
      <c r="Q11" s="20">
        <f t="shared" si="2"/>
        <v>19.465232803056271</v>
      </c>
      <c r="R11" s="59">
        <f t="shared" si="0"/>
        <v>285.90967724750072</v>
      </c>
      <c r="S11" s="59">
        <f ca="1">AVERAGE(OFFSET($R$3,0,0,'Données projet'!$E$9+1,1))-AVERAGE(OFFSET($H$3,0,0,'Données projet'!$E$9+1,1))</f>
        <v>216.83230520434313</v>
      </c>
      <c r="T11" s="59">
        <f t="shared" si="34"/>
        <v>275.41891707278205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3.9488380955837998</v>
      </c>
      <c r="AK11" s="13">
        <f t="shared" si="35"/>
        <v>1.5509305935164246</v>
      </c>
      <c r="AL11" s="20">
        <f t="shared" si="4"/>
        <v>9.578763800182891</v>
      </c>
      <c r="AM11" s="59">
        <f t="shared" si="5"/>
        <v>276.02320824462737</v>
      </c>
      <c r="AN11" s="59">
        <f ca="1">AVERAGE(OFFSET($AM$3,0,0,'Données projet'!$E$10+1,1))-AVERAGE(OFFSET($H$3,0,0,'Données projet'!$E$10+1,1))</f>
        <v>292.42154837691379</v>
      </c>
      <c r="AO11" s="59">
        <f t="shared" si="36"/>
        <v>193.18009444354601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</v>
      </c>
      <c r="BD11" s="12">
        <f>IF('Données projet'!$A$88&gt;35,BD10+BC11-BL10,IF(A11&lt;'Données projet'!$A$88,$BA$205^A11,IF(A11='Données projet'!$A$88,'Données projet'!$B$88,BD10+BC11-BL10)))</f>
        <v>8.6390619775747002</v>
      </c>
      <c r="BE11" s="13">
        <f>BD11*VLOOKUP('Données projet'!$B$11,Paramètres!$A$1:$I$89,3,0)*VLOOKUP('Données projet'!$B$11,Paramètres!$A$1:$I$89,5,0)</f>
        <v>8.2209313778600848</v>
      </c>
      <c r="BF11" s="13">
        <f t="shared" si="37"/>
        <v>2.9646694685604369</v>
      </c>
      <c r="BG11" s="20">
        <f t="shared" si="7"/>
        <v>19.481588140849077</v>
      </c>
      <c r="BH11" s="59">
        <f t="shared" si="8"/>
        <v>285.92603258529351</v>
      </c>
      <c r="BI11" s="59">
        <f ca="1">AVERAGE(OFFSET($BH$3,0,0,'Données projet'!$E$11+1,1))-AVERAGE(OFFSET($H$3,0,0,'Données projet'!$E$11+1,1))</f>
        <v>339.00921630742886</v>
      </c>
      <c r="BJ11" s="59">
        <f t="shared" si="38"/>
        <v>314.95763895978303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2.4333333333333331</v>
      </c>
      <c r="BY11" s="12">
        <f>IF('Données projet'!$A$114&gt;35,BY10+BX11-CG10,IF(A11&lt;'Données projet'!$A$114,$BV$205^A11,IF(A11='Données projet'!$A$114,'Données projet'!$B$114,BY10+BX11-CG10)))</f>
        <v>3.1396851294271788</v>
      </c>
      <c r="BZ11" s="13">
        <f>BY11*VLOOKUP('Données projet'!$B$12,Paramètres!$A$1:$I$89,3,0)*VLOOKUP('Données projet'!$B$12,Paramètres!$A$1:$I$89,5,0)</f>
        <v>2.6938498410485199</v>
      </c>
      <c r="CA11" s="13">
        <f t="shared" si="39"/>
        <v>1.106190659072956</v>
      </c>
      <c r="CB11" s="20">
        <f t="shared" si="10"/>
        <v>6.6184038710449036</v>
      </c>
      <c r="CC11" s="59">
        <f t="shared" si="11"/>
        <v>273.06284831548936</v>
      </c>
      <c r="CD11" s="59">
        <f ca="1">AVERAGE(OFFSET($CC$3,0,0,'Données projet'!$E$12+1,1))-AVERAGE(OFFSET($H$3,0,0,'Données projet'!$E$12+1,1))</f>
        <v>204.6927427024138</v>
      </c>
      <c r="CE11" s="59">
        <f t="shared" si="40"/>
        <v>115.74231133146816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12.5</v>
      </c>
      <c r="CT11" s="12">
        <f>IF('Données projet'!$A$140&gt;35,CT10+CS11-DB10,IF(A11&lt;'Données projet'!$A$140,$CQ$205^A11,IF(A11='Données projet'!$A$140,'Données projet'!$B$140,CT10+CS11-DB10)))</f>
        <v>47.591348467896943</v>
      </c>
      <c r="CU11" s="17">
        <f>CT11*VLOOKUP('Données projet'!$B$13,Paramètres!$A$1:$I$89,3,0)*VLOOKUP('Données projet'!$B$13,Paramètres!$A$1:$I$89,5,0)</f>
        <v>24.20305617683367</v>
      </c>
      <c r="CV11" s="13">
        <f t="shared" si="41"/>
        <v>7.6973242460770441</v>
      </c>
      <c r="CW11" s="20">
        <f t="shared" si="13"/>
        <v>55.559829236569499</v>
      </c>
      <c r="CX11" s="59">
        <f t="shared" si="14"/>
        <v>322.00427368101396</v>
      </c>
      <c r="CY11" s="59">
        <f ca="1">AVERAGE(OFFSET($CX$3,0,0,'Données projet'!$E$13+1,1))-AVERAGE(OFFSET($H$3,0,0,'Données projet'!$E$13+1,1))</f>
        <v>204.15575418077316</v>
      </c>
      <c r="CZ11" s="59">
        <f t="shared" si="42"/>
        <v>473.73726605265045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</v>
      </c>
      <c r="N12" s="13">
        <f>IF('Données projet'!$A$36&gt;35,N11+M12-V11,IF(A12&lt;'Données projet'!$A$36,$K$205^A12,IF(A12='Données projet'!$A$36,'Données projet'!$B$36,N11+M12-V11)))</f>
        <v>19.057850061871729</v>
      </c>
      <c r="O12" s="13">
        <f>N12*VLOOKUP('Données projet'!$B$9,Paramètres!$A$1:$I$89,3,0)*VLOOKUP('Données projet'!$B$9,Paramètres!$A$1:$I$89,5,0)</f>
        <v>11.396594336999296</v>
      </c>
      <c r="P12" s="13">
        <f t="shared" si="33"/>
        <v>3.956567089240993</v>
      </c>
      <c r="Q12" s="20">
        <f t="shared" si="2"/>
        <v>26.74008948403517</v>
      </c>
      <c r="R12" s="59">
        <f t="shared" si="0"/>
        <v>294.40675615070188</v>
      </c>
      <c r="S12" s="59">
        <f ca="1">AVERAGE(OFFSET($R$3,0,0,'Données projet'!$E$9+1,1))-AVERAGE(OFFSET($H$3,0,0,'Données projet'!$E$9+1,1))</f>
        <v>216.83230520434313</v>
      </c>
      <c r="T12" s="59">
        <f t="shared" si="34"/>
        <v>275.41891707278205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4.6802952348372813</v>
      </c>
      <c r="AK12" s="13">
        <f t="shared" si="35"/>
        <v>1.8022104684757689</v>
      </c>
      <c r="AL12" s="20">
        <f t="shared" si="4"/>
        <v>11.290364099936896</v>
      </c>
      <c r="AM12" s="59">
        <f t="shared" si="5"/>
        <v>278.95703076660357</v>
      </c>
      <c r="AN12" s="59">
        <f ca="1">AVERAGE(OFFSET($AM$3,0,0,'Données projet'!$E$10+1,1))-AVERAGE(OFFSET($H$3,0,0,'Données projet'!$E$10+1,1))</f>
        <v>292.42154837691379</v>
      </c>
      <c r="AO12" s="59">
        <f t="shared" si="36"/>
        <v>193.18009444354601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</v>
      </c>
      <c r="BD12" s="12">
        <f>IF('Données projet'!$A$88&gt;35,BD11+BC12-BL11,IF(A12&lt;'Données projet'!$A$88,$BA$205^A12,IF(A12='Données projet'!$A$88,'Données projet'!$B$88,BD11+BC12-BL11)))</f>
        <v>11.311622768584241</v>
      </c>
      <c r="BE12" s="13">
        <f>BD12*VLOOKUP('Données projet'!$B$11,Paramètres!$A$1:$I$89,3,0)*VLOOKUP('Données projet'!$B$11,Paramètres!$A$1:$I$89,5,0)</f>
        <v>10.764140226584765</v>
      </c>
      <c r="BF12" s="13">
        <f t="shared" si="37"/>
        <v>3.7619153220476149</v>
      </c>
      <c r="BG12" s="20">
        <f t="shared" si="7"/>
        <v>25.299546747201394</v>
      </c>
      <c r="BH12" s="59">
        <f t="shared" si="8"/>
        <v>292.9662134138681</v>
      </c>
      <c r="BI12" s="59">
        <f ca="1">AVERAGE(OFFSET($BH$3,0,0,'Données projet'!$E$11+1,1))-AVERAGE(OFFSET($H$3,0,0,'Données projet'!$E$11+1,1))</f>
        <v>339.00921630742886</v>
      </c>
      <c r="BJ12" s="59">
        <f t="shared" si="38"/>
        <v>314.95763895978303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2.4333333333333331</v>
      </c>
      <c r="BY12" s="12">
        <f>IF('Données projet'!$A$114&gt;35,BY11+BX12-CG11,IF(A12&lt;'Données projet'!$A$114,$BV$205^A12,IF(A12='Données projet'!$A$114,'Données projet'!$B$114,BY11+BX12-CG11)))</f>
        <v>3.6224037772879898</v>
      </c>
      <c r="BZ12" s="13">
        <f>BY12*VLOOKUP('Données projet'!$B$12,Paramètres!$A$1:$I$89,3,0)*VLOOKUP('Données projet'!$B$12,Paramètres!$A$1:$I$89,5,0)</f>
        <v>3.1080224409130954</v>
      </c>
      <c r="CA12" s="13">
        <f t="shared" si="39"/>
        <v>1.2551945825959512</v>
      </c>
      <c r="CB12" s="20">
        <f t="shared" si="10"/>
        <v>7.5992696492782557</v>
      </c>
      <c r="CC12" s="59">
        <f t="shared" si="11"/>
        <v>275.26593631594494</v>
      </c>
      <c r="CD12" s="59">
        <f ca="1">AVERAGE(OFFSET($CC$3,0,0,'Données projet'!$E$12+1,1))-AVERAGE(OFFSET($H$3,0,0,'Données projet'!$E$12+1,1))</f>
        <v>204.6927427024138</v>
      </c>
      <c r="CE12" s="59">
        <f t="shared" si="40"/>
        <v>115.74231133146816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12.5</v>
      </c>
      <c r="CT12" s="12">
        <f>IF('Données projet'!$A$140&gt;35,CT11+CS12-DB11,IF(A12&lt;'Données projet'!$A$140,$CQ$205^A12,IF(A12='Données projet'!$A$140,'Données projet'!$B$140,CT11+CS12-DB11)))</f>
        <v>77.129232840001166</v>
      </c>
      <c r="CU12" s="17">
        <f>CT12*VLOOKUP('Données projet'!$B$13,Paramètres!$A$1:$I$89,3,0)*VLOOKUP('Données projet'!$B$13,Paramètres!$A$1:$I$89,5,0)</f>
        <v>39.224842653110997</v>
      </c>
      <c r="CV12" s="13">
        <f t="shared" si="41"/>
        <v>11.792957954233417</v>
      </c>
      <c r="CW12" s="20">
        <f t="shared" si="13"/>
        <v>88.856002724458179</v>
      </c>
      <c r="CX12" s="59">
        <f t="shared" si="14"/>
        <v>356.52266939112485</v>
      </c>
      <c r="CY12" s="59">
        <f ca="1">AVERAGE(OFFSET($CX$3,0,0,'Données projet'!$E$13+1,1))-AVERAGE(OFFSET($H$3,0,0,'Données projet'!$E$13+1,1))</f>
        <v>204.15575418077316</v>
      </c>
      <c r="CZ12" s="59">
        <f t="shared" si="42"/>
        <v>473.73726605265045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</v>
      </c>
      <c r="N13" s="13">
        <f>IF('Données projet'!$A$36&gt;35,N12+M13-V12,IF(A13&lt;'Données projet'!$A$36,$K$205^A13,IF(A13='Données projet'!$A$36,'Données projet'!$B$36,N12+M13-V12)))</f>
        <v>26.442611224235108</v>
      </c>
      <c r="O13" s="13">
        <f>N13*VLOOKUP('Données projet'!$B$9,Paramètres!$A$1:$I$89,3,0)*VLOOKUP('Données projet'!$B$9,Paramètres!$A$1:$I$89,5,0)</f>
        <v>15.812681512092597</v>
      </c>
      <c r="P13" s="13">
        <f t="shared" si="33"/>
        <v>5.2843715491593564</v>
      </c>
      <c r="Q13" s="20">
        <f t="shared" si="2"/>
        <v>36.744034081680489</v>
      </c>
      <c r="R13" s="59">
        <f t="shared" si="0"/>
        <v>305.63292297056933</v>
      </c>
      <c r="S13" s="59">
        <f ca="1">AVERAGE(OFFSET($R$3,0,0,'Données projet'!$E$9+1,1))-AVERAGE(OFFSET($H$3,0,0,'Données projet'!$E$9+1,1))</f>
        <v>216.83230520434313</v>
      </c>
      <c r="T13" s="59">
        <f t="shared" si="34"/>
        <v>275.41891707278205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5.5472427471104222</v>
      </c>
      <c r="AK13" s="13">
        <f t="shared" si="35"/>
        <v>2.0942024009724034</v>
      </c>
      <c r="AL13" s="20">
        <f t="shared" si="4"/>
        <v>13.308850299577585</v>
      </c>
      <c r="AM13" s="59">
        <f t="shared" si="5"/>
        <v>282.19773918846647</v>
      </c>
      <c r="AN13" s="59">
        <f ca="1">AVERAGE(OFFSET($AM$3,0,0,'Données projet'!$E$10+1,1))-AVERAGE(OFFSET($H$3,0,0,'Données projet'!$E$10+1,1))</f>
        <v>292.42154837691379</v>
      </c>
      <c r="AO13" s="59">
        <f t="shared" si="36"/>
        <v>193.18009444354601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</v>
      </c>
      <c r="BD13" s="12">
        <f>IF('Données projet'!$A$88&gt;35,BD12+BC13-BL12,IF(A13&lt;'Données projet'!$A$88,$BA$205^A13,IF(A13='Données projet'!$A$88,'Données projet'!$B$88,BD12+BC13-BL12)))</f>
        <v>14.81096095743886</v>
      </c>
      <c r="BE13" s="13">
        <f>BD13*VLOOKUP('Données projet'!$B$11,Paramètres!$A$1:$I$89,3,0)*VLOOKUP('Données projet'!$B$11,Paramètres!$A$1:$I$89,5,0)</f>
        <v>14.094110447098821</v>
      </c>
      <c r="BF13" s="13">
        <f t="shared" si="37"/>
        <v>4.7735530184174095</v>
      </c>
      <c r="BG13" s="20">
        <f t="shared" si="7"/>
        <v>32.861180535774103</v>
      </c>
      <c r="BH13" s="59">
        <f t="shared" si="8"/>
        <v>301.75006942466297</v>
      </c>
      <c r="BI13" s="59">
        <f ca="1">AVERAGE(OFFSET($BH$3,0,0,'Données projet'!$E$11+1,1))-AVERAGE(OFFSET($H$3,0,0,'Données projet'!$E$11+1,1))</f>
        <v>339.00921630742886</v>
      </c>
      <c r="BJ13" s="59">
        <f t="shared" si="38"/>
        <v>314.95763895978303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2.4333333333333331</v>
      </c>
      <c r="BY13" s="12">
        <f>IF('Données projet'!$A$114&gt;35,BY12+BX13-CG12,IF(A13&lt;'Données projet'!$A$114,$BV$205^A13,IF(A13='Données projet'!$A$114,'Données projet'!$B$114,BY12+BX13-CG12)))</f>
        <v>4.1793391963812336</v>
      </c>
      <c r="BZ13" s="13">
        <f>BY13*VLOOKUP('Données projet'!$B$12,Paramètres!$A$1:$I$89,3,0)*VLOOKUP('Données projet'!$B$12,Paramètres!$A$1:$I$89,5,0)</f>
        <v>3.5858730304950988</v>
      </c>
      <c r="CA13" s="13">
        <f t="shared" si="39"/>
        <v>1.4242693402406641</v>
      </c>
      <c r="CB13" s="20">
        <f t="shared" si="10"/>
        <v>8.7259979623647883</v>
      </c>
      <c r="CC13" s="59">
        <f t="shared" si="11"/>
        <v>277.61488685125363</v>
      </c>
      <c r="CD13" s="59">
        <f ca="1">AVERAGE(OFFSET($CC$3,0,0,'Données projet'!$E$12+1,1))-AVERAGE(OFFSET($H$3,0,0,'Données projet'!$E$12+1,1))</f>
        <v>204.6927427024138</v>
      </c>
      <c r="CE13" s="59">
        <f t="shared" si="40"/>
        <v>115.74231133146816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125</v>
      </c>
      <c r="CR13" s="12">
        <f>VLOOKUP(A13,'Données projet'!$A$139:$I$159,9,0)</f>
        <v>12.5</v>
      </c>
      <c r="CS13" s="12">
        <f t="array" ref="CS13">INDEX(CR:CR,MIN(IF(ISNUMBER(CR13:CR209),ROW(CR13:CR209),"")))</f>
        <v>12.5</v>
      </c>
      <c r="CT13" s="12">
        <f>IF('Données projet'!$A$140&gt;35,CT12+CS13-DB12,IF(A13&lt;'Données projet'!$A$140,$CQ$205^A13,IF(A13='Données projet'!$A$140,'Données projet'!$B$140,CT12+CS13-DB12)))</f>
        <v>125</v>
      </c>
      <c r="CU13" s="17">
        <f>CT13*VLOOKUP('Données projet'!$B$13,Paramètres!$A$1:$I$89,3,0)*VLOOKUP('Données projet'!$B$13,Paramètres!$A$1:$I$89,5,0)</f>
        <v>63.57</v>
      </c>
      <c r="CV13" s="13">
        <f t="shared" si="41"/>
        <v>18.067818486559997</v>
      </c>
      <c r="CW13" s="20">
        <f t="shared" si="13"/>
        <v>142.18586719742532</v>
      </c>
      <c r="CX13" s="59">
        <f t="shared" si="14"/>
        <v>411.07475608631421</v>
      </c>
      <c r="CY13" s="59">
        <f ca="1">AVERAGE(OFFSET($CX$3,0,0,'Données projet'!$E$13+1,1))-AVERAGE(OFFSET($H$3,0,0,'Données projet'!$E$13+1,1))</f>
        <v>204.15575418077316</v>
      </c>
      <c r="CZ13" s="59">
        <f t="shared" si="42"/>
        <v>473.73726605265045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</v>
      </c>
      <c r="N14" s="13">
        <f>IF('Données projet'!$A$36&gt;35,N13+M14-V13,IF(A14&lt;'Données projet'!$A$36,$K$205^A14,IF(A14='Données projet'!$A$36,'Données projet'!$B$36,N13+M14-V13)))</f>
        <v>36.688906990349821</v>
      </c>
      <c r="O14" s="13">
        <f>N14*VLOOKUP('Données projet'!$B$9,Paramètres!$A$1:$I$89,3,0)*VLOOKUP('Données projet'!$B$9,Paramètres!$A$1:$I$89,5,0)</f>
        <v>21.939966380229198</v>
      </c>
      <c r="P14" s="13">
        <f t="shared" si="33"/>
        <v>7.0577806567464956</v>
      </c>
      <c r="Q14" s="20">
        <f t="shared" si="2"/>
        <v>50.504409422732664</v>
      </c>
      <c r="R14" s="59">
        <f t="shared" si="0"/>
        <v>320.61552053384378</v>
      </c>
      <c r="S14" s="59">
        <f ca="1">AVERAGE(OFFSET($R$3,0,0,'Données projet'!$E$9+1,1))-AVERAGE(OFFSET($H$3,0,0,'Données projet'!$E$9+1,1))</f>
        <v>216.83230520434313</v>
      </c>
      <c r="T14" s="59">
        <f t="shared" si="34"/>
        <v>275.41891707278205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6.5747779897135095</v>
      </c>
      <c r="AK14" s="13">
        <f t="shared" si="35"/>
        <v>2.4335025086985533</v>
      </c>
      <c r="AL14" s="20">
        <f t="shared" si="4"/>
        <v>15.689421868067676</v>
      </c>
      <c r="AM14" s="59">
        <f t="shared" si="5"/>
        <v>285.8005329791788</v>
      </c>
      <c r="AN14" s="59">
        <f ca="1">AVERAGE(OFFSET($AM$3,0,0,'Données projet'!$E$10+1,1))-AVERAGE(OFFSET($H$3,0,0,'Données projet'!$E$10+1,1))</f>
        <v>292.42154837691379</v>
      </c>
      <c r="AO14" s="59">
        <f t="shared" si="36"/>
        <v>193.18009444354601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</v>
      </c>
      <c r="BD14" s="12">
        <f>IF('Données projet'!$A$88&gt;35,BD13+BC14-BL13,IF(A14&lt;'Données projet'!$A$88,$BA$205^A14,IF(A14='Données projet'!$A$88,'Données projet'!$B$88,BD13+BC14-BL13)))</f>
        <v>19.392846541171725</v>
      </c>
      <c r="BE14" s="13">
        <f>BD14*VLOOKUP('Données projet'!$B$11,Paramètres!$A$1:$I$89,3,0)*VLOOKUP('Données projet'!$B$11,Paramètres!$A$1:$I$89,5,0)</f>
        <v>18.454232768579015</v>
      </c>
      <c r="BF14" s="13">
        <f t="shared" si="37"/>
        <v>6.0572358676162539</v>
      </c>
      <c r="BG14" s="20">
        <f t="shared" si="7"/>
        <v>42.690807874706756</v>
      </c>
      <c r="BH14" s="59">
        <f t="shared" si="8"/>
        <v>312.80191898581791</v>
      </c>
      <c r="BI14" s="59">
        <f ca="1">AVERAGE(OFFSET($BH$3,0,0,'Données projet'!$E$11+1,1))-AVERAGE(OFFSET($H$3,0,0,'Données projet'!$E$11+1,1))</f>
        <v>339.00921630742886</v>
      </c>
      <c r="BJ14" s="59">
        <f t="shared" si="38"/>
        <v>314.95763895978303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2.4333333333333331</v>
      </c>
      <c r="BY14" s="12">
        <f>IF('Données projet'!$A$114&gt;35,BY13+BX14-CG13,IF(A14&lt;'Données projet'!$A$114,$BV$205^A14,IF(A14='Données projet'!$A$114,'Données projet'!$B$114,BY13+BX14-CG13)))</f>
        <v>4.8219020275772753</v>
      </c>
      <c r="BZ14" s="13">
        <f>BY14*VLOOKUP('Données projet'!$B$12,Paramètres!$A$1:$I$89,3,0)*VLOOKUP('Données projet'!$B$12,Paramètres!$A$1:$I$89,5,0)</f>
        <v>4.1371919396613031</v>
      </c>
      <c r="CA14" s="13">
        <f t="shared" si="39"/>
        <v>1.6161184741207313</v>
      </c>
      <c r="CB14" s="20">
        <f t="shared" si="10"/>
        <v>10.020348970670376</v>
      </c>
      <c r="CC14" s="59">
        <f t="shared" si="11"/>
        <v>280.13146008178154</v>
      </c>
      <c r="CD14" s="59">
        <f ca="1">AVERAGE(OFFSET($CC$3,0,0,'Données projet'!$E$12+1,1))-AVERAGE(OFFSET($H$3,0,0,'Données projet'!$E$12+1,1))</f>
        <v>204.6927427024138</v>
      </c>
      <c r="CE14" s="59">
        <f t="shared" si="40"/>
        <v>115.74231133146816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21.4</v>
      </c>
      <c r="CT14" s="12">
        <f>IF('Données projet'!$A$140&gt;35,CT13+CS14-DB13,IF(A14&lt;'Données projet'!$A$140,$CQ$205^A14,IF(A14='Données projet'!$A$140,'Données projet'!$B$140,CT13+CS14-DB13)))</f>
        <v>146.4</v>
      </c>
      <c r="CU14" s="17">
        <f>CT14*VLOOKUP('Données projet'!$B$13,Paramètres!$A$1:$I$89,3,0)*VLOOKUP('Données projet'!$B$13,Paramètres!$A$1:$I$89,5,0)</f>
        <v>74.453184000000007</v>
      </c>
      <c r="CV14" s="13">
        <f t="shared" si="41"/>
        <v>20.775339368661587</v>
      </c>
      <c r="CW14" s="20">
        <f t="shared" si="13"/>
        <v>165.8563448670856</v>
      </c>
      <c r="CX14" s="59">
        <f t="shared" si="14"/>
        <v>435.96745597819677</v>
      </c>
      <c r="CY14" s="59">
        <f ca="1">AVERAGE(OFFSET($CX$3,0,0,'Données projet'!$E$13+1,1))-AVERAGE(OFFSET($H$3,0,0,'Données projet'!$E$13+1,1))</f>
        <v>204.15575418077316</v>
      </c>
      <c r="CZ14" s="59">
        <f t="shared" si="42"/>
        <v>473.73726605265045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</v>
      </c>
      <c r="N15" s="13">
        <f>IF('Données projet'!$A$36&gt;35,N14+M15-V14,IF(A15&lt;'Données projet'!$A$36,$K$205^A15,IF(A15='Données projet'!$A$36,'Données projet'!$B$36,N14+M15-V14)))</f>
        <v>50.905558635330173</v>
      </c>
      <c r="O15" s="13">
        <f>N15*VLOOKUP('Données projet'!$B$9,Paramètres!$A$1:$I$89,3,0)*VLOOKUP('Données projet'!$B$9,Paramètres!$A$1:$I$89,5,0)</f>
        <v>30.441524063927449</v>
      </c>
      <c r="P15" s="13">
        <f t="shared" si="33"/>
        <v>9.4263371406329615</v>
      </c>
      <c r="Q15" s="20">
        <f t="shared" si="2"/>
        <v>69.436524931276054</v>
      </c>
      <c r="R15" s="59">
        <f t="shared" si="0"/>
        <v>340.76985826460935</v>
      </c>
      <c r="S15" s="59">
        <f ca="1">AVERAGE(OFFSET($R$3,0,0,'Données projet'!$E$9+1,1))-AVERAGE(OFFSET($H$3,0,0,'Données projet'!$E$9+1,1))</f>
        <v>216.83230520434313</v>
      </c>
      <c r="T15" s="59">
        <f t="shared" si="34"/>
        <v>275.41891707278205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7.7926471915328897</v>
      </c>
      <c r="AK15" s="13">
        <f t="shared" si="35"/>
        <v>2.827775604255069</v>
      </c>
      <c r="AL15" s="20">
        <f t="shared" si="4"/>
        <v>18.497236369330697</v>
      </c>
      <c r="AM15" s="59">
        <f t="shared" si="5"/>
        <v>289.83056970266404</v>
      </c>
      <c r="AN15" s="59">
        <f ca="1">AVERAGE(OFFSET($AM$3,0,0,'Données projet'!$E$10+1,1))-AVERAGE(OFFSET($H$3,0,0,'Données projet'!$E$10+1,1))</f>
        <v>292.42154837691379</v>
      </c>
      <c r="AO15" s="59">
        <f t="shared" si="36"/>
        <v>193.18009444354601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</v>
      </c>
      <c r="BD15" s="12">
        <f>IF('Données projet'!$A$88&gt;35,BD14+BC15-BL14,IF(A15&lt;'Données projet'!$A$88,$BA$205^A15,IF(A15='Données projet'!$A$88,'Données projet'!$B$88,BD14+BC15-BL14)))</f>
        <v>25.392173948075076</v>
      </c>
      <c r="BE15" s="13">
        <f>BD15*VLOOKUP('Données projet'!$B$11,Paramètres!$A$1:$I$89,3,0)*VLOOKUP('Données projet'!$B$11,Paramètres!$A$1:$I$89,5,0)</f>
        <v>24.163192728988243</v>
      </c>
      <c r="BF15" s="13">
        <f t="shared" si="37"/>
        <v>7.6861210537263078</v>
      </c>
      <c r="BG15" s="20">
        <f t="shared" si="7"/>
        <v>55.470888171561171</v>
      </c>
      <c r="BH15" s="59">
        <f t="shared" si="8"/>
        <v>326.80422150489449</v>
      </c>
      <c r="BI15" s="59">
        <f ca="1">AVERAGE(OFFSET($BH$3,0,0,'Données projet'!$E$11+1,1))-AVERAGE(OFFSET($H$3,0,0,'Données projet'!$E$11+1,1))</f>
        <v>339.00921630742886</v>
      </c>
      <c r="BJ15" s="59">
        <f t="shared" si="38"/>
        <v>314.95763895978303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2.4333333333333331</v>
      </c>
      <c r="BY15" s="12">
        <f>IF('Données projet'!$A$114&gt;35,BY14+BX15-CG14,IF(A15&lt;'Données projet'!$A$114,$BV$205^A15,IF(A15='Données projet'!$A$114,'Données projet'!$B$114,BY14+BX15-CG14)))</f>
        <v>5.5632572689208768</v>
      </c>
      <c r="BZ15" s="13">
        <f>BY15*VLOOKUP('Données projet'!$B$12,Paramètres!$A$1:$I$89,3,0)*VLOOKUP('Données projet'!$B$12,Paramètres!$A$1:$I$89,5,0)</f>
        <v>4.7732747367341126</v>
      </c>
      <c r="CA15" s="13">
        <f t="shared" si="39"/>
        <v>1.8338096935745229</v>
      </c>
      <c r="CB15" s="20">
        <f t="shared" si="10"/>
        <v>11.507338716120872</v>
      </c>
      <c r="CC15" s="59">
        <f t="shared" si="11"/>
        <v>282.84067204945421</v>
      </c>
      <c r="CD15" s="59">
        <f ca="1">AVERAGE(OFFSET($CC$3,0,0,'Données projet'!$E$12+1,1))-AVERAGE(OFFSET($H$3,0,0,'Données projet'!$E$12+1,1))</f>
        <v>204.6927427024138</v>
      </c>
      <c r="CE15" s="59">
        <f t="shared" si="40"/>
        <v>115.74231133146816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21.4</v>
      </c>
      <c r="CT15" s="12">
        <f>IF('Données projet'!$A$140&gt;35,CT14+CS15-DB14,IF(A15&lt;'Données projet'!$A$140,$CQ$205^A15,IF(A15='Données projet'!$A$140,'Données projet'!$B$140,CT14+CS15-DB14)))</f>
        <v>167.8</v>
      </c>
      <c r="CU15" s="17">
        <f>CT15*VLOOKUP('Données projet'!$B$13,Paramètres!$A$1:$I$89,3,0)*VLOOKUP('Données projet'!$B$13,Paramètres!$A$1:$I$89,5,0)</f>
        <v>85.336368000000007</v>
      </c>
      <c r="CV15" s="13">
        <f t="shared" si="41"/>
        <v>23.437009936622978</v>
      </c>
      <c r="CW15" s="20">
        <f t="shared" si="13"/>
        <v>189.44696657295165</v>
      </c>
      <c r="CX15" s="59">
        <f t="shared" si="14"/>
        <v>460.78029990628499</v>
      </c>
      <c r="CY15" s="59">
        <f ca="1">AVERAGE(OFFSET($CX$3,0,0,'Données projet'!$E$13+1,1))-AVERAGE(OFFSET($H$3,0,0,'Données projet'!$E$13+1,1))</f>
        <v>204.15575418077316</v>
      </c>
      <c r="CZ15" s="59">
        <f t="shared" si="42"/>
        <v>473.73726605265045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</v>
      </c>
      <c r="N16" s="13">
        <f>IF('Données projet'!$A$36&gt;35,N15+M16-V15,IF(A16&lt;'Données projet'!$A$36,$K$205^A16,IF(A16='Données projet'!$A$36,'Données projet'!$B$36,N15+M16-V15)))</f>
        <v>70.631046617350592</v>
      </c>
      <c r="O16" s="13">
        <f>N16*VLOOKUP('Données projet'!$B$9,Paramètres!$A$1:$I$89,3,0)*VLOOKUP('Données projet'!$B$9,Paramètres!$A$1:$I$89,5,0)</f>
        <v>42.237365877175655</v>
      </c>
      <c r="P16" s="13">
        <f t="shared" si="33"/>
        <v>12.589769533846248</v>
      </c>
      <c r="Q16" s="20">
        <f t="shared" si="2"/>
        <v>95.490594174196474</v>
      </c>
      <c r="R16" s="59">
        <f t="shared" si="0"/>
        <v>368.04614972975202</v>
      </c>
      <c r="S16" s="59">
        <f ca="1">AVERAGE(OFFSET($R$3,0,0,'Données projet'!$E$9+1,1))-AVERAGE(OFFSET($H$3,0,0,'Données projet'!$E$9+1,1))</f>
        <v>216.83230520434313</v>
      </c>
      <c r="T16" s="59">
        <f t="shared" si="34"/>
        <v>275.41891707278205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9.2361065798286326</v>
      </c>
      <c r="AK16" s="13">
        <f t="shared" si="35"/>
        <v>3.2859283437914253</v>
      </c>
      <c r="AL16" s="20">
        <f t="shared" si="4"/>
        <v>21.809210825304934</v>
      </c>
      <c r="AM16" s="59">
        <f t="shared" si="5"/>
        <v>294.36476638086049</v>
      </c>
      <c r="AN16" s="59">
        <f ca="1">AVERAGE(OFFSET($AM$3,0,0,'Données projet'!$E$10+1,1))-AVERAGE(OFFSET($H$3,0,0,'Données projet'!$E$10+1,1))</f>
        <v>292.42154837691379</v>
      </c>
      <c r="AO16" s="59">
        <f t="shared" si="36"/>
        <v>193.18009444354601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</v>
      </c>
      <c r="BD16" s="12">
        <f>IF('Données projet'!$A$88&gt;35,BD15+BC16-BL15,IF(A16&lt;'Données projet'!$A$88,$BA$205^A16,IF(A16='Données projet'!$A$88,'Données projet'!$B$88,BD15+BC16-BL15)))</f>
        <v>33.247439793866675</v>
      </c>
      <c r="BE16" s="13">
        <f>BD16*VLOOKUP('Données projet'!$B$11,Paramètres!$A$1:$I$89,3,0)*VLOOKUP('Données projet'!$B$11,Paramètres!$A$1:$I$89,5,0)</f>
        <v>31.638263707843524</v>
      </c>
      <c r="BF16" s="13">
        <f t="shared" si="37"/>
        <v>9.7530388685001963</v>
      </c>
      <c r="BG16" s="20">
        <f t="shared" si="7"/>
        <v>72.089851987131979</v>
      </c>
      <c r="BH16" s="59">
        <f t="shared" si="8"/>
        <v>344.64540754268751</v>
      </c>
      <c r="BI16" s="59">
        <f ca="1">AVERAGE(OFFSET($BH$3,0,0,'Données projet'!$E$11+1,1))-AVERAGE(OFFSET($H$3,0,0,'Données projet'!$E$11+1,1))</f>
        <v>339.00921630742886</v>
      </c>
      <c r="BJ16" s="59">
        <f t="shared" si="38"/>
        <v>314.95763895978303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2.4333333333333331</v>
      </c>
      <c r="BY16" s="12">
        <f>IF('Données projet'!$A$114&gt;35,BY15+BX16-CG15,IF(A16&lt;'Données projet'!$A$114,$BV$205^A16,IF(A16='Données projet'!$A$114,'Données projet'!$B$114,BY15+BX16-CG15)))</f>
        <v>6.4185940036097042</v>
      </c>
      <c r="BZ16" s="13">
        <f>BY16*VLOOKUP('Données projet'!$B$12,Paramètres!$A$1:$I$89,3,0)*VLOOKUP('Données projet'!$B$12,Paramètres!$A$1:$I$89,5,0)</f>
        <v>5.5071536550971274</v>
      </c>
      <c r="CA16" s="13">
        <f t="shared" si="39"/>
        <v>2.0808239285040595</v>
      </c>
      <c r="CB16" s="20">
        <f t="shared" si="10"/>
        <v>13.215727624772066</v>
      </c>
      <c r="CC16" s="59">
        <f t="shared" si="11"/>
        <v>285.7712831803276</v>
      </c>
      <c r="CD16" s="59">
        <f ca="1">AVERAGE(OFFSET($CC$3,0,0,'Données projet'!$E$12+1,1))-AVERAGE(OFFSET($H$3,0,0,'Données projet'!$E$12+1,1))</f>
        <v>204.6927427024138</v>
      </c>
      <c r="CE16" s="59">
        <f t="shared" si="40"/>
        <v>115.74231133146816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21.4</v>
      </c>
      <c r="CT16" s="12">
        <f>IF('Données projet'!$A$140&gt;35,CT15+CS16-DB15,IF(A16&lt;'Données projet'!$A$140,$CQ$205^A16,IF(A16='Données projet'!$A$140,'Données projet'!$B$140,CT15+CS16-DB15)))</f>
        <v>189.20000000000002</v>
      </c>
      <c r="CU16" s="17">
        <f>CT16*VLOOKUP('Données projet'!$B$13,Paramètres!$A$1:$I$89,3,0)*VLOOKUP('Données projet'!$B$13,Paramètres!$A$1:$I$89,5,0)</f>
        <v>96.219552000000022</v>
      </c>
      <c r="CV16" s="13">
        <f t="shared" si="41"/>
        <v>26.059347888566776</v>
      </c>
      <c r="CW16" s="20">
        <f t="shared" si="13"/>
        <v>212.96908397258713</v>
      </c>
      <c r="CX16" s="59">
        <f t="shared" si="14"/>
        <v>485.52463952814264</v>
      </c>
      <c r="CY16" s="59">
        <f ca="1">AVERAGE(OFFSET($CX$3,0,0,'Données projet'!$E$13+1,1))-AVERAGE(OFFSET($H$3,0,0,'Données projet'!$E$13+1,1))</f>
        <v>204.15575418077316</v>
      </c>
      <c r="CZ16" s="59">
        <f t="shared" si="42"/>
        <v>473.73726605265045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98</v>
      </c>
      <c r="L17" s="12">
        <f>VLOOKUP(A17,'Données projet'!$A$35:$I$55,9,0)</f>
        <v>7</v>
      </c>
      <c r="M17" s="12">
        <f t="array" ref="M17">INDEX(L:L,MIN(IF(ISNUMBER(L17:L213),ROW(L17:L213),"")))</f>
        <v>7</v>
      </c>
      <c r="N17" s="13">
        <f>IF('Données projet'!$A$36&gt;35,N16+M17-V16,IF(A17&lt;'Données projet'!$A$36,$K$205^A17,IF(A17='Données projet'!$A$36,'Données projet'!$B$36,N16+M17-V16)))</f>
        <v>98</v>
      </c>
      <c r="O17" s="13">
        <f>N17*VLOOKUP('Données projet'!$B$9,Paramètres!$A$1:$I$89,3,0)*VLOOKUP('Données projet'!$B$9,Paramètres!$A$1:$I$89,5,0)</f>
        <v>58.604000000000006</v>
      </c>
      <c r="P17" s="13">
        <f t="shared" si="33"/>
        <v>16.814834282992791</v>
      </c>
      <c r="Q17" s="20">
        <f t="shared" si="2"/>
        <v>131.35446970954578</v>
      </c>
      <c r="R17" s="59">
        <f t="shared" si="0"/>
        <v>405.13224748732353</v>
      </c>
      <c r="S17" s="59">
        <f ca="1">AVERAGE(OFFSET($R$3,0,0,'Données projet'!$E$9+1,1))-AVERAGE(OFFSET($H$3,0,0,'Données projet'!$E$9+1,1))</f>
        <v>216.83230520434313</v>
      </c>
      <c r="T17" s="59">
        <f t="shared" si="34"/>
        <v>275.41891707278205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22.3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0.18000000000000002</v>
      </c>
      <c r="Y17" s="16">
        <f>IF(ISNA(VLOOKUP(A17,'Données projet'!$A$35:$I$55,7,0)),0%,VLOOKUP(A17,'Données projet'!$A$35:$I$55,7,0))</f>
        <v>0.6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3.1717105766735436</v>
      </c>
      <c r="AB17" s="21">
        <f>EXP(-LN(2)/2)*AB16+(1-EXP(-LN(2)/2))/(LN(2)/2)*V17*Y17*VLOOKUP('Données projet'!$B$9,Paramètres!$A$1:$I$89,3,0)*0.475*44/12</f>
        <v>9.059262348260658</v>
      </c>
      <c r="AC17" s="22">
        <f t="shared" si="3"/>
        <v>12.230972924934202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10.946943016571158</v>
      </c>
      <c r="AK17" s="13">
        <f t="shared" si="35"/>
        <v>3.8183104289762917</v>
      </c>
      <c r="AL17" s="20">
        <f t="shared" si="4"/>
        <v>25.71614975099514</v>
      </c>
      <c r="AM17" s="59">
        <f t="shared" si="5"/>
        <v>299.49392752877293</v>
      </c>
      <c r="AN17" s="59">
        <f ca="1">AVERAGE(OFFSET($AM$3,0,0,'Données projet'!$E$10+1,1))-AVERAGE(OFFSET($H$3,0,0,'Données projet'!$E$10+1,1))</f>
        <v>292.42154837691379</v>
      </c>
      <c r="AO17" s="59">
        <f t="shared" si="36"/>
        <v>193.18009444354601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</v>
      </c>
      <c r="BD17" s="12">
        <f>IF('Données projet'!$A$88&gt;35,BD16+BC17-BL16,IF(A17&lt;'Données projet'!$A$88,$BA$205^A17,IF(A17='Données projet'!$A$88,'Données projet'!$B$88,BD16+BC17-BL16)))</f>
        <v>43.532793021472941</v>
      </c>
      <c r="BE17" s="13">
        <f>BD17*VLOOKUP('Données projet'!$B$11,Paramètres!$A$1:$I$89,3,0)*VLOOKUP('Données projet'!$B$11,Paramètres!$A$1:$I$89,5,0)</f>
        <v>41.425805839233647</v>
      </c>
      <c r="BF17" s="13">
        <f t="shared" si="37"/>
        <v>12.375783116811515</v>
      </c>
      <c r="BG17" s="20">
        <f t="shared" si="7"/>
        <v>93.704434098445333</v>
      </c>
      <c r="BH17" s="59">
        <f t="shared" si="8"/>
        <v>367.48221187622312</v>
      </c>
      <c r="BI17" s="59">
        <f ca="1">AVERAGE(OFFSET($BH$3,0,0,'Données projet'!$E$11+1,1))-AVERAGE(OFFSET($H$3,0,0,'Données projet'!$E$11+1,1))</f>
        <v>339.00921630742886</v>
      </c>
      <c r="BJ17" s="59">
        <f t="shared" si="38"/>
        <v>314.95763895978303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2.4333333333333331</v>
      </c>
      <c r="BY17" s="12">
        <f>IF('Données projet'!$A$114&gt;35,BY16+BX17-CG16,IF(A17&lt;'Données projet'!$A$114,$BV$205^A17,IF(A17='Données projet'!$A$114,'Données projet'!$B$114,BY16+BX17-CG16)))</f>
        <v>7.4054365979673342</v>
      </c>
      <c r="BZ17" s="13">
        <f>BY17*VLOOKUP('Données projet'!$B$12,Paramètres!$A$1:$I$89,3,0)*VLOOKUP('Données projet'!$B$12,Paramètres!$A$1:$I$89,5,0)</f>
        <v>6.3538646010559727</v>
      </c>
      <c r="CA17" s="13">
        <f t="shared" si="39"/>
        <v>2.3611109902005269</v>
      </c>
      <c r="CB17" s="20">
        <f t="shared" si="10"/>
        <v>15.178582488105071</v>
      </c>
      <c r="CC17" s="59">
        <f t="shared" si="11"/>
        <v>288.95636026588284</v>
      </c>
      <c r="CD17" s="59">
        <f ca="1">AVERAGE(OFFSET($CC$3,0,0,'Données projet'!$E$12+1,1))-AVERAGE(OFFSET($H$3,0,0,'Données projet'!$E$12+1,1))</f>
        <v>204.6927427024138</v>
      </c>
      <c r="CE17" s="59">
        <f t="shared" si="40"/>
        <v>115.74231133146816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21.4</v>
      </c>
      <c r="CT17" s="12">
        <f>IF('Données projet'!$A$140&gt;35,CT16+CS17-DB16,IF(A17&lt;'Données projet'!$A$140,$CQ$205^A17,IF(A17='Données projet'!$A$140,'Données projet'!$B$140,CT16+CS17-DB16)))</f>
        <v>210.60000000000002</v>
      </c>
      <c r="CU17" s="17">
        <f>CT17*VLOOKUP('Données projet'!$B$13,Paramètres!$A$1:$I$89,3,0)*VLOOKUP('Données projet'!$B$13,Paramètres!$A$1:$I$89,5,0)</f>
        <v>107.10273600000001</v>
      </c>
      <c r="CV17" s="13">
        <f t="shared" si="41"/>
        <v>28.647309778652222</v>
      </c>
      <c r="CW17" s="20">
        <f t="shared" si="13"/>
        <v>236.43132973115266</v>
      </c>
      <c r="CX17" s="59">
        <f t="shared" si="14"/>
        <v>510.2091075089304</v>
      </c>
      <c r="CY17" s="59">
        <f ca="1">AVERAGE(OFFSET($CX$3,0,0,'Données projet'!$E$13+1,1))-AVERAGE(OFFSET($H$3,0,0,'Données projet'!$E$13+1,1))</f>
        <v>204.15575418077316</v>
      </c>
      <c r="CZ17" s="59">
        <f t="shared" si="42"/>
        <v>473.73726605265045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94</v>
      </c>
      <c r="L18" s="12">
        <f>VLOOKUP(A18,'Données projet'!$A$35:$I$55,9,0)</f>
        <v>18.299999999999997</v>
      </c>
      <c r="M18" s="12">
        <f t="array" ref="M18">INDEX(L:L,MIN(IF(ISNUMBER(L18:L214),ROW(L18:L214),"")))</f>
        <v>18.299999999999997</v>
      </c>
      <c r="N18" s="13">
        <f>IF('Données projet'!$A$36&gt;35,N17+M18-V17,IF(A18&lt;'Données projet'!$A$36,$K$205^A18,IF(A18='Données projet'!$A$36,'Données projet'!$B$36,N17+M18-V17)))</f>
        <v>94</v>
      </c>
      <c r="O18" s="13">
        <f>N18*VLOOKUP('Données projet'!$B$9,Paramètres!$A$1:$I$89,3,0)*VLOOKUP('Données projet'!$B$9,Paramètres!$A$1:$I$89,5,0)</f>
        <v>56.212000000000003</v>
      </c>
      <c r="P18" s="13">
        <f t="shared" si="33"/>
        <v>16.206939185290707</v>
      </c>
      <c r="Q18" s="20">
        <f t="shared" si="2"/>
        <v>126.12965241438131</v>
      </c>
      <c r="R18" s="59">
        <f t="shared" si="0"/>
        <v>401.12965241438133</v>
      </c>
      <c r="S18" s="59">
        <f ca="1">AVERAGE(OFFSET($R$3,0,0,'Données projet'!$E$9+1,1))-AVERAGE(OFFSET($H$3,0,0,'Données projet'!$E$9+1,1))</f>
        <v>216.83230520434313</v>
      </c>
      <c r="T18" s="59">
        <f t="shared" si="34"/>
        <v>275.41891707278205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10.3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0.18000000000000002</v>
      </c>
      <c r="Y18" s="16">
        <f>IF(ISNA(VLOOKUP(A18,'Données projet'!$A$35:$I$55,7,0)),0%,VLOOKUP(A18,'Données projet'!$A$35:$I$55,7,0))</f>
        <v>0.6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4.5499404747325833</v>
      </c>
      <c r="AB18" s="21">
        <f>EXP(-LN(2)/2)*AB17+(1-EXP(-LN(2)/2))/(LN(2)/2)*V18*Y18*VLOOKUP('Données projet'!$B$9,Paramètres!$A$1:$I$89,3,0)*0.475*44/12</f>
        <v>10.590188807033787</v>
      </c>
      <c r="AC18" s="22">
        <f t="shared" si="3"/>
        <v>15.14012928176637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12.974683690828462</v>
      </c>
      <c r="AK18" s="13">
        <f t="shared" si="35"/>
        <v>4.4369484074648931</v>
      </c>
      <c r="AL18" s="20">
        <f t="shared" si="4"/>
        <v>30.325259237860919</v>
      </c>
      <c r="AM18" s="59">
        <f t="shared" si="5"/>
        <v>305.32525923786091</v>
      </c>
      <c r="AN18" s="59">
        <f ca="1">AVERAGE(OFFSET($AM$3,0,0,'Données projet'!$E$10+1,1))-AVERAGE(OFFSET($H$3,0,0,'Données projet'!$E$10+1,1))</f>
        <v>292.42154837691379</v>
      </c>
      <c r="AO18" s="59">
        <f t="shared" si="36"/>
        <v>193.18009444354601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57</v>
      </c>
      <c r="BB18" s="12">
        <f>VLOOKUP(A18,'Données projet'!$A$87:$I$107,9,0)</f>
        <v>3.8</v>
      </c>
      <c r="BC18" s="12">
        <f t="array" ref="BC18">INDEX(BB:BB,MIN(IF(ISNUMBER(BB18:BB214),ROW(BB18:BB214),"")))</f>
        <v>3.8</v>
      </c>
      <c r="BD18" s="12">
        <f>IF('Données projet'!$A$88&gt;35,BD17+BC18-BL17,IF(A18&lt;'Données projet'!$A$88,$BA$205^A18,IF(A18='Données projet'!$A$88,'Données projet'!$B$88,BD17+BC18-BL17)))</f>
        <v>57</v>
      </c>
      <c r="BE18" s="13">
        <f>BD18*VLOOKUP('Données projet'!$B$11,Paramètres!$A$1:$I$89,3,0)*VLOOKUP('Données projet'!$B$11,Paramètres!$A$1:$I$89,5,0)</f>
        <v>54.241199999999999</v>
      </c>
      <c r="BF18" s="13">
        <f t="shared" si="37"/>
        <v>15.703824194633755</v>
      </c>
      <c r="BG18" s="20">
        <f t="shared" si="7"/>
        <v>121.82091713898713</v>
      </c>
      <c r="BH18" s="59">
        <f t="shared" si="8"/>
        <v>396.82091713898711</v>
      </c>
      <c r="BI18" s="59">
        <f ca="1">AVERAGE(OFFSET($BH$3,0,0,'Données projet'!$E$11+1,1))-AVERAGE(OFFSET($H$3,0,0,'Données projet'!$E$11+1,1))</f>
        <v>339.00921630742886</v>
      </c>
      <c r="BJ18" s="59">
        <f t="shared" si="38"/>
        <v>314.95763895978303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11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2.4333333333333331</v>
      </c>
      <c r="BY18" s="12">
        <f>IF('Données projet'!$A$114&gt;35,BY17+BX18-CG17,IF(A18&lt;'Données projet'!$A$114,$BV$205^A18,IF(A18='Données projet'!$A$114,'Données projet'!$B$114,BY17+BX18-CG17)))</f>
        <v>8.5440037453175357</v>
      </c>
      <c r="BZ18" s="13">
        <f>BY18*VLOOKUP('Données projet'!$B$12,Paramètres!$A$1:$I$89,3,0)*VLOOKUP('Données projet'!$B$12,Paramètres!$A$1:$I$89,5,0)</f>
        <v>7.3307552134824467</v>
      </c>
      <c r="CA18" s="13">
        <f t="shared" si="39"/>
        <v>2.6791527296850948</v>
      </c>
      <c r="CB18" s="20">
        <f t="shared" si="10"/>
        <v>17.433923001016797</v>
      </c>
      <c r="CC18" s="59">
        <f t="shared" si="11"/>
        <v>292.43392300101681</v>
      </c>
      <c r="CD18" s="59">
        <f ca="1">AVERAGE(OFFSET($CC$3,0,0,'Données projet'!$E$12+1,1))-AVERAGE(OFFSET($H$3,0,0,'Données projet'!$E$12+1,1))</f>
        <v>204.6927427024138</v>
      </c>
      <c r="CE18" s="59">
        <f t="shared" si="40"/>
        <v>115.74231133146816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232</v>
      </c>
      <c r="CR18" s="12">
        <f>VLOOKUP(A18,'Données projet'!$A$139:$I$159,9,0)</f>
        <v>21.4</v>
      </c>
      <c r="CS18" s="12">
        <f t="array" ref="CS18">INDEX(CR:CR,MIN(IF(ISNUMBER(CR18:CR214),ROW(CR18:CR214),"")))</f>
        <v>21.4</v>
      </c>
      <c r="CT18" s="12">
        <f>IF('Données projet'!$A$140&gt;35,CT17+CS18-DB17,IF(A18&lt;'Données projet'!$A$140,$CQ$205^A18,IF(A18='Données projet'!$A$140,'Données projet'!$B$140,CT17+CS18-DB17)))</f>
        <v>232.00000000000003</v>
      </c>
      <c r="CU18" s="17">
        <f>CT18*VLOOKUP('Données projet'!$B$13,Paramètres!$A$1:$I$89,3,0)*VLOOKUP('Données projet'!$B$13,Paramètres!$A$1:$I$89,5,0)</f>
        <v>117.98592000000001</v>
      </c>
      <c r="CV18" s="13">
        <f t="shared" si="41"/>
        <v>31.20478645093479</v>
      </c>
      <c r="CW18" s="20">
        <f t="shared" si="13"/>
        <v>259.84048040204476</v>
      </c>
      <c r="CX18" s="59">
        <f t="shared" si="14"/>
        <v>534.8404804020447</v>
      </c>
      <c r="CY18" s="59">
        <f ca="1">AVERAGE(OFFSET($CX$3,0,0,'Données projet'!$E$13+1,1))-AVERAGE(OFFSET($H$3,0,0,'Données projet'!$E$13+1,1))</f>
        <v>204.15575418077316</v>
      </c>
      <c r="CZ18" s="59">
        <f t="shared" si="42"/>
        <v>473.73726605265045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16.149999999999999</v>
      </c>
      <c r="N19" s="13">
        <f>IF('Données projet'!$A$36&gt;35,N18+M19-V18,IF(A19&lt;'Données projet'!$A$36,$K$205^A19,IF(A19='Données projet'!$A$36,'Données projet'!$B$36,N18+M19-V18)))</f>
        <v>99.850000000000009</v>
      </c>
      <c r="O19" s="13">
        <f>N19*VLOOKUP('Données projet'!$B$9,Paramètres!$A$1:$I$89,3,0)*VLOOKUP('Données projet'!$B$9,Paramètres!$A$1:$I$89,5,0)</f>
        <v>59.710300000000011</v>
      </c>
      <c r="P19" s="13">
        <f t="shared" si="33"/>
        <v>17.095003143511043</v>
      </c>
      <c r="Q19" s="20">
        <f t="shared" si="2"/>
        <v>133.76923630828176</v>
      </c>
      <c r="R19" s="59">
        <f t="shared" si="0"/>
        <v>409.99145853050402</v>
      </c>
      <c r="S19" s="59">
        <f ca="1">AVERAGE(OFFSET($R$3,0,0,'Données projet'!$E$9+1,1))-AVERAGE(OFFSET($H$3,0,0,'Données projet'!$E$9+1,1))</f>
        <v>216.83230520434313</v>
      </c>
      <c r="T19" s="59">
        <f t="shared" si="34"/>
        <v>275.41891707278205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4.4255221131800502</v>
      </c>
      <c r="AB19" s="21">
        <f>EXP(-LN(2)/2)*AB18+(1-EXP(-LN(2)/2))/(LN(2)/2)*V19*Y19*VLOOKUP('Données projet'!$B$9,Paramètres!$A$1:$I$89,3,0)*0.475*44/12</f>
        <v>7.4883943194994655</v>
      </c>
      <c r="AC19" s="22">
        <f t="shared" si="3"/>
        <v>11.913916432679516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15.378029886719814</v>
      </c>
      <c r="AK19" s="13">
        <f t="shared" si="35"/>
        <v>5.1558173534317051</v>
      </c>
      <c r="AL19" s="20">
        <f t="shared" si="4"/>
        <v>35.763117276597228</v>
      </c>
      <c r="AM19" s="59">
        <f t="shared" si="5"/>
        <v>311.98533949881949</v>
      </c>
      <c r="AN19" s="59">
        <f ca="1">AVERAGE(OFFSET($AM$3,0,0,'Données projet'!$E$10+1,1))-AVERAGE(OFFSET($H$3,0,0,'Données projet'!$E$10+1,1))</f>
        <v>292.42154837691379</v>
      </c>
      <c r="AO19" s="59">
        <f t="shared" si="36"/>
        <v>193.18009444354601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9.8000000000000007</v>
      </c>
      <c r="BD19" s="12">
        <f>IF('Données projet'!$A$88&gt;35,BD18+BC19-BL18,IF(A19&lt;'Données projet'!$A$88,$BA$205^A19,IF(A19='Données projet'!$A$88,'Données projet'!$B$88,BD18+BC19-BL18)))</f>
        <v>55.8</v>
      </c>
      <c r="BE19" s="13">
        <f>BD19*VLOOKUP('Données projet'!$B$11,Paramètres!$A$1:$I$89,3,0)*VLOOKUP('Données projet'!$B$11,Paramètres!$A$1:$I$89,5,0)</f>
        <v>53.099279999999993</v>
      </c>
      <c r="BF19" s="13">
        <f t="shared" si="37"/>
        <v>15.411339239117453</v>
      </c>
      <c r="BG19" s="20">
        <f t="shared" si="7"/>
        <v>119.32266184146289</v>
      </c>
      <c r="BH19" s="59">
        <f t="shared" si="8"/>
        <v>395.54488406368512</v>
      </c>
      <c r="BI19" s="59">
        <f ca="1">AVERAGE(OFFSET($BH$3,0,0,'Données projet'!$E$11+1,1))-AVERAGE(OFFSET($H$3,0,0,'Données projet'!$E$11+1,1))</f>
        <v>339.00921630742886</v>
      </c>
      <c r="BJ19" s="59">
        <f t="shared" si="38"/>
        <v>314.95763895978303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2.4333333333333331</v>
      </c>
      <c r="BY19" s="12">
        <f>IF('Données projet'!$A$114&gt;35,BY18+BX19-CG18,IF(A19&lt;'Données projet'!$A$114,$BV$205^A19,IF(A19='Données projet'!$A$114,'Données projet'!$B$114,BY18+BX19-CG18)))</f>
        <v>9.8576227119461599</v>
      </c>
      <c r="BZ19" s="13">
        <f>BY19*VLOOKUP('Données projet'!$B$12,Paramètres!$A$1:$I$89,3,0)*VLOOKUP('Données projet'!$B$12,Paramètres!$A$1:$I$89,5,0)</f>
        <v>8.4578402868498053</v>
      </c>
      <c r="CA19" s="13">
        <f t="shared" si="39"/>
        <v>3.0400347034806199</v>
      </c>
      <c r="CB19" s="20">
        <f t="shared" si="10"/>
        <v>20.025465608158825</v>
      </c>
      <c r="CC19" s="59">
        <f t="shared" si="11"/>
        <v>296.24768783038104</v>
      </c>
      <c r="CD19" s="59">
        <f ca="1">AVERAGE(OFFSET($CC$3,0,0,'Données projet'!$E$12+1,1))-AVERAGE(OFFSET($H$3,0,0,'Données projet'!$E$12+1,1))</f>
        <v>204.6927427024138</v>
      </c>
      <c r="CE19" s="59">
        <f t="shared" si="40"/>
        <v>115.74231133146816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22.2</v>
      </c>
      <c r="CT19" s="12">
        <f>IF('Données projet'!$A$140&gt;35,CT18+CS19-DB18,IF(A19&lt;'Données projet'!$A$140,$CQ$205^A19,IF(A19='Données projet'!$A$140,'Données projet'!$B$140,CT18+CS19-DB18)))</f>
        <v>254.20000000000002</v>
      </c>
      <c r="CU19" s="17">
        <f>CT19*VLOOKUP('Données projet'!$B$13,Paramètres!$A$1:$I$89,3,0)*VLOOKUP('Données projet'!$B$13,Paramètres!$A$1:$I$89,5,0)</f>
        <v>129.27595200000002</v>
      </c>
      <c r="CV19" s="13">
        <f t="shared" si="41"/>
        <v>33.828998752949573</v>
      </c>
      <c r="CW19" s="20">
        <f t="shared" si="13"/>
        <v>284.07445589472053</v>
      </c>
      <c r="CX19" s="59">
        <f t="shared" si="14"/>
        <v>560.29667811694276</v>
      </c>
      <c r="CY19" s="59">
        <f ca="1">AVERAGE(OFFSET($CX$3,0,0,'Données projet'!$E$13+1,1))-AVERAGE(OFFSET($H$3,0,0,'Données projet'!$E$13+1,1))</f>
        <v>204.15575418077316</v>
      </c>
      <c r="CZ19" s="59">
        <f t="shared" si="42"/>
        <v>473.73726605265045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116</v>
      </c>
      <c r="L20" s="12">
        <f>VLOOKUP(A20,'Données projet'!$A$35:$I$55,9,0)</f>
        <v>16.149999999999999</v>
      </c>
      <c r="M20" s="12">
        <f t="array" ref="M20">INDEX(L:L,MIN(IF(ISNUMBER(L20:L216),ROW(L20:L216),"")))</f>
        <v>16.149999999999999</v>
      </c>
      <c r="N20" s="13">
        <f>IF('Données projet'!$A$36&gt;35,N19+M20-V19,IF(A20&lt;'Données projet'!$A$36,$K$205^A20,IF(A20='Données projet'!$A$36,'Données projet'!$B$36,N19+M20-V19)))</f>
        <v>116</v>
      </c>
      <c r="O20" s="13">
        <f>N20*VLOOKUP('Données projet'!$B$9,Paramètres!$A$1:$I$89,3,0)*VLOOKUP('Données projet'!$B$9,Paramètres!$A$1:$I$89,5,0)</f>
        <v>69.367999999999995</v>
      </c>
      <c r="P20" s="13">
        <f t="shared" si="33"/>
        <v>19.516426948203531</v>
      </c>
      <c r="Q20" s="20">
        <f t="shared" si="2"/>
        <v>154.80704360145447</v>
      </c>
      <c r="R20" s="59">
        <f t="shared" si="0"/>
        <v>432.2514880458989</v>
      </c>
      <c r="S20" s="59">
        <f ca="1">AVERAGE(OFFSET($R$3,0,0,'Données projet'!$E$9+1,1))-AVERAGE(OFFSET($H$3,0,0,'Données projet'!$E$9+1,1))</f>
        <v>216.83230520434313</v>
      </c>
      <c r="T20" s="59">
        <f t="shared" si="34"/>
        <v>275.41891707278205</v>
      </c>
      <c r="U20" s="15">
        <f>IF(ISNA(VLOOKUP(A20,'Données projet'!$A$35:$I$55,3,0)),0,VLOOKUP(A20,'Données projet'!$A$35:$I$55,3,0))</f>
        <v>3</v>
      </c>
      <c r="V20" s="15">
        <f>IF(ISNA(VLOOKUP(A20,'Données projet'!$A$35:$I$55,4,0)),0,VLOOKUP(A20,'Données projet'!$A$35:$I$55,4,0))</f>
        <v>10.3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0.18000000000000002</v>
      </c>
      <c r="Y20" s="16">
        <f>IF(ISNA(VLOOKUP(A20,'Données projet'!$A$35:$I$55,7,0)),0%,VLOOKUP(A20,'Données projet'!$A$35:$I$55,7,0))</f>
        <v>0.6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5.7694664688382362</v>
      </c>
      <c r="AB20" s="21">
        <f>EXP(-LN(2)/2)*AB19+(1-EXP(-LN(2)/2))/(LN(2)/2)*V20*Y20*VLOOKUP('Données projet'!$B$9,Paramètres!$A$1:$I$89,3,0)*0.475*44/12</f>
        <v>9.4794173715476049</v>
      </c>
      <c r="AC20" s="22">
        <f t="shared" si="3"/>
        <v>15.24888384038584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18.226556333239429</v>
      </c>
      <c r="AK20" s="13">
        <f t="shared" si="35"/>
        <v>5.9911565654502983</v>
      </c>
      <c r="AL20" s="20">
        <f t="shared" si="4"/>
        <v>42.179183298551266</v>
      </c>
      <c r="AM20" s="59">
        <f t="shared" si="5"/>
        <v>319.62362774299572</v>
      </c>
      <c r="AN20" s="59">
        <f ca="1">AVERAGE(OFFSET($AM$3,0,0,'Données projet'!$E$10+1,1))-AVERAGE(OFFSET($H$3,0,0,'Données projet'!$E$10+1,1))</f>
        <v>292.42154837691379</v>
      </c>
      <c r="AO20" s="59">
        <f t="shared" si="36"/>
        <v>193.18009444354601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9.8000000000000007</v>
      </c>
      <c r="BD20" s="12">
        <f>IF('Données projet'!$A$88&gt;35,BD19+BC20-BL19,IF(A20&lt;'Données projet'!$A$88,$BA$205^A20,IF(A20='Données projet'!$A$88,'Données projet'!$B$88,BD19+BC20-BL19)))</f>
        <v>65.599999999999994</v>
      </c>
      <c r="BE20" s="13">
        <f>BD20*VLOOKUP('Données projet'!$B$11,Paramètres!$A$1:$I$89,3,0)*VLOOKUP('Données projet'!$B$11,Paramètres!$A$1:$I$89,5,0)</f>
        <v>62.424959999999999</v>
      </c>
      <c r="BF20" s="13">
        <f t="shared" si="37"/>
        <v>17.779954066616561</v>
      </c>
      <c r="BG20" s="20">
        <f t="shared" si="7"/>
        <v>139.69022533269052</v>
      </c>
      <c r="BH20" s="59">
        <f t="shared" si="8"/>
        <v>417.13466977713495</v>
      </c>
      <c r="BI20" s="59">
        <f ca="1">AVERAGE(OFFSET($BH$3,0,0,'Données projet'!$E$11+1,1))-AVERAGE(OFFSET($H$3,0,0,'Données projet'!$E$11+1,1))</f>
        <v>339.00921630742886</v>
      </c>
      <c r="BJ20" s="59">
        <f t="shared" si="38"/>
        <v>314.95763895978303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2.4333333333333331</v>
      </c>
      <c r="BY20" s="12">
        <f>IF('Données projet'!$A$114&gt;35,BY19+BX20-CG19,IF(A20&lt;'Données projet'!$A$114,$BV$205^A20,IF(A20='Données projet'!$A$114,'Données projet'!$B$114,BY19+BX20-CG19)))</f>
        <v>11.373207272331943</v>
      </c>
      <c r="BZ20" s="13">
        <f>BY20*VLOOKUP('Données projet'!$B$12,Paramètres!$A$1:$I$89,3,0)*VLOOKUP('Données projet'!$B$12,Paramètres!$A$1:$I$89,5,0)</f>
        <v>9.7582118396608077</v>
      </c>
      <c r="CA20" s="13">
        <f t="shared" si="39"/>
        <v>3.4495274927655135</v>
      </c>
      <c r="CB20" s="20">
        <f t="shared" si="10"/>
        <v>23.003479337309173</v>
      </c>
      <c r="CC20" s="59">
        <f t="shared" si="11"/>
        <v>300.44792378175362</v>
      </c>
      <c r="CD20" s="59">
        <f ca="1">AVERAGE(OFFSET($CC$3,0,0,'Données projet'!$E$12+1,1))-AVERAGE(OFFSET($H$3,0,0,'Données projet'!$E$12+1,1))</f>
        <v>204.6927427024138</v>
      </c>
      <c r="CE20" s="59">
        <f t="shared" si="40"/>
        <v>115.74231133146816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22.2</v>
      </c>
      <c r="CT20" s="12">
        <f>IF('Données projet'!$A$140&gt;35,CT19+CS20-DB19,IF(A20&lt;'Données projet'!$A$140,$CQ$205^A20,IF(A20='Données projet'!$A$140,'Données projet'!$B$140,CT19+CS20-DB19)))</f>
        <v>276.40000000000003</v>
      </c>
      <c r="CU20" s="17">
        <f>CT20*VLOOKUP('Données projet'!$B$13,Paramètres!$A$1:$I$89,3,0)*VLOOKUP('Données projet'!$B$13,Paramètres!$A$1:$I$89,5,0)</f>
        <v>140.56598400000001</v>
      </c>
      <c r="CV20" s="13">
        <f t="shared" si="41"/>
        <v>36.426634020241487</v>
      </c>
      <c r="CW20" s="20">
        <f t="shared" si="13"/>
        <v>308.26214305192059</v>
      </c>
      <c r="CX20" s="59">
        <f t="shared" si="14"/>
        <v>585.70658749636505</v>
      </c>
      <c r="CY20" s="59">
        <f ca="1">AVERAGE(OFFSET($CX$3,0,0,'Données projet'!$E$13+1,1))-AVERAGE(OFFSET($H$3,0,0,'Données projet'!$E$13+1,1))</f>
        <v>204.15575418077316</v>
      </c>
      <c r="CZ20" s="59">
        <f t="shared" si="42"/>
        <v>473.73726605265045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16.649999999999999</v>
      </c>
      <c r="N21" s="13">
        <f>IF('Données projet'!$A$36&gt;35,N20+M21-V20,IF(A21&lt;'Données projet'!$A$36,$K$205^A21,IF(A21='Données projet'!$A$36,'Données projet'!$B$36,N20+M21-V20)))</f>
        <v>122.35000000000001</v>
      </c>
      <c r="O21" s="13">
        <f>N21*VLOOKUP('Données projet'!$B$9,Paramètres!$A$1:$I$89,3,0)*VLOOKUP('Données projet'!$B$9,Paramètres!$A$1:$I$89,5,0)</f>
        <v>73.165300000000016</v>
      </c>
      <c r="P21" s="13">
        <f t="shared" si="33"/>
        <v>20.457478442069718</v>
      </c>
      <c r="Q21" s="20">
        <f t="shared" si="2"/>
        <v>163.05967245327145</v>
      </c>
      <c r="R21" s="59">
        <f t="shared" si="0"/>
        <v>441.72633911993813</v>
      </c>
      <c r="S21" s="59">
        <f ca="1">AVERAGE(OFFSET($R$3,0,0,'Données projet'!$E$9+1,1))-AVERAGE(OFFSET($H$3,0,0,'Données projet'!$E$9+1,1))</f>
        <v>216.83230520434313</v>
      </c>
      <c r="T21" s="59">
        <f t="shared" si="34"/>
        <v>275.41891707278205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5.6117001048447994</v>
      </c>
      <c r="AB21" s="21">
        <f>EXP(-LN(2)/2)*AB20+(1-EXP(-LN(2)/2))/(LN(2)/2)*V21*Y21*VLOOKUP('Données projet'!$B$9,Paramètres!$A$1:$I$89,3,0)*0.475*44/12</f>
        <v>6.7029603051188698</v>
      </c>
      <c r="AC21" s="22">
        <f t="shared" si="3"/>
        <v>12.314660409963668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21.602725330612</v>
      </c>
      <c r="AK21" s="13">
        <f t="shared" si="35"/>
        <v>6.9618364133568926</v>
      </c>
      <c r="AL21" s="20">
        <f t="shared" si="4"/>
        <v>49.749945037412488</v>
      </c>
      <c r="AM21" s="59">
        <f t="shared" si="5"/>
        <v>328.41661170407917</v>
      </c>
      <c r="AN21" s="59">
        <f ca="1">AVERAGE(OFFSET($AM$3,0,0,'Données projet'!$E$10+1,1))-AVERAGE(OFFSET($H$3,0,0,'Données projet'!$E$10+1,1))</f>
        <v>292.42154837691379</v>
      </c>
      <c r="AO21" s="59">
        <f t="shared" si="36"/>
        <v>193.18009444354601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9.8000000000000007</v>
      </c>
      <c r="BD21" s="12">
        <f>IF('Données projet'!$A$88&gt;35,BD20+BC21-BL20,IF(A21&lt;'Données projet'!$A$88,$BA$205^A21,IF(A21='Données projet'!$A$88,'Données projet'!$B$88,BD20+BC21-BL20)))</f>
        <v>75.399999999999991</v>
      </c>
      <c r="BE21" s="13">
        <f>BD21*VLOOKUP('Données projet'!$B$11,Paramètres!$A$1:$I$89,3,0)*VLOOKUP('Données projet'!$B$11,Paramètres!$A$1:$I$89,5,0)</f>
        <v>71.75063999999999</v>
      </c>
      <c r="BF21" s="13">
        <f t="shared" si="37"/>
        <v>20.107576209927593</v>
      </c>
      <c r="BG21" s="20">
        <f t="shared" si="7"/>
        <v>159.98639323229054</v>
      </c>
      <c r="BH21" s="59">
        <f t="shared" si="8"/>
        <v>438.65305989895722</v>
      </c>
      <c r="BI21" s="59">
        <f ca="1">AVERAGE(OFFSET($BH$3,0,0,'Données projet'!$E$11+1,1))-AVERAGE(OFFSET($H$3,0,0,'Données projet'!$E$11+1,1))</f>
        <v>339.00921630742886</v>
      </c>
      <c r="BJ21" s="59">
        <f t="shared" si="38"/>
        <v>314.95763895978303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2.4333333333333331</v>
      </c>
      <c r="BY21" s="12">
        <f>IF('Données projet'!$A$114&gt;35,BY20+BX21-CG20,IF(A21&lt;'Données projet'!$A$114,$BV$205^A21,IF(A21='Données projet'!$A$114,'Données projet'!$B$114,BY20+BX21-CG20)))</f>
        <v>13.121809125710294</v>
      </c>
      <c r="BZ21" s="13">
        <f>BY21*VLOOKUP('Données projet'!$B$12,Paramètres!$A$1:$I$89,3,0)*VLOOKUP('Données projet'!$B$12,Paramètres!$A$1:$I$89,5,0)</f>
        <v>11.258512229859434</v>
      </c>
      <c r="CA21" s="13">
        <f t="shared" si="39"/>
        <v>3.9141789762206858</v>
      </c>
      <c r="CB21" s="20">
        <f t="shared" si="10"/>
        <v>26.425770517256211</v>
      </c>
      <c r="CC21" s="59">
        <f t="shared" si="11"/>
        <v>305.09243718392293</v>
      </c>
      <c r="CD21" s="59">
        <f ca="1">AVERAGE(OFFSET($CC$3,0,0,'Données projet'!$E$12+1,1))-AVERAGE(OFFSET($H$3,0,0,'Données projet'!$E$12+1,1))</f>
        <v>204.6927427024138</v>
      </c>
      <c r="CE21" s="59">
        <f t="shared" si="40"/>
        <v>115.74231133146816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22.2</v>
      </c>
      <c r="CT21" s="12">
        <f>IF('Données projet'!$A$140&gt;35,CT20+CS21-DB20,IF(A21&lt;'Données projet'!$A$140,$CQ$205^A21,IF(A21='Données projet'!$A$140,'Données projet'!$B$140,CT20+CS21-DB20)))</f>
        <v>298.60000000000002</v>
      </c>
      <c r="CU21" s="17">
        <f>CT21*VLOOKUP('Données projet'!$B$13,Paramètres!$A$1:$I$89,3,0)*VLOOKUP('Données projet'!$B$13,Paramètres!$A$1:$I$89,5,0)</f>
        <v>151.85601600000001</v>
      </c>
      <c r="CV21" s="13">
        <f t="shared" si="41"/>
        <v>39.000069563692435</v>
      </c>
      <c r="CW21" s="20">
        <f t="shared" si="13"/>
        <v>332.40768235676427</v>
      </c>
      <c r="CX21" s="59">
        <f t="shared" si="14"/>
        <v>611.07434902343095</v>
      </c>
      <c r="CY21" s="59">
        <f ca="1">AVERAGE(OFFSET($CX$3,0,0,'Données projet'!$E$13+1,1))-AVERAGE(OFFSET($H$3,0,0,'Données projet'!$E$13+1,1))</f>
        <v>204.15575418077316</v>
      </c>
      <c r="CZ21" s="59">
        <f t="shared" si="42"/>
        <v>473.73726605265045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139</v>
      </c>
      <c r="L22" s="12">
        <f>VLOOKUP(A22,'Données projet'!$A$35:$I$55,9,0)</f>
        <v>16.649999999999999</v>
      </c>
      <c r="M22" s="12">
        <f t="array" ref="M22">INDEX(L:L,MIN(IF(ISNUMBER(L22:L218),ROW(L22:L218),"")))</f>
        <v>16.649999999999999</v>
      </c>
      <c r="N22" s="13">
        <f>IF('Données projet'!$A$36&gt;35,N21+M22-V21,IF(A22&lt;'Données projet'!$A$36,$K$205^A22,IF(A22='Données projet'!$A$36,'Données projet'!$B$36,N21+M22-V21)))</f>
        <v>139</v>
      </c>
      <c r="O22" s="13">
        <f>N22*VLOOKUP('Données projet'!$B$9,Paramètres!$A$1:$I$89,3,0)*VLOOKUP('Données projet'!$B$9,Paramètres!$A$1:$I$89,5,0)</f>
        <v>83.122000000000014</v>
      </c>
      <c r="P22" s="13">
        <f t="shared" si="33"/>
        <v>22.898820278178533</v>
      </c>
      <c r="Q22" s="20">
        <f t="shared" si="2"/>
        <v>184.65292865116098</v>
      </c>
      <c r="R22" s="59">
        <f t="shared" si="0"/>
        <v>464.54181754004981</v>
      </c>
      <c r="S22" s="59">
        <f ca="1">AVERAGE(OFFSET($R$3,0,0,'Données projet'!$E$9+1,1))-AVERAGE(OFFSET($H$3,0,0,'Données projet'!$E$9+1,1))</f>
        <v>216.83230520434313</v>
      </c>
      <c r="T22" s="59">
        <f t="shared" si="34"/>
        <v>275.41891707278205</v>
      </c>
      <c r="U22" s="15">
        <f>IF(ISNA(VLOOKUP(A22,'Données projet'!$A$35:$I$55,3,0)),0,VLOOKUP(A22,'Données projet'!$A$35:$I$55,3,0))</f>
        <v>4</v>
      </c>
      <c r="V22" s="15">
        <f>IF(ISNA(VLOOKUP(A22,'Données projet'!$A$35:$I$55,4,0)),0,VLOOKUP(A22,'Données projet'!$A$35:$I$55,4,0))</f>
        <v>11.5</v>
      </c>
      <c r="W22" s="16">
        <f>IF(ISNA(VLOOKUP(A22,'Données projet'!$A$35:$I$55,5,0)),0%,VLOOKUP(A22,'Données projet'!$A$35:$I$55,5,0)*VLOOKUP('Données projet'!$B$9,Paramètres!$A$1:$I$89,7,0))</f>
        <v>0.22500000000000001</v>
      </c>
      <c r="X22" s="16">
        <f>IF(ISNA(VLOOKUP(A22,'Données projet'!$A$35:$I$55,6,0)),0%,VLOOKUP(A22,'Données projet'!$A$35:$I$55,6,0)*VLOOKUP('Données projet'!$B$9,Paramètres!$A$1:$I$89,7,0))</f>
        <v>9.0000000000000011E-2</v>
      </c>
      <c r="Y22" s="16">
        <f>IF(ISNA(VLOOKUP(A22,'Données projet'!$A$35:$I$55,7,0)),0%,VLOOKUP(A22,'Données projet'!$A$35:$I$55,7,0))</f>
        <v>0.3</v>
      </c>
      <c r="Z22" s="21">
        <f>EXP(-LN(2)/35)*Z21+(1-EXP(-LN(2)/35))/(LN(2)/35)*V22*W22*VLOOKUP('Données projet'!$B$9,Paramètres!$A$1:$I$89,3,0)*0.475*44/12</f>
        <v>2.0526263460129868</v>
      </c>
      <c r="AA22" s="21">
        <f>EXP(-LN(2)/25)*AA21+(1-EXP(-LN(2)/25))/(LN(2)/25)*Calculateur!V22*Calculateur!X22*VLOOKUP('Données projet'!$B$9,Paramètres!$A$1:$I$89,3,0)*0.475*44/12</f>
        <v>6.2760656199620479</v>
      </c>
      <c r="AB22" s="21">
        <f>EXP(-LN(2)/2)*AB21+(1-EXP(-LN(2)/2))/(LN(2)/2)*V22*Y22*VLOOKUP('Données projet'!$B$9,Paramètres!$A$1:$I$89,3,0)*0.475*44/12</f>
        <v>7.0756171388006539</v>
      </c>
      <c r="AC22" s="22">
        <f t="shared" si="3"/>
        <v>15.404309104775688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25.604273960341793</v>
      </c>
      <c r="AK22" s="13">
        <f t="shared" si="35"/>
        <v>8.0897846211934414</v>
      </c>
      <c r="AL22" s="20">
        <f t="shared" si="4"/>
        <v>58.683818696173859</v>
      </c>
      <c r="AM22" s="59">
        <f t="shared" si="5"/>
        <v>338.57270758506274</v>
      </c>
      <c r="AN22" s="59">
        <f ca="1">AVERAGE(OFFSET($AM$3,0,0,'Données projet'!$E$10+1,1))-AVERAGE(OFFSET($H$3,0,0,'Données projet'!$E$10+1,1))</f>
        <v>292.42154837691379</v>
      </c>
      <c r="AO22" s="59">
        <f t="shared" si="36"/>
        <v>193.18009444354601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9.8000000000000007</v>
      </c>
      <c r="BD22" s="12">
        <f>IF('Données projet'!$A$88&gt;35,BD21+BC22-BL21,IF(A22&lt;'Données projet'!$A$88,$BA$205^A22,IF(A22='Données projet'!$A$88,'Données projet'!$B$88,BD21+BC22-BL21)))</f>
        <v>85.199999999999989</v>
      </c>
      <c r="BE22" s="13">
        <f>BD22*VLOOKUP('Données projet'!$B$11,Paramètres!$A$1:$I$89,3,0)*VLOOKUP('Données projet'!$B$11,Paramètres!$A$1:$I$89,5,0)</f>
        <v>81.076319999999996</v>
      </c>
      <c r="BF22" s="13">
        <f t="shared" si="37"/>
        <v>22.400144923695908</v>
      </c>
      <c r="BG22" s="20">
        <f t="shared" si="7"/>
        <v>180.22150974210368</v>
      </c>
      <c r="BH22" s="59">
        <f t="shared" si="8"/>
        <v>460.11039863099256</v>
      </c>
      <c r="BI22" s="59">
        <f ca="1">AVERAGE(OFFSET($BH$3,0,0,'Données projet'!$E$11+1,1))-AVERAGE(OFFSET($H$3,0,0,'Données projet'!$E$11+1,1))</f>
        <v>339.00921630742886</v>
      </c>
      <c r="BJ22" s="59">
        <f t="shared" si="38"/>
        <v>314.95763895978303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2.4333333333333331</v>
      </c>
      <c r="BY22" s="12">
        <f>IF('Données projet'!$A$114&gt;35,BY21+BX22-CG21,IF(A22&lt;'Données projet'!$A$114,$BV$205^A22,IF(A22='Données projet'!$A$114,'Données projet'!$B$114,BY21+BX22-CG21)))</f>
        <v>15.139254091539133</v>
      </c>
      <c r="BZ22" s="13">
        <f>BY22*VLOOKUP('Données projet'!$B$12,Paramètres!$A$1:$I$89,3,0)*VLOOKUP('Données projet'!$B$12,Paramètres!$A$1:$I$89,5,0)</f>
        <v>12.989480010540577</v>
      </c>
      <c r="CA22" s="13">
        <f t="shared" si="39"/>
        <v>4.4414190320324725</v>
      </c>
      <c r="CB22" s="20">
        <f t="shared" si="10"/>
        <v>30.358815832481397</v>
      </c>
      <c r="CC22" s="59">
        <f t="shared" si="11"/>
        <v>310.24770472137027</v>
      </c>
      <c r="CD22" s="59">
        <f ca="1">AVERAGE(OFFSET($CC$3,0,0,'Données projet'!$E$12+1,1))-AVERAGE(OFFSET($H$3,0,0,'Données projet'!$E$12+1,1))</f>
        <v>204.6927427024138</v>
      </c>
      <c r="CE22" s="59">
        <f t="shared" si="40"/>
        <v>115.74231133146816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22.2</v>
      </c>
      <c r="CT22" s="12">
        <f>IF('Données projet'!$A$140&gt;35,CT21+CS22-DB21,IF(A22&lt;'Données projet'!$A$140,$CQ$205^A22,IF(A22='Données projet'!$A$140,'Données projet'!$B$140,CT21+CS22-DB21)))</f>
        <v>320.8</v>
      </c>
      <c r="CU22" s="17">
        <f>CT22*VLOOKUP('Données projet'!$B$13,Paramètres!$A$1:$I$89,3,0)*VLOOKUP('Données projet'!$B$13,Paramètres!$A$1:$I$89,5,0)</f>
        <v>163.14604800000004</v>
      </c>
      <c r="CV22" s="13">
        <f t="shared" si="41"/>
        <v>41.551309147235642</v>
      </c>
      <c r="CW22" s="20">
        <f t="shared" si="13"/>
        <v>356.51456369810211</v>
      </c>
      <c r="CX22" s="59">
        <f t="shared" si="14"/>
        <v>636.40345258699097</v>
      </c>
      <c r="CY22" s="59">
        <f ca="1">AVERAGE(OFFSET($CX$3,0,0,'Données projet'!$E$13+1,1))-AVERAGE(OFFSET($H$3,0,0,'Données projet'!$E$13+1,1))</f>
        <v>204.15575418077316</v>
      </c>
      <c r="CZ22" s="59">
        <f t="shared" si="42"/>
        <v>473.73726605265045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15.75</v>
      </c>
      <c r="N23" s="13">
        <f>IF('Données projet'!$A$36&gt;35,N22+M23-V22,IF(A23&lt;'Données projet'!$A$36,$K$205^A23,IF(A23='Données projet'!$A$36,'Données projet'!$B$36,N22+M23-V22)))</f>
        <v>143.25</v>
      </c>
      <c r="O23" s="13">
        <f>N23*VLOOKUP('Données projet'!$B$9,Paramètres!$A$1:$I$89,3,0)*VLOOKUP('Données projet'!$B$9,Paramètres!$A$1:$I$89,5,0)</f>
        <v>85.663499999999999</v>
      </c>
      <c r="P23" s="13">
        <f t="shared" si="33"/>
        <v>23.516378773986975</v>
      </c>
      <c r="Q23" s="20">
        <f t="shared" si="2"/>
        <v>190.15495553136066</v>
      </c>
      <c r="R23" s="59">
        <f t="shared" si="0"/>
        <v>471.2660666424718</v>
      </c>
      <c r="S23" s="59">
        <f ca="1">AVERAGE(OFFSET($R$3,0,0,'Données projet'!$E$9+1,1))-AVERAGE(OFFSET($H$3,0,0,'Données projet'!$E$9+1,1))</f>
        <v>216.83230520434313</v>
      </c>
      <c r="T23" s="59">
        <f t="shared" si="34"/>
        <v>275.41891707278205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2.0123755953461204</v>
      </c>
      <c r="AA23" s="21">
        <f>EXP(-LN(2)/25)*AA22+(1-EXP(-LN(2)/25))/(LN(2)/25)*Calculateur!V23*Calculateur!X23*VLOOKUP('Données projet'!$B$9,Paramètres!$A$1:$I$89,3,0)*0.475*44/12</f>
        <v>6.1044462755402389</v>
      </c>
      <c r="AB23" s="21">
        <f>EXP(-LN(2)/2)*AB22+(1-EXP(-LN(2)/2))/(LN(2)/2)*V23*Y23*VLOOKUP('Données projet'!$B$9,Paramètres!$A$1:$I$89,3,0)*0.475*44/12</f>
        <v>5.0032168599256996</v>
      </c>
      <c r="AC23" s="22">
        <f t="shared" si="3"/>
        <v>13.120038730812059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30.347043486557379</v>
      </c>
      <c r="AK23" s="13">
        <f t="shared" si="35"/>
        <v>9.4004816159909641</v>
      </c>
      <c r="AL23" s="20">
        <f t="shared" si="4"/>
        <v>69.226939553605035</v>
      </c>
      <c r="AM23" s="59">
        <f t="shared" si="5"/>
        <v>350.33805066471621</v>
      </c>
      <c r="AN23" s="59">
        <f ca="1">AVERAGE(OFFSET($AM$3,0,0,'Données projet'!$E$10+1,1))-AVERAGE(OFFSET($H$3,0,0,'Données projet'!$E$10+1,1))</f>
        <v>292.42154837691379</v>
      </c>
      <c r="AO23" s="59">
        <f t="shared" si="36"/>
        <v>193.18009444354601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95</v>
      </c>
      <c r="BB23" s="12">
        <f>VLOOKUP(A23,'Données projet'!$A$87:$I$107,9,0)</f>
        <v>9.8000000000000007</v>
      </c>
      <c r="BC23" s="12">
        <f t="array" ref="BC23">INDEX(BB:BB,MIN(IF(ISNUMBER(BB23:BB219),ROW(BB23:BB219),"")))</f>
        <v>9.8000000000000007</v>
      </c>
      <c r="BD23" s="12">
        <f>IF('Données projet'!$A$88&gt;35,BD22+BC23-BL22,IF(A23&lt;'Données projet'!$A$88,$BA$205^A23,IF(A23='Données projet'!$A$88,'Données projet'!$B$88,BD22+BC23-BL22)))</f>
        <v>94.999999999999986</v>
      </c>
      <c r="BE23" s="13">
        <f>BD23*VLOOKUP('Données projet'!$B$11,Paramètres!$A$1:$I$89,3,0)*VLOOKUP('Données projet'!$B$11,Paramètres!$A$1:$I$89,5,0)</f>
        <v>90.401999999999987</v>
      </c>
      <c r="BF23" s="13">
        <f t="shared" si="37"/>
        <v>24.662152551735971</v>
      </c>
      <c r="BG23" s="20">
        <f t="shared" si="7"/>
        <v>200.40339902760681</v>
      </c>
      <c r="BH23" s="59">
        <f t="shared" si="8"/>
        <v>481.51451013871792</v>
      </c>
      <c r="BI23" s="59">
        <f ca="1">AVERAGE(OFFSET($BH$3,0,0,'Données projet'!$E$11+1,1))-AVERAGE(OFFSET($H$3,0,0,'Données projet'!$E$11+1,1))</f>
        <v>339.00921630742886</v>
      </c>
      <c r="BJ23" s="59">
        <f t="shared" si="38"/>
        <v>314.95763895978303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2.4333333333333331</v>
      </c>
      <c r="BY23" s="12">
        <f>IF('Données projet'!$A$114&gt;35,BY22+BX23-CG22,IF(A23&lt;'Données projet'!$A$114,$BV$205^A23,IF(A23='Données projet'!$A$114,'Données projet'!$B$114,BY22+BX23-CG22)))</f>
        <v>17.466876118408535</v>
      </c>
      <c r="BZ23" s="13">
        <f>BY23*VLOOKUP('Données projet'!$B$12,Paramètres!$A$1:$I$89,3,0)*VLOOKUP('Données projet'!$B$12,Paramètres!$A$1:$I$89,5,0)</f>
        <v>14.986579709594524</v>
      </c>
      <c r="CA23" s="13">
        <f t="shared" si="39"/>
        <v>5.039678343259304</v>
      </c>
      <c r="CB23" s="20">
        <f t="shared" si="10"/>
        <v>34.879066108720416</v>
      </c>
      <c r="CC23" s="59">
        <f t="shared" si="11"/>
        <v>315.99017721983154</v>
      </c>
      <c r="CD23" s="59">
        <f ca="1">AVERAGE(OFFSET($CC$3,0,0,'Données projet'!$E$12+1,1))-AVERAGE(OFFSET($H$3,0,0,'Données projet'!$E$12+1,1))</f>
        <v>204.6927427024138</v>
      </c>
      <c r="CE23" s="59">
        <f t="shared" si="40"/>
        <v>115.74231133146816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343</v>
      </c>
      <c r="CR23" s="12">
        <f>VLOOKUP(A23,'Données projet'!$A$139:$I$159,9,0)</f>
        <v>22.2</v>
      </c>
      <c r="CS23" s="12">
        <f t="array" ref="CS23">INDEX(CR:CR,MIN(IF(ISNUMBER(CR23:CR219),ROW(CR23:CR219),"")))</f>
        <v>22.2</v>
      </c>
      <c r="CT23" s="12">
        <f>IF('Données projet'!$A$140&gt;35,CT22+CS23-DB22,IF(A23&lt;'Données projet'!$A$140,$CQ$205^A23,IF(A23='Données projet'!$A$140,'Données projet'!$B$140,CT22+CS23-DB22)))</f>
        <v>343</v>
      </c>
      <c r="CU23" s="17">
        <f>CT23*VLOOKUP('Données projet'!$B$13,Paramètres!$A$1:$I$89,3,0)*VLOOKUP('Données projet'!$B$13,Paramètres!$A$1:$I$89,5,0)</f>
        <v>174.43608</v>
      </c>
      <c r="CV23" s="13">
        <f t="shared" si="41"/>
        <v>44.082063503836537</v>
      </c>
      <c r="CW23" s="20">
        <f t="shared" si="13"/>
        <v>380.58576660251532</v>
      </c>
      <c r="CX23" s="59">
        <f t="shared" si="14"/>
        <v>661.69687771362646</v>
      </c>
      <c r="CY23" s="59">
        <f ca="1">AVERAGE(OFFSET($CX$3,0,0,'Données projet'!$E$13+1,1))-AVERAGE(OFFSET($H$3,0,0,'Données projet'!$E$13+1,1))</f>
        <v>204.15575418077316</v>
      </c>
      <c r="CZ23" s="59">
        <f t="shared" si="42"/>
        <v>473.73726605265045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159</v>
      </c>
      <c r="L24" s="12">
        <f>VLOOKUP(A24,'Données projet'!$A$35:$I$55,9,0)</f>
        <v>15.75</v>
      </c>
      <c r="M24" s="12">
        <f t="array" ref="M24">INDEX(L:L,MIN(IF(ISNUMBER(L24:L220),ROW(L24:L220),"")))</f>
        <v>15.75</v>
      </c>
      <c r="N24" s="13">
        <f>IF('Données projet'!$A$36&gt;35,N23+M24-V23,IF(A24&lt;'Données projet'!$A$36,$K$205^A24,IF(A24='Données projet'!$A$36,'Données projet'!$B$36,N23+M24-V23)))</f>
        <v>159</v>
      </c>
      <c r="O24" s="13">
        <f>N24*VLOOKUP('Données projet'!$B$9,Paramètres!$A$1:$I$89,3,0)*VLOOKUP('Données projet'!$B$9,Paramètres!$A$1:$I$89,5,0)</f>
        <v>95.082000000000008</v>
      </c>
      <c r="P24" s="13">
        <f t="shared" si="33"/>
        <v>25.786935269387122</v>
      </c>
      <c r="Q24" s="20">
        <f t="shared" si="2"/>
        <v>210.51339559418258</v>
      </c>
      <c r="R24" s="59">
        <f t="shared" si="0"/>
        <v>492.84672892751587</v>
      </c>
      <c r="S24" s="59">
        <f ca="1">AVERAGE(OFFSET($R$3,0,0,'Données projet'!$E$9+1,1))-AVERAGE(OFFSET($H$3,0,0,'Données projet'!$E$9+1,1))</f>
        <v>216.83230520434313</v>
      </c>
      <c r="T24" s="59">
        <f t="shared" si="34"/>
        <v>275.41891707278205</v>
      </c>
      <c r="U24" s="15">
        <f>IF(ISNA(VLOOKUP(A24,'Données projet'!$A$35:$I$55,3,0)),0,VLOOKUP(A24,'Données projet'!$A$35:$I$55,3,0))</f>
        <v>5</v>
      </c>
      <c r="V24" s="15">
        <f>IF(ISNA(VLOOKUP(A24,'Données projet'!$A$35:$I$55,4,0)),0,VLOOKUP(A24,'Données projet'!$A$35:$I$55,4,0))</f>
        <v>13.7</v>
      </c>
      <c r="W24" s="16">
        <f>IF(ISNA(VLOOKUP(A24,'Données projet'!$A$35:$I$55,5,0)),0%,VLOOKUP(A24,'Données projet'!$A$35:$I$55,5,0)*VLOOKUP('Données projet'!$B$9,Paramètres!$A$1:$I$89,7,0))</f>
        <v>0.22500000000000001</v>
      </c>
      <c r="X24" s="16">
        <f>IF(ISNA(VLOOKUP(A24,'Données projet'!$A$35:$I$55,6,0)),0%,VLOOKUP(A24,'Données projet'!$A$35:$I$55,6,0)*VLOOKUP('Données projet'!$B$9,Paramètres!$A$1:$I$89,7,0))</f>
        <v>9.0000000000000011E-2</v>
      </c>
      <c r="Y24" s="16">
        <f>IF(ISNA(VLOOKUP(A24,'Données projet'!$A$35:$I$55,7,0)),0%,VLOOKUP(A24,'Données projet'!$A$35:$I$55,7,0))</f>
        <v>0.3</v>
      </c>
      <c r="Z24" s="21">
        <f>EXP(-LN(2)/35)*Z23+(1-EXP(-LN(2)/35))/(LN(2)/35)*V24*W24*VLOOKUP('Données projet'!$B$9,Paramètres!$A$1:$I$89,3,0)*0.475*44/12</f>
        <v>4.4182168278169422</v>
      </c>
      <c r="AA24" s="21">
        <f>EXP(-LN(2)/25)*AA23+(1-EXP(-LN(2)/25))/(LN(2)/25)*Calculateur!V24*Calculateur!X24*VLOOKUP('Données projet'!$B$9,Paramètres!$A$1:$I$89,3,0)*0.475*44/12</f>
        <v>6.9117897119334737</v>
      </c>
      <c r="AB24" s="21">
        <f>EXP(-LN(2)/2)*AB23+(1-EXP(-LN(2)/2))/(LN(2)/2)*V24*Y24*VLOOKUP('Données projet'!$B$9,Paramètres!$A$1:$I$89,3,0)*0.475*44/12</f>
        <v>6.3205864656149249</v>
      </c>
      <c r="AC24" s="22">
        <f t="shared" si="3"/>
        <v>17.650593005365341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35.968332857297341</v>
      </c>
      <c r="AK24" s="13">
        <f t="shared" si="35"/>
        <v>10.923536132355956</v>
      </c>
      <c r="AL24" s="20">
        <f t="shared" si="4"/>
        <v>81.670005156979485</v>
      </c>
      <c r="AM24" s="59">
        <f t="shared" si="5"/>
        <v>364.00333849031279</v>
      </c>
      <c r="AN24" s="59">
        <f ca="1">AVERAGE(OFFSET($AM$3,0,0,'Données projet'!$E$10+1,1))-AVERAGE(OFFSET($H$3,0,0,'Données projet'!$E$10+1,1))</f>
        <v>292.42154837691379</v>
      </c>
      <c r="AO24" s="59">
        <f t="shared" si="36"/>
        <v>193.18009444354601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90.199999999999989</v>
      </c>
      <c r="BE24" s="13">
        <f>BD24*VLOOKUP('Données projet'!$B$11,Paramètres!$A$1:$I$89,3,0)*VLOOKUP('Données projet'!$B$11,Paramètres!$A$1:$I$89,5,0)</f>
        <v>85.834319999999991</v>
      </c>
      <c r="BF24" s="13">
        <f t="shared" si="37"/>
        <v>23.557809132261784</v>
      </c>
      <c r="BG24" s="20">
        <f t="shared" si="7"/>
        <v>190.52462490535592</v>
      </c>
      <c r="BH24" s="59">
        <f t="shared" si="8"/>
        <v>472.85795823868921</v>
      </c>
      <c r="BI24" s="59">
        <f ca="1">AVERAGE(OFFSET($BH$3,0,0,'Données projet'!$E$11+1,1))-AVERAGE(OFFSET($H$3,0,0,'Données projet'!$E$11+1,1))</f>
        <v>339.00921630742886</v>
      </c>
      <c r="BJ24" s="59">
        <f t="shared" si="38"/>
        <v>314.95763895978303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2.4333333333333331</v>
      </c>
      <c r="BY24" s="12">
        <f>IF('Données projet'!$A$114&gt;35,BY23+BX24-CG23,IF(A24&lt;'Données projet'!$A$114,$BV$205^A24,IF(A24='Données projet'!$A$114,'Données projet'!$B$114,BY23+BX24-CG23)))</f>
        <v>20.152364144963848</v>
      </c>
      <c r="BZ24" s="13">
        <f>BY24*VLOOKUP('Données projet'!$B$12,Paramètres!$A$1:$I$89,3,0)*VLOOKUP('Données projet'!$B$12,Paramètres!$A$1:$I$89,5,0)</f>
        <v>17.290728436378981</v>
      </c>
      <c r="CA24" s="13">
        <f t="shared" si="39"/>
        <v>5.7185232062857407</v>
      </c>
      <c r="CB24" s="20">
        <f t="shared" si="10"/>
        <v>40.074446610974391</v>
      </c>
      <c r="CC24" s="59">
        <f t="shared" si="11"/>
        <v>322.40777994430772</v>
      </c>
      <c r="CD24" s="59">
        <f ca="1">AVERAGE(OFFSET($CC$3,0,0,'Données projet'!$E$12+1,1))-AVERAGE(OFFSET($H$3,0,0,'Données projet'!$E$12+1,1))</f>
        <v>204.6927427024138</v>
      </c>
      <c r="CE24" s="59">
        <f t="shared" si="40"/>
        <v>115.74231133146816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19.5</v>
      </c>
      <c r="CT24" s="12">
        <f>IF('Données projet'!$A$140&gt;35,CT23+CS24-DB23,IF(A24&lt;'Données projet'!$A$140,$CQ$205^A24,IF(A24='Données projet'!$A$140,'Données projet'!$B$140,CT23+CS24-DB23)))</f>
        <v>362.5</v>
      </c>
      <c r="CU24" s="17">
        <f>CT24*VLOOKUP('Données projet'!$B$13,Paramètres!$A$1:$I$89,3,0)*VLOOKUP('Données projet'!$B$13,Paramètres!$A$1:$I$89,5,0)</f>
        <v>184.35300000000004</v>
      </c>
      <c r="CV24" s="13">
        <f t="shared" si="41"/>
        <v>46.289297497980201</v>
      </c>
      <c r="CW24" s="20">
        <f t="shared" si="13"/>
        <v>401.70200147564884</v>
      </c>
      <c r="CX24" s="59">
        <f t="shared" si="14"/>
        <v>684.03533480898216</v>
      </c>
      <c r="CY24" s="59">
        <f ca="1">AVERAGE(OFFSET($CX$3,0,0,'Données projet'!$E$13+1,1))-AVERAGE(OFFSET($H$3,0,0,'Données projet'!$E$13+1,1))</f>
        <v>204.15575418077316</v>
      </c>
      <c r="CZ24" s="59">
        <f t="shared" si="42"/>
        <v>473.73726605265045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16.849999999999994</v>
      </c>
      <c r="N25" s="13">
        <f>IF('Données projet'!$A$36&gt;35,N24+M25-V24,IF(A25&lt;'Données projet'!$A$36,$K$205^A25,IF(A25='Données projet'!$A$36,'Données projet'!$B$36,N24+M25-V24)))</f>
        <v>162.15</v>
      </c>
      <c r="O25" s="13">
        <f>N25*VLOOKUP('Données projet'!$B$9,Paramètres!$A$1:$I$89,3,0)*VLOOKUP('Données projet'!$B$9,Paramètres!$A$1:$I$89,5,0)</f>
        <v>96.965700000000027</v>
      </c>
      <c r="P25" s="13">
        <f t="shared" si="33"/>
        <v>26.237826185479687</v>
      </c>
      <c r="Q25" s="20">
        <f t="shared" si="2"/>
        <v>214.57947477304381</v>
      </c>
      <c r="R25" s="59">
        <f t="shared" si="0"/>
        <v>498.13503032859933</v>
      </c>
      <c r="S25" s="59">
        <f ca="1">AVERAGE(OFFSET($R$3,0,0,'Données projet'!$E$9+1,1))-AVERAGE(OFFSET($H$3,0,0,'Données projet'!$E$9+1,1))</f>
        <v>216.83230520434313</v>
      </c>
      <c r="T25" s="59">
        <f t="shared" si="34"/>
        <v>275.41891707278205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4.331578290669623</v>
      </c>
      <c r="AA25" s="21">
        <f>EXP(-LN(2)/25)*AA24+(1-EXP(-LN(2)/25))/(LN(2)/25)*Calculateur!V25*Calculateur!X25*VLOOKUP('Données projet'!$B$9,Paramètres!$A$1:$I$89,3,0)*0.475*44/12</f>
        <v>6.7227864587854294</v>
      </c>
      <c r="AB25" s="21">
        <f>EXP(-LN(2)/2)*AB24+(1-EXP(-LN(2)/2))/(LN(2)/2)*V25*Y25*VLOOKUP('Données projet'!$B$9,Paramètres!$A$1:$I$89,3,0)*0.475*44/12</f>
        <v>4.4693295509122271</v>
      </c>
      <c r="AC25" s="22">
        <f t="shared" si="3"/>
        <v>15.523694300367278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42.630873386608698</v>
      </c>
      <c r="AK25" s="13">
        <f t="shared" si="35"/>
        <v>12.693354075806836</v>
      </c>
      <c r="AL25" s="20">
        <f t="shared" si="4"/>
        <v>96.356362830373712</v>
      </c>
      <c r="AM25" s="59">
        <f t="shared" si="5"/>
        <v>379.91191838592925</v>
      </c>
      <c r="AN25" s="59">
        <f ca="1">AVERAGE(OFFSET($AM$3,0,0,'Données projet'!$E$10+1,1))-AVERAGE(OFFSET($H$3,0,0,'Données projet'!$E$10+1,1))</f>
        <v>292.42154837691379</v>
      </c>
      <c r="AO25" s="59">
        <f t="shared" si="36"/>
        <v>193.18009444354601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100.39999999999999</v>
      </c>
      <c r="BE25" s="13">
        <f>BD25*VLOOKUP('Données projet'!$B$11,Paramètres!$A$1:$I$89,3,0)*VLOOKUP('Données projet'!$B$11,Paramètres!$A$1:$I$89,5,0)</f>
        <v>95.540639999999996</v>
      </c>
      <c r="BF25" s="13">
        <f t="shared" si="37"/>
        <v>25.89681240703468</v>
      </c>
      <c r="BG25" s="20">
        <f t="shared" si="7"/>
        <v>211.50356294225205</v>
      </c>
      <c r="BH25" s="59">
        <f t="shared" si="8"/>
        <v>495.05911849780762</v>
      </c>
      <c r="BI25" s="59">
        <f ca="1">AVERAGE(OFFSET($BH$3,0,0,'Données projet'!$E$11+1,1))-AVERAGE(OFFSET($H$3,0,0,'Données projet'!$E$11+1,1))</f>
        <v>339.00921630742886</v>
      </c>
      <c r="BJ25" s="59">
        <f t="shared" si="38"/>
        <v>314.95763895978303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2.4333333333333331</v>
      </c>
      <c r="BY25" s="12">
        <f>IF('Données projet'!$A$114&gt;35,BY24+BX25-CG24,IF(A25&lt;'Données projet'!$A$114,$BV$205^A25,IF(A25='Données projet'!$A$114,'Données projet'!$B$114,BY24+BX25-CG24)))</f>
        <v>23.250739163553835</v>
      </c>
      <c r="BZ25" s="13">
        <f>BY25*VLOOKUP('Données projet'!$B$12,Paramètres!$A$1:$I$89,3,0)*VLOOKUP('Données projet'!$B$12,Paramètres!$A$1:$I$89,5,0)</f>
        <v>19.949134202329194</v>
      </c>
      <c r="CA25" s="13">
        <f t="shared" si="39"/>
        <v>6.4888084979803615</v>
      </c>
      <c r="CB25" s="20">
        <f t="shared" si="10"/>
        <v>46.046083536372471</v>
      </c>
      <c r="CC25" s="59">
        <f t="shared" si="11"/>
        <v>329.60163909192801</v>
      </c>
      <c r="CD25" s="59">
        <f ca="1">AVERAGE(OFFSET($CC$3,0,0,'Données projet'!$E$12+1,1))-AVERAGE(OFFSET($H$3,0,0,'Données projet'!$E$12+1,1))</f>
        <v>204.6927427024138</v>
      </c>
      <c r="CE25" s="59">
        <f t="shared" si="40"/>
        <v>115.74231133146816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>
        <f>VLOOKUP(A25,'Données projet'!$A$139:$I$159,2,0)</f>
        <v>382</v>
      </c>
      <c r="CR25" s="12">
        <f>VLOOKUP(A25,'Données projet'!$A$139:$I$159,9,0)</f>
        <v>19.5</v>
      </c>
      <c r="CS25" s="12">
        <f t="array" ref="CS25">INDEX(CR:CR,MIN(IF(ISNUMBER(CR25:CR221),ROW(CR25:CR221),"")))</f>
        <v>19.5</v>
      </c>
      <c r="CT25" s="12">
        <f>IF('Données projet'!$A$140&gt;35,CT24+CS25-DB24,IF(A25&lt;'Données projet'!$A$140,$CQ$205^A25,IF(A25='Données projet'!$A$140,'Données projet'!$B$140,CT24+CS25-DB24)))</f>
        <v>382</v>
      </c>
      <c r="CU25" s="17">
        <f>CT25*VLOOKUP('Données projet'!$B$13,Paramètres!$A$1:$I$89,3,0)*VLOOKUP('Données projet'!$B$13,Paramètres!$A$1:$I$89,5,0)</f>
        <v>194.26992000000001</v>
      </c>
      <c r="CV25" s="13">
        <f t="shared" si="41"/>
        <v>48.482747019457967</v>
      </c>
      <c r="CW25" s="20">
        <f t="shared" si="13"/>
        <v>422.79422839222258</v>
      </c>
      <c r="CX25" s="59">
        <f t="shared" si="14"/>
        <v>706.34978394777818</v>
      </c>
      <c r="CY25" s="59">
        <f ca="1">AVERAGE(OFFSET($CX$3,0,0,'Données projet'!$E$13+1,1))-AVERAGE(OFFSET($H$3,0,0,'Données projet'!$E$13+1,1))</f>
        <v>204.15575418077316</v>
      </c>
      <c r="CZ25" s="59">
        <f t="shared" si="42"/>
        <v>473.73726605265045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179</v>
      </c>
      <c r="L26" s="12">
        <f>VLOOKUP(A26,'Données projet'!$A$35:$I$55,9,0)</f>
        <v>16.849999999999994</v>
      </c>
      <c r="M26" s="12">
        <f t="array" ref="M26">INDEX(L:L,MIN(IF(ISNUMBER(L26:L222),ROW(L26:L222),"")))</f>
        <v>16.849999999999994</v>
      </c>
      <c r="N26" s="13">
        <f>IF('Données projet'!$A$36&gt;35,N25+M26-V25,IF(A26&lt;'Données projet'!$A$36,$K$205^A26,IF(A26='Données projet'!$A$36,'Données projet'!$B$36,N25+M26-V25)))</f>
        <v>179</v>
      </c>
      <c r="O26" s="13">
        <f>N26*VLOOKUP('Données projet'!$B$9,Paramètres!$A$1:$I$89,3,0)*VLOOKUP('Données projet'!$B$9,Paramètres!$A$1:$I$89,5,0)</f>
        <v>107.042</v>
      </c>
      <c r="P26" s="13">
        <f t="shared" si="33"/>
        <v>28.632954900548082</v>
      </c>
      <c r="Q26" s="20">
        <f t="shared" si="2"/>
        <v>236.30054645178791</v>
      </c>
      <c r="R26" s="59">
        <f t="shared" si="0"/>
        <v>521.07832422956562</v>
      </c>
      <c r="S26" s="59">
        <f ca="1">AVERAGE(OFFSET($R$3,0,0,'Données projet'!$E$9+1,1))-AVERAGE(OFFSET($H$3,0,0,'Données projet'!$E$9+1,1))</f>
        <v>216.83230520434313</v>
      </c>
      <c r="T26" s="59">
        <f t="shared" si="34"/>
        <v>275.41891707278205</v>
      </c>
      <c r="U26" s="15">
        <f>IF(ISNA(VLOOKUP(A26,'Données projet'!$A$35:$I$55,3,0)),0,VLOOKUP(A26,'Données projet'!$A$35:$I$55,3,0))</f>
        <v>6</v>
      </c>
      <c r="V26" s="15">
        <f>IF(ISNA(VLOOKUP(A26,'Données projet'!$A$35:$I$55,4,0)),0,VLOOKUP(A26,'Données projet'!$A$35:$I$55,4,0))</f>
        <v>13.3</v>
      </c>
      <c r="W26" s="16">
        <f>IF(ISNA(VLOOKUP(A26,'Données projet'!$A$35:$I$55,5,0)),0%,VLOOKUP(A26,'Données projet'!$A$35:$I$55,5,0)*VLOOKUP('Données projet'!$B$9,Paramètres!$A$1:$I$89,7,0))</f>
        <v>0.27</v>
      </c>
      <c r="X26" s="16">
        <f>IF(ISNA(VLOOKUP(A26,'Données projet'!$A$35:$I$55,6,0)),0%,VLOOKUP(A26,'Données projet'!$A$35:$I$55,6,0)*VLOOKUP('Données projet'!$B$9,Paramètres!$A$1:$I$89,7,0))</f>
        <v>6.7500000000000004E-2</v>
      </c>
      <c r="Y26" s="16">
        <f>IF(ISNA(VLOOKUP(A26,'Données projet'!$A$35:$I$55,7,0)),0%,VLOOKUP(A26,'Données projet'!$A$35:$I$55,7,0))</f>
        <v>0.25</v>
      </c>
      <c r="Z26" s="21">
        <f>EXP(-LN(2)/35)*Z25+(1-EXP(-LN(2)/35))/(LN(2)/35)*V26*W26*VLOOKUP('Données projet'!$B$9,Paramètres!$A$1:$I$89,3,0)*0.475*44/12</f>
        <v>7.0953270721625401</v>
      </c>
      <c r="AA26" s="21">
        <f>EXP(-LN(2)/25)*AA25+(1-EXP(-LN(2)/25))/(LN(2)/25)*Calculateur!V26*Calculateur!X26*VLOOKUP('Données projet'!$B$9,Paramètres!$A$1:$I$89,3,0)*0.475*44/12</f>
        <v>7.2483195140702579</v>
      </c>
      <c r="AB26" s="21">
        <f>EXP(-LN(2)/2)*AB25+(1-EXP(-LN(2)/2))/(LN(2)/2)*V26*Y26*VLOOKUP('Données projet'!$B$9,Paramètres!$A$1:$I$89,3,0)*0.475*44/12</f>
        <v>5.4115673215942115</v>
      </c>
      <c r="AC26" s="22">
        <f t="shared" si="3"/>
        <v>19.755213907827009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50.527539680959798</v>
      </c>
      <c r="AK26" s="13">
        <f t="shared" si="35"/>
        <v>14.749915754528818</v>
      </c>
      <c r="AL26" s="20">
        <f t="shared" si="4"/>
        <v>113.69156821680933</v>
      </c>
      <c r="AM26" s="59">
        <f t="shared" si="5"/>
        <v>398.46934599458712</v>
      </c>
      <c r="AN26" s="59">
        <f ca="1">AVERAGE(OFFSET($AM$3,0,0,'Données projet'!$E$10+1,1))-AVERAGE(OFFSET($H$3,0,0,'Données projet'!$E$10+1,1))</f>
        <v>292.42154837691379</v>
      </c>
      <c r="AO26" s="59">
        <f t="shared" si="36"/>
        <v>193.18009444354601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110.6</v>
      </c>
      <c r="BE26" s="13">
        <f>BD26*VLOOKUP('Données projet'!$B$11,Paramètres!$A$1:$I$89,3,0)*VLOOKUP('Données projet'!$B$11,Paramètres!$A$1:$I$89,5,0)</f>
        <v>105.24695999999999</v>
      </c>
      <c r="BF26" s="13">
        <f t="shared" si="37"/>
        <v>28.208268732518917</v>
      </c>
      <c r="BG26" s="20">
        <f t="shared" si="7"/>
        <v>232.43452337580371</v>
      </c>
      <c r="BH26" s="59">
        <f t="shared" si="8"/>
        <v>517.21230115358151</v>
      </c>
      <c r="BI26" s="59">
        <f ca="1">AVERAGE(OFFSET($BH$3,0,0,'Données projet'!$E$11+1,1))-AVERAGE(OFFSET($H$3,0,0,'Données projet'!$E$11+1,1))</f>
        <v>339.00921630742886</v>
      </c>
      <c r="BJ26" s="59">
        <f t="shared" si="38"/>
        <v>314.95763895978303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2.4333333333333331</v>
      </c>
      <c r="BY26" s="12">
        <f>IF('Données projet'!$A$114&gt;35,BY25+BX26-CG25,IF(A26&lt;'Données projet'!$A$114,$BV$205^A26,IF(A26='Données projet'!$A$114,'Données projet'!$B$114,BY25+BX26-CG25)))</f>
        <v>26.825481504943589</v>
      </c>
      <c r="BZ26" s="13">
        <f>BY26*VLOOKUP('Données projet'!$B$12,Paramètres!$A$1:$I$89,3,0)*VLOOKUP('Données projet'!$B$12,Paramètres!$A$1:$I$89,5,0)</f>
        <v>23.016263131241605</v>
      </c>
      <c r="CA26" s="13">
        <f t="shared" si="39"/>
        <v>7.3628512475355841</v>
      </c>
      <c r="CB26" s="20">
        <f t="shared" si="10"/>
        <v>52.910290876370262</v>
      </c>
      <c r="CC26" s="59">
        <f t="shared" si="11"/>
        <v>337.68806865414803</v>
      </c>
      <c r="CD26" s="59">
        <f ca="1">AVERAGE(OFFSET($CC$3,0,0,'Données projet'!$E$12+1,1))-AVERAGE(OFFSET($H$3,0,0,'Données projet'!$E$12+1,1))</f>
        <v>204.6927427024138</v>
      </c>
      <c r="CE26" s="59">
        <f t="shared" si="40"/>
        <v>115.74231133146816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19.5</v>
      </c>
      <c r="CT26" s="12">
        <f>IF('Données projet'!$A$140&gt;35,CT25+CS26-DB25,IF(A26&lt;'Données projet'!$A$140,$CQ$205^A26,IF(A26='Données projet'!$A$140,'Données projet'!$B$140,CT25+CS26-DB25)))</f>
        <v>401.5</v>
      </c>
      <c r="CU26" s="17">
        <f>CT26*VLOOKUP('Données projet'!$B$13,Paramètres!$A$1:$I$89,3,0)*VLOOKUP('Données projet'!$B$13,Paramètres!$A$1:$I$89,5,0)</f>
        <v>204.18684000000002</v>
      </c>
      <c r="CV26" s="13">
        <f t="shared" si="41"/>
        <v>50.663196000115327</v>
      </c>
      <c r="CW26" s="20">
        <f t="shared" si="13"/>
        <v>443.86381270020087</v>
      </c>
      <c r="CX26" s="59">
        <f t="shared" si="14"/>
        <v>728.64159047797864</v>
      </c>
      <c r="CY26" s="59">
        <f ca="1">AVERAGE(OFFSET($CX$3,0,0,'Données projet'!$E$13+1,1))-AVERAGE(OFFSET($H$3,0,0,'Données projet'!$E$13+1,1))</f>
        <v>204.15575418077316</v>
      </c>
      <c r="CZ26" s="59">
        <f t="shared" si="42"/>
        <v>473.73726605265045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15.650000000000006</v>
      </c>
      <c r="N27" s="13">
        <f>IF('Données projet'!$A$36&gt;35,N26+M27-V26,IF(A27&lt;'Données projet'!$A$36,$K$205^A27,IF(A27='Données projet'!$A$36,'Données projet'!$B$36,N26+M27-V26)))</f>
        <v>181.35</v>
      </c>
      <c r="O27" s="13">
        <f>N27*VLOOKUP('Données projet'!$B$9,Paramètres!$A$1:$I$89,3,0)*VLOOKUP('Données projet'!$B$9,Paramètres!$A$1:$I$89,5,0)</f>
        <v>108.44730000000001</v>
      </c>
      <c r="P27" s="13">
        <f t="shared" si="33"/>
        <v>28.964854216383241</v>
      </c>
      <c r="Q27" s="20">
        <f t="shared" si="2"/>
        <v>239.32616859353413</v>
      </c>
      <c r="R27" s="59">
        <f t="shared" si="0"/>
        <v>525.32616859353413</v>
      </c>
      <c r="S27" s="59">
        <f ca="1">AVERAGE(OFFSET($R$3,0,0,'Données projet'!$E$9+1,1))-AVERAGE(OFFSET($H$3,0,0,'Données projet'!$E$9+1,1))</f>
        <v>216.83230520434313</v>
      </c>
      <c r="T27" s="59">
        <f t="shared" si="34"/>
        <v>275.41891707278205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6.9561920359996199</v>
      </c>
      <c r="AA27" s="21">
        <f>EXP(-LN(2)/25)*AA26+(1-EXP(-LN(2)/25))/(LN(2)/25)*Calculateur!V27*Calculateur!X27*VLOOKUP('Données projet'!$B$9,Paramètres!$A$1:$I$89,3,0)*0.475*44/12</f>
        <v>7.0501138357854494</v>
      </c>
      <c r="AB27" s="21">
        <f>EXP(-LN(2)/2)*AB26+(1-EXP(-LN(2)/2))/(LN(2)/2)*V27*Y27*VLOOKUP('Données projet'!$B$9,Paramètres!$A$1:$I$89,3,0)*0.475*44/12</f>
        <v>3.8265559499467896</v>
      </c>
      <c r="AC27" s="22">
        <f t="shared" si="3"/>
        <v>17.832861821731861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59.886933187086214</v>
      </c>
      <c r="AK27" s="13">
        <f t="shared" si="35"/>
        <v>17.139679037265701</v>
      </c>
      <c r="AL27" s="20">
        <f t="shared" si="4"/>
        <v>134.15468295741289</v>
      </c>
      <c r="AM27" s="59">
        <f t="shared" si="5"/>
        <v>420.15468295741289</v>
      </c>
      <c r="AN27" s="59">
        <f ca="1">AVERAGE(OFFSET($AM$3,0,0,'Données projet'!$E$10+1,1))-AVERAGE(OFFSET($H$3,0,0,'Données projet'!$E$10+1,1))</f>
        <v>292.42154837691379</v>
      </c>
      <c r="AO27" s="59">
        <f t="shared" si="36"/>
        <v>193.18009444354601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120.8</v>
      </c>
      <c r="BE27" s="13">
        <f>BD27*VLOOKUP('Données projet'!$B$11,Paramètres!$A$1:$I$89,3,0)*VLOOKUP('Données projet'!$B$11,Paramètres!$A$1:$I$89,5,0)</f>
        <v>114.95328000000001</v>
      </c>
      <c r="BF27" s="13">
        <f t="shared" si="37"/>
        <v>30.495007557609888</v>
      </c>
      <c r="BG27" s="20">
        <f t="shared" si="7"/>
        <v>253.32243416283723</v>
      </c>
      <c r="BH27" s="59">
        <f t="shared" si="8"/>
        <v>539.32243416283723</v>
      </c>
      <c r="BI27" s="59">
        <f ca="1">AVERAGE(OFFSET($BH$3,0,0,'Données projet'!$E$11+1,1))-AVERAGE(OFFSET($H$3,0,0,'Données projet'!$E$11+1,1))</f>
        <v>339.00921630742886</v>
      </c>
      <c r="BJ27" s="59">
        <f t="shared" si="38"/>
        <v>314.95763895978303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2.4333333333333331</v>
      </c>
      <c r="BY27" s="12">
        <f>IF('Données projet'!$A$114&gt;35,BY26+BX27-CG26,IF(A27&lt;'Données projet'!$A$114,$BV$205^A27,IF(A27='Données projet'!$A$114,'Données projet'!$B$114,BY26+BX27-CG26)))</f>
        <v>30.949831440200978</v>
      </c>
      <c r="BZ27" s="13">
        <f>BY27*VLOOKUP('Données projet'!$B$12,Paramètres!$A$1:$I$89,3,0)*VLOOKUP('Données projet'!$B$12,Paramètres!$A$1:$I$89,5,0)</f>
        <v>26.554955375692444</v>
      </c>
      <c r="CA27" s="13">
        <f t="shared" si="39"/>
        <v>8.3546275884408701</v>
      </c>
      <c r="CB27" s="20">
        <f t="shared" si="10"/>
        <v>60.800856995865509</v>
      </c>
      <c r="CC27" s="59">
        <f t="shared" si="11"/>
        <v>346.8008569958655</v>
      </c>
      <c r="CD27" s="59">
        <f ca="1">AVERAGE(OFFSET($CC$3,0,0,'Données projet'!$E$12+1,1))-AVERAGE(OFFSET($H$3,0,0,'Données projet'!$E$12+1,1))</f>
        <v>204.6927427024138</v>
      </c>
      <c r="CE27" s="59">
        <f t="shared" si="40"/>
        <v>115.74231133146816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421</v>
      </c>
      <c r="CR27" s="12">
        <f>VLOOKUP(A27,'Données projet'!$A$139:$I$159,9,0)</f>
        <v>19.5</v>
      </c>
      <c r="CS27" s="12">
        <f t="array" ref="CS27">INDEX(CR:CR,MIN(IF(ISNUMBER(CR27:CR223),ROW(CR27:CR223),"")))</f>
        <v>19.5</v>
      </c>
      <c r="CT27" s="12">
        <f>IF('Données projet'!$A$140&gt;35,CT26+CS27-DB26,IF(A27&lt;'Données projet'!$A$140,$CQ$205^A27,IF(A27='Données projet'!$A$140,'Données projet'!$B$140,CT26+CS27-DB26)))</f>
        <v>421</v>
      </c>
      <c r="CU27" s="17">
        <f>CT27*VLOOKUP('Données projet'!$B$13,Paramètres!$A$1:$I$89,3,0)*VLOOKUP('Données projet'!$B$13,Paramètres!$A$1:$I$89,5,0)</f>
        <v>214.10376000000002</v>
      </c>
      <c r="CV27" s="13">
        <f t="shared" si="41"/>
        <v>52.831347921770387</v>
      </c>
      <c r="CW27" s="20">
        <f t="shared" si="13"/>
        <v>464.91197963041674</v>
      </c>
      <c r="CX27" s="59">
        <f t="shared" si="14"/>
        <v>750.91197963041668</v>
      </c>
      <c r="CY27" s="59">
        <f ca="1">AVERAGE(OFFSET($CX$3,0,0,'Données projet'!$E$13+1,1))-AVERAGE(OFFSET($H$3,0,0,'Données projet'!$E$13+1,1))</f>
        <v>204.15575418077316</v>
      </c>
      <c r="CZ27" s="59">
        <f t="shared" si="42"/>
        <v>473.73726605265045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197</v>
      </c>
      <c r="L28" s="12">
        <f>VLOOKUP(A28,'Données projet'!$A$35:$I$55,9,0)</f>
        <v>15.650000000000006</v>
      </c>
      <c r="M28" s="12">
        <f t="array" ref="M28">INDEX(L:L,MIN(IF(ISNUMBER(L28:L224),ROW(L28:L224),"")))</f>
        <v>15.650000000000006</v>
      </c>
      <c r="N28" s="13">
        <f>IF('Données projet'!$A$36&gt;35,N27+M28-V27,IF(A28&lt;'Données projet'!$A$36,$K$205^A28,IF(A28='Données projet'!$A$36,'Données projet'!$B$36,N27+M28-V27)))</f>
        <v>197</v>
      </c>
      <c r="O28" s="13">
        <f>N28*VLOOKUP('Données projet'!$B$9,Paramètres!$A$1:$I$89,3,0)*VLOOKUP('Données projet'!$B$9,Paramètres!$A$1:$I$89,5,0)</f>
        <v>117.80600000000001</v>
      </c>
      <c r="P28" s="13">
        <f t="shared" si="33"/>
        <v>31.162736572430632</v>
      </c>
      <c r="Q28" s="20">
        <f t="shared" si="2"/>
        <v>259.45388286365005</v>
      </c>
      <c r="R28" s="59">
        <f t="shared" si="0"/>
        <v>546.67610508587222</v>
      </c>
      <c r="S28" s="59">
        <f ca="1">AVERAGE(OFFSET($R$3,0,0,'Données projet'!$E$9+1,1))-AVERAGE(OFFSET($H$3,0,0,'Données projet'!$E$9+1,1))</f>
        <v>216.83230520434313</v>
      </c>
      <c r="T28" s="59">
        <f t="shared" si="34"/>
        <v>275.41891707278205</v>
      </c>
      <c r="U28" s="15">
        <f>IF(ISNA(VLOOKUP(A28,'Données projet'!$A$35:$I$55,3,0)),0,VLOOKUP(A28,'Données projet'!$A$35:$I$55,3,0))</f>
        <v>7</v>
      </c>
      <c r="V28" s="15">
        <f>IF(ISNA(VLOOKUP(A28,'Données projet'!$A$35:$I$55,4,0)),0,VLOOKUP(A28,'Données projet'!$A$35:$I$55,4,0))</f>
        <v>14.6</v>
      </c>
      <c r="W28" s="16">
        <f>IF(ISNA(VLOOKUP(A28,'Données projet'!$A$35:$I$55,5,0)),0%,VLOOKUP(A28,'Données projet'!$A$35:$I$55,5,0)*VLOOKUP('Données projet'!$B$9,Paramètres!$A$1:$I$89,7,0))</f>
        <v>0.27</v>
      </c>
      <c r="X28" s="16">
        <f>IF(ISNA(VLOOKUP(A28,'Données projet'!$A$35:$I$55,6,0)),0%,VLOOKUP(A28,'Données projet'!$A$35:$I$55,6,0)*VLOOKUP('Données projet'!$B$9,Paramètres!$A$1:$I$89,7,0))</f>
        <v>6.7500000000000004E-2</v>
      </c>
      <c r="Y28" s="16">
        <f>IF(ISNA(VLOOKUP(A28,'Données projet'!$A$35:$I$55,7,0)),0%,VLOOKUP(A28,'Données projet'!$A$35:$I$55,7,0))</f>
        <v>0.25</v>
      </c>
      <c r="Z28" s="21">
        <f>EXP(-LN(2)/35)*Z27+(1-EXP(-LN(2)/35))/(LN(2)/35)*V28*W28*VLOOKUP('Données projet'!$B$9,Paramètres!$A$1:$I$89,3,0)*0.475*44/12</f>
        <v>9.9469169688707773</v>
      </c>
      <c r="AA28" s="21">
        <f>EXP(-LN(2)/25)*AA27+(1-EXP(-LN(2)/25))/(LN(2)/25)*Calculateur!V28*Calculateur!X28*VLOOKUP('Données projet'!$B$9,Paramètres!$A$1:$I$89,3,0)*0.475*44/12</f>
        <v>7.6360328289807224</v>
      </c>
      <c r="AB28" s="21">
        <f>EXP(-LN(2)/2)*AB27+(1-EXP(-LN(2)/2))/(LN(2)/2)*V28*Y28*VLOOKUP('Données projet'!$B$9,Paramètres!$A$1:$I$89,3,0)*0.475*44/12</f>
        <v>5.1771070966081236</v>
      </c>
      <c r="AC28" s="22">
        <f t="shared" si="3"/>
        <v>22.760056894459623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445.53385078478129</v>
      </c>
      <c r="AN28" s="59">
        <f ca="1">AVERAGE(OFFSET($AM$3,0,0,'Données projet'!$E$10+1,1))-AVERAGE(OFFSET($H$3,0,0,'Données projet'!$E$10+1,1))</f>
        <v>292.42154837691379</v>
      </c>
      <c r="AO28" s="59">
        <f t="shared" si="36"/>
        <v>193.18009444354601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131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131</v>
      </c>
      <c r="BE28" s="13">
        <f>BD28*VLOOKUP('Données projet'!$B$11,Paramètres!$A$1:$I$89,3,0)*VLOOKUP('Données projet'!$B$11,Paramètres!$A$1:$I$89,5,0)</f>
        <v>124.6596</v>
      </c>
      <c r="BF28" s="13">
        <f t="shared" si="37"/>
        <v>32.759353242305195</v>
      </c>
      <c r="BG28" s="20">
        <f t="shared" si="7"/>
        <v>274.17134356368149</v>
      </c>
      <c r="BH28" s="59">
        <f t="shared" si="8"/>
        <v>561.39356578590377</v>
      </c>
      <c r="BI28" s="59">
        <f ca="1">AVERAGE(OFFSET($BH$3,0,0,'Données projet'!$E$11+1,1))-AVERAGE(OFFSET($H$3,0,0,'Données projet'!$E$11+1,1))</f>
        <v>339.00921630742886</v>
      </c>
      <c r="BJ28" s="59">
        <f t="shared" si="38"/>
        <v>314.95763895978303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19</v>
      </c>
      <c r="BM28" s="16">
        <f>IF(ISNA(VLOOKUP(A28,'Données projet'!$A$87:$I$107,5,0)),0%,VLOOKUP(A28,'Données projet'!$A$87:$I$107,5,0)*VLOOKUP('Données projet'!$B$11,Paramètres!$A$1:$I$89,7,0))</f>
        <v>0.129</v>
      </c>
      <c r="BN28" s="16">
        <f>IF(ISNA(VLOOKUP(A28,'Données projet'!$A$87:$I$107,6,0)),0%,VLOOKUP(A28,'Données projet'!$A$87:$I$107,6,0)*VLOOKUP('Données projet'!$B$11,Paramètres!$A$1:$I$89,7,0))</f>
        <v>3.44E-2</v>
      </c>
      <c r="BO28" s="16">
        <f>IF(ISNA(VLOOKUP(A28,'Données projet'!$A$87:$I$107,7,0)),0%,VLOOKUP(A28,'Données projet'!$A$87:$I$107,7,0))</f>
        <v>0.12</v>
      </c>
      <c r="BP28" s="21">
        <f>EXP(-LN(2)/35)*BP27+(1-EXP(-LN(2)/35))/(LN(2)/35)*BL28*BM28*VLOOKUP('Données projet'!$B$11,Paramètres!$A$1:$I$89,3,0)*0.475*44/12</f>
        <v>2.5783677178638742</v>
      </c>
      <c r="BQ28" s="21">
        <f>EXP(-LN(2)/25)*BQ27+(1-EXP(-LN(2)/25))/(LN(2)/25)*Calculateur!BL28*Calculateur!BN28*VLOOKUP('Données projet'!$B$11,Paramètres!$A$1:$I$89,3,0)*0.475*44/12</f>
        <v>0.6848575204596058</v>
      </c>
      <c r="BR28" s="21">
        <f>EXP(-LN(2)/2)*BR27+(1-EXP(-LN(2)/2))/(LN(2)/2)*BL28*BO28*VLOOKUP('Données projet'!$B$11,Paramètres!$A$1:$I$89,3,0)*0.475*44/12</f>
        <v>2.0471212832197514</v>
      </c>
      <c r="BS28" s="22">
        <f t="shared" si="9"/>
        <v>5.3103465215432308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2.4333333333333331</v>
      </c>
      <c r="BY28" s="12">
        <f>IF('Données projet'!$A$114&gt;35,BY27+BX28-CG27,IF(A28&lt;'Données projet'!$A$114,$BV$205^A28,IF(A28='Données projet'!$A$114,'Données projet'!$B$114,BY27+BX28-CG27)))</f>
        <v>35.70828974683365</v>
      </c>
      <c r="BZ28" s="13">
        <f>BY28*VLOOKUP('Données projet'!$B$12,Paramètres!$A$1:$I$89,3,0)*VLOOKUP('Données projet'!$B$12,Paramètres!$A$1:$I$89,5,0)</f>
        <v>30.637712602783274</v>
      </c>
      <c r="CA28" s="13">
        <f t="shared" si="39"/>
        <v>9.4799962398941524</v>
      </c>
      <c r="CB28" s="20">
        <f t="shared" si="10"/>
        <v>69.871676234329854</v>
      </c>
      <c r="CC28" s="59">
        <f t="shared" si="11"/>
        <v>357.0938984565521</v>
      </c>
      <c r="CD28" s="59">
        <f ca="1">AVERAGE(OFFSET($CC$3,0,0,'Données projet'!$E$12+1,1))-AVERAGE(OFFSET($H$3,0,0,'Données projet'!$E$12+1,1))</f>
        <v>204.6927427024138</v>
      </c>
      <c r="CE28" s="59">
        <f t="shared" si="40"/>
        <v>115.74231133146816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14</v>
      </c>
      <c r="CT28" s="12">
        <f>IF('Données projet'!$A$140&gt;35,CT27+CS28-DB27,IF(A28&lt;'Données projet'!$A$140,$CQ$205^A28,IF(A28='Données projet'!$A$140,'Données projet'!$B$140,CT27+CS28-DB27)))</f>
        <v>435</v>
      </c>
      <c r="CU28" s="17">
        <f>CT28*VLOOKUP('Données projet'!$B$13,Paramètres!$A$1:$I$89,3,0)*VLOOKUP('Données projet'!$B$13,Paramètres!$A$1:$I$89,5,0)</f>
        <v>221.2236</v>
      </c>
      <c r="CV28" s="13">
        <f t="shared" si="41"/>
        <v>54.380743227374474</v>
      </c>
      <c r="CW28" s="20">
        <f t="shared" si="13"/>
        <v>480.01089778767727</v>
      </c>
      <c r="CX28" s="59">
        <f t="shared" si="14"/>
        <v>767.23312000989949</v>
      </c>
      <c r="CY28" s="59">
        <f ca="1">AVERAGE(OFFSET($CX$3,0,0,'Données projet'!$E$13+1,1))-AVERAGE(OFFSET($H$3,0,0,'Données projet'!$E$13+1,1))</f>
        <v>204.15575418077316</v>
      </c>
      <c r="CZ28" s="59">
        <f t="shared" si="42"/>
        <v>473.73726605265045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15.299999999999997</v>
      </c>
      <c r="N29" s="13">
        <f>IF('Données projet'!$A$36&gt;35,N28+M29-V28,IF(A29&lt;'Données projet'!$A$36,$K$205^A29,IF(A29='Données projet'!$A$36,'Données projet'!$B$36,N28+M29-V28)))</f>
        <v>197.70000000000002</v>
      </c>
      <c r="O29" s="13">
        <f>N29*VLOOKUP('Données projet'!$B$9,Paramètres!$A$1:$I$89,3,0)*VLOOKUP('Données projet'!$B$9,Paramètres!$A$1:$I$89,5,0)</f>
        <v>118.22460000000001</v>
      </c>
      <c r="P29" s="13">
        <f t="shared" si="33"/>
        <v>31.260557866963076</v>
      </c>
      <c r="Q29" s="20">
        <f t="shared" si="2"/>
        <v>260.35331661829406</v>
      </c>
      <c r="R29" s="59">
        <f t="shared" si="0"/>
        <v>548.79776106273857</v>
      </c>
      <c r="S29" s="59">
        <f ca="1">AVERAGE(OFFSET($R$3,0,0,'Données projet'!$E$9+1,1))-AVERAGE(OFFSET($H$3,0,0,'Données projet'!$E$9+1,1))</f>
        <v>216.83230520434313</v>
      </c>
      <c r="T29" s="59">
        <f t="shared" si="34"/>
        <v>275.41891707278205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9.7518639941315044</v>
      </c>
      <c r="AA29" s="21">
        <f>EXP(-LN(2)/25)*AA28+(1-EXP(-LN(2)/25))/(LN(2)/25)*Calculateur!V29*Calculateur!X29*VLOOKUP('Données projet'!$B$9,Paramètres!$A$1:$I$89,3,0)*0.475*44/12</f>
        <v>7.4272251097107302</v>
      </c>
      <c r="AB29" s="21">
        <f>EXP(-LN(2)/2)*AB28+(1-EXP(-LN(2)/2))/(LN(2)/2)*V29*Y29*VLOOKUP('Données projet'!$B$9,Paramètres!$A$1:$I$89,3,0)*0.475*44/12</f>
        <v>3.6607675349406033</v>
      </c>
      <c r="AC29" s="22">
        <f t="shared" si="3"/>
        <v>20.839856638782837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69.966000000000008</v>
      </c>
      <c r="AK29" s="13">
        <f t="shared" si="35"/>
        <v>19.665013934342461</v>
      </c>
      <c r="AL29" s="20">
        <f t="shared" si="4"/>
        <v>156.10734926897979</v>
      </c>
      <c r="AM29" s="59">
        <f t="shared" si="5"/>
        <v>444.55179371342422</v>
      </c>
      <c r="AN29" s="59">
        <f ca="1">AVERAGE(OFFSET($AM$3,0,0,'Données projet'!$E$10+1,1))-AVERAGE(OFFSET($H$3,0,0,'Données projet'!$E$10+1,1))</f>
        <v>292.42154837691379</v>
      </c>
      <c r="AO29" s="59">
        <f t="shared" si="36"/>
        <v>193.18009444354601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10.199999999999999</v>
      </c>
      <c r="BD29" s="12">
        <f>IF('Données projet'!$A$88&gt;35,BD28+BC29-BL28,IF(A29&lt;'Données projet'!$A$88,$BA$205^A29,IF(A29='Données projet'!$A$88,'Données projet'!$B$88,BD28+BC29-BL28)))</f>
        <v>122.19999999999999</v>
      </c>
      <c r="BE29" s="13">
        <f>BD29*VLOOKUP('Données projet'!$B$11,Paramètres!$A$1:$I$89,3,0)*VLOOKUP('Données projet'!$B$11,Paramètres!$A$1:$I$89,5,0)</f>
        <v>116.28551999999999</v>
      </c>
      <c r="BF29" s="13">
        <f t="shared" si="37"/>
        <v>30.807078820551457</v>
      </c>
      <c r="BG29" s="20">
        <f t="shared" si="7"/>
        <v>256.18627627912707</v>
      </c>
      <c r="BH29" s="59">
        <f t="shared" si="8"/>
        <v>544.63072072357159</v>
      </c>
      <c r="BI29" s="59">
        <f ca="1">AVERAGE(OFFSET($BH$3,0,0,'Données projet'!$E$11+1,1))-AVERAGE(OFFSET($H$3,0,0,'Données projet'!$E$11+1,1))</f>
        <v>339.00921630742886</v>
      </c>
      <c r="BJ29" s="59">
        <f t="shared" si="38"/>
        <v>314.95763895978303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2.5278074995655855</v>
      </c>
      <c r="BQ29" s="21">
        <f>EXP(-LN(2)/25)*BQ28+(1-EXP(-LN(2)/25))/(LN(2)/25)*Calculateur!BL29*Calculateur!BN29*VLOOKUP('Données projet'!$B$11,Paramètres!$A$1:$I$89,3,0)*0.475*44/12</f>
        <v>0.66613005554754612</v>
      </c>
      <c r="BR29" s="21">
        <f>EXP(-LN(2)/2)*BR28+(1-EXP(-LN(2)/2))/(LN(2)/2)*BL29*BO29*VLOOKUP('Données projet'!$B$11,Paramètres!$A$1:$I$89,3,0)*0.475*44/12</f>
        <v>1.4475333412759932</v>
      </c>
      <c r="BS29" s="22">
        <f t="shared" si="9"/>
        <v>4.6414708963891247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2.4333333333333331</v>
      </c>
      <c r="BY29" s="12">
        <f>IF('Données projet'!$A$114&gt;35,BY28+BX29-CG28,IF(A29&lt;'Données projet'!$A$114,$BV$205^A29,IF(A29='Données projet'!$A$114,'Données projet'!$B$114,BY28+BX29-CG28)))</f>
        <v>41.198348983174462</v>
      </c>
      <c r="BZ29" s="13">
        <f>BY29*VLOOKUP('Données projet'!$B$12,Paramètres!$A$1:$I$89,3,0)*VLOOKUP('Données projet'!$B$12,Paramètres!$A$1:$I$89,5,0)</f>
        <v>35.34818342756369</v>
      </c>
      <c r="CA29" s="13">
        <f t="shared" si="39"/>
        <v>10.756952091167804</v>
      </c>
      <c r="CB29" s="20">
        <f t="shared" si="10"/>
        <v>80.299777695124007</v>
      </c>
      <c r="CC29" s="59">
        <f t="shared" si="11"/>
        <v>368.74422213956848</v>
      </c>
      <c r="CD29" s="59">
        <f ca="1">AVERAGE(OFFSET($CC$3,0,0,'Données projet'!$E$12+1,1))-AVERAGE(OFFSET($H$3,0,0,'Données projet'!$E$12+1,1))</f>
        <v>204.6927427024138</v>
      </c>
      <c r="CE29" s="59">
        <f t="shared" si="40"/>
        <v>115.74231133146816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>
        <f>VLOOKUP(A29,'Données projet'!$A$139:$I$159,2,0)</f>
        <v>449</v>
      </c>
      <c r="CR29" s="12">
        <f>VLOOKUP(A29,'Données projet'!$A$139:$I$159,9,0)</f>
        <v>14</v>
      </c>
      <c r="CS29" s="12">
        <f t="array" ref="CS29">INDEX(CR:CR,MIN(IF(ISNUMBER(CR29:CR225),ROW(CR29:CR225),"")))</f>
        <v>14</v>
      </c>
      <c r="CT29" s="12">
        <f>IF('Données projet'!$A$140&gt;35,CT28+CS29-DB28,IF(A29&lt;'Données projet'!$A$140,$CQ$205^A29,IF(A29='Données projet'!$A$140,'Données projet'!$B$140,CT28+CS29-DB28)))</f>
        <v>449</v>
      </c>
      <c r="CU29" s="17">
        <f>CT29*VLOOKUP('Données projet'!$B$13,Paramètres!$A$1:$I$89,3,0)*VLOOKUP('Données projet'!$B$13,Paramètres!$A$1:$I$89,5,0)</f>
        <v>228.34343999999999</v>
      </c>
      <c r="CV29" s="13">
        <f t="shared" si="41"/>
        <v>55.924343979353274</v>
      </c>
      <c r="CW29" s="20">
        <f t="shared" si="13"/>
        <v>495.09972376404033</v>
      </c>
      <c r="CX29" s="59">
        <f t="shared" si="14"/>
        <v>783.54416820848473</v>
      </c>
      <c r="CY29" s="59">
        <f ca="1">AVERAGE(OFFSET($CX$3,0,0,'Données projet'!$E$13+1,1))-AVERAGE(OFFSET($H$3,0,0,'Données projet'!$E$13+1,1))</f>
        <v>204.15575418077316</v>
      </c>
      <c r="CZ29" s="59">
        <f t="shared" si="42"/>
        <v>473.73726605265045</v>
      </c>
      <c r="DA29" s="15">
        <f>IF(ISNA(VLOOKUP(A29,'Données projet'!$A$139:$I$159,3,0)),0,VLOOKUP(A29,'Données projet'!$A$139:$I$159,3,0))</f>
        <v>1</v>
      </c>
      <c r="DB29" s="15">
        <f>IF(ISNA(VLOOKUP(A29,'Données projet'!$A$139:$I$159,4,0)),0,VLOOKUP(A29,'Données projet'!$A$139:$I$159,4,0))</f>
        <v>449</v>
      </c>
      <c r="DC29" s="16">
        <f>IF(ISNA(VLOOKUP(A29,'Données projet'!$A$139:$I$159,5,0)),0%,VLOOKUP(A29,'Données projet'!$A$139:$I$159,5,0)*VLOOKUP('Données projet'!$B$13,Paramètres!$A$1:$I$89,7,0))</f>
        <v>0.33600000000000002</v>
      </c>
      <c r="DD29" s="16">
        <f>IF(ISNA(VLOOKUP(A29,'Données projet'!$A$139:$I$159,6,0)),0%,VLOOKUP(A29,'Données projet'!$A$139:$I$159,6,0)*VLOOKUP('Données projet'!$B$13,Paramètres!$A$1:$I$89,7,0))</f>
        <v>0.20400000000000001</v>
      </c>
      <c r="DE29" s="16">
        <f>IF(ISNA(VLOOKUP(A29,'Données projet'!$A$139:$I$159,7,0)),0%,VLOOKUP(A29,'Données projet'!$A$139:$I$159,7,0))</f>
        <v>0.1</v>
      </c>
      <c r="DF29" s="21">
        <f>EXP(-LN(2)/35)*DF28+(1-EXP(-LN(2)/35))/(LN(2)/35)*DB29*DC29*VLOOKUP('Données projet'!$B$13,Paramètres!$A$1:$I$89,3,0)*0.475*44/12</f>
        <v>84.815441518301597</v>
      </c>
      <c r="DG29" s="21">
        <f>EXP(-LN(2)/25)*DG28+(1-EXP(-LN(2)/25))/(LN(2)/25)*Calculateur!DB29*Calculateur!DD29*VLOOKUP('Données projet'!$B$13,Paramètres!$A$1:$I$89,3,0)*0.475*44/12</f>
        <v>51.292333704752217</v>
      </c>
      <c r="DH29" s="21">
        <f>EXP(-LN(2)/2)*DH28+(1-EXP(-LN(2)/2))/(LN(2)/2)*DB29*DE29*VLOOKUP('Données projet'!$B$13,Paramètres!$A$1:$I$89,3,0)*0.475*44/12</f>
        <v>21.544818141358064</v>
      </c>
      <c r="DI29" s="22">
        <f t="shared" si="15"/>
        <v>157.65259336441187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213</v>
      </c>
      <c r="L30" s="12">
        <f>VLOOKUP(A30,'Données projet'!$A$35:$I$55,9,0)</f>
        <v>15.299999999999997</v>
      </c>
      <c r="M30" s="12">
        <f t="array" ref="M30">INDEX(L:L,MIN(IF(ISNUMBER(L30:L226),ROW(L30:L226),"")))</f>
        <v>15.299999999999997</v>
      </c>
      <c r="N30" s="13">
        <f>IF('Données projet'!$A$36&gt;35,N29+M30-V29,IF(A30&lt;'Données projet'!$A$36,$K$205^A30,IF(A30='Données projet'!$A$36,'Données projet'!$B$36,N29+M30-V29)))</f>
        <v>213</v>
      </c>
      <c r="O30" s="13">
        <f>N30*VLOOKUP('Données projet'!$B$9,Paramètres!$A$1:$I$89,3,0)*VLOOKUP('Données projet'!$B$9,Paramètres!$A$1:$I$89,5,0)</f>
        <v>127.37400000000001</v>
      </c>
      <c r="P30" s="13">
        <f t="shared" si="33"/>
        <v>33.388849044748468</v>
      </c>
      <c r="Q30" s="20">
        <f t="shared" si="2"/>
        <v>279.99529541960356</v>
      </c>
      <c r="R30" s="59">
        <f t="shared" si="0"/>
        <v>569.66196208627025</v>
      </c>
      <c r="S30" s="59">
        <f ca="1">AVERAGE(OFFSET($R$3,0,0,'Données projet'!$E$9+1,1))-AVERAGE(OFFSET($H$3,0,0,'Données projet'!$E$9+1,1))</f>
        <v>216.83230520434313</v>
      </c>
      <c r="T30" s="59">
        <f t="shared" si="34"/>
        <v>275.41891707278205</v>
      </c>
      <c r="U30" s="15">
        <f>IF(ISNA(VLOOKUP(A30,'Données projet'!$A$35:$I$55,3,0)),0,VLOOKUP(A30,'Données projet'!$A$35:$I$55,3,0))</f>
        <v>8</v>
      </c>
      <c r="V30" s="15">
        <f>IF(ISNA(VLOOKUP(A30,'Données projet'!$A$35:$I$55,4,0)),0,VLOOKUP(A30,'Données projet'!$A$35:$I$55,4,0))</f>
        <v>16.3</v>
      </c>
      <c r="W30" s="16">
        <f>IF(ISNA(VLOOKUP(A30,'Données projet'!$A$35:$I$55,5,0)),0%,VLOOKUP(A30,'Données projet'!$A$35:$I$55,5,0)*VLOOKUP('Données projet'!$B$9,Paramètres!$A$1:$I$89,7,0))</f>
        <v>0.315</v>
      </c>
      <c r="X30" s="16">
        <f>IF(ISNA(VLOOKUP(A30,'Données projet'!$A$35:$I$55,6,0)),0%,VLOOKUP(A30,'Données projet'!$A$35:$I$55,6,0)*VLOOKUP('Données projet'!$B$9,Paramètres!$A$1:$I$89,7,0))</f>
        <v>5.3999999999999999E-2</v>
      </c>
      <c r="Y30" s="16">
        <f>IF(ISNA(VLOOKUP(A30,'Données projet'!$A$35:$I$55,7,0)),0%,VLOOKUP(A30,'Données projet'!$A$35:$I$55,7,0))</f>
        <v>0.18</v>
      </c>
      <c r="Z30" s="21">
        <f>EXP(-LN(2)/35)*Z29+(1-EXP(-LN(2)/35))/(LN(2)/35)*V30*W30*VLOOKUP('Données projet'!$B$9,Paramètres!$A$1:$I$89,3,0)*0.475*44/12</f>
        <v>13.633760516735983</v>
      </c>
      <c r="AA30" s="21">
        <f>EXP(-LN(2)/25)*AA29+(1-EXP(-LN(2)/25))/(LN(2)/25)*Calculateur!V30*Calculateur!X30*VLOOKUP('Données projet'!$B$9,Paramètres!$A$1:$I$89,3,0)*0.475*44/12</f>
        <v>7.9196279085916066</v>
      </c>
      <c r="AB30" s="21">
        <f>EXP(-LN(2)/2)*AB29+(1-EXP(-LN(2)/2))/(LN(2)/2)*V30*Y30*VLOOKUP('Données projet'!$B$9,Paramètres!$A$1:$I$89,3,0)*0.475*44/12</f>
        <v>4.5750913457477678</v>
      </c>
      <c r="AC30" s="22">
        <f t="shared" si="3"/>
        <v>26.128479771075359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77.064000000000007</v>
      </c>
      <c r="AK30" s="13">
        <f t="shared" si="35"/>
        <v>21.417762186678065</v>
      </c>
      <c r="AL30" s="20">
        <f t="shared" si="4"/>
        <v>171.52240247513097</v>
      </c>
      <c r="AM30" s="59">
        <f t="shared" si="5"/>
        <v>461.18906914179763</v>
      </c>
      <c r="AN30" s="59">
        <f ca="1">AVERAGE(OFFSET($AM$3,0,0,'Données projet'!$E$10+1,1))-AVERAGE(OFFSET($H$3,0,0,'Données projet'!$E$10+1,1))</f>
        <v>292.42154837691379</v>
      </c>
      <c r="AO30" s="59">
        <f t="shared" si="36"/>
        <v>193.18009444354601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10.199999999999999</v>
      </c>
      <c r="BD30" s="12">
        <f>IF('Données projet'!$A$88&gt;35,BD29+BC30-BL29,IF(A30&lt;'Données projet'!$A$88,$BA$205^A30,IF(A30='Données projet'!$A$88,'Données projet'!$B$88,BD29+BC30-BL29)))</f>
        <v>132.39999999999998</v>
      </c>
      <c r="BE30" s="13">
        <f>BD30*VLOOKUP('Données projet'!$B$11,Paramètres!$A$1:$I$89,3,0)*VLOOKUP('Données projet'!$B$11,Paramètres!$A$1:$I$89,5,0)</f>
        <v>125.99183999999998</v>
      </c>
      <c r="BF30" s="13">
        <f t="shared" si="37"/>
        <v>33.0685099164535</v>
      </c>
      <c r="BG30" s="20">
        <f t="shared" si="7"/>
        <v>277.03010943782311</v>
      </c>
      <c r="BH30" s="59">
        <f t="shared" si="8"/>
        <v>566.6967761044898</v>
      </c>
      <c r="BI30" s="59">
        <f ca="1">AVERAGE(OFFSET($BH$3,0,0,'Données projet'!$E$11+1,1))-AVERAGE(OFFSET($H$3,0,0,'Données projet'!$E$11+1,1))</f>
        <v>339.00921630742886</v>
      </c>
      <c r="BJ30" s="59">
        <f t="shared" si="38"/>
        <v>314.95763895978303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2.478238736309438</v>
      </c>
      <c r="BQ30" s="21">
        <f>EXP(-LN(2)/25)*BQ29+(1-EXP(-LN(2)/25))/(LN(2)/25)*Calculateur!BL30*Calculateur!BN30*VLOOKUP('Données projet'!$B$11,Paramètres!$A$1:$I$89,3,0)*0.475*44/12</f>
        <v>0.64791469414834135</v>
      </c>
      <c r="BR30" s="21">
        <f>EXP(-LN(2)/2)*BR29+(1-EXP(-LN(2)/2))/(LN(2)/2)*BL30*BO30*VLOOKUP('Données projet'!$B$11,Paramètres!$A$1:$I$89,3,0)*0.475*44/12</f>
        <v>1.0235606416098759</v>
      </c>
      <c r="BS30" s="22">
        <f t="shared" si="9"/>
        <v>4.1497140720676553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2.4333333333333331</v>
      </c>
      <c r="BY30" s="12">
        <f>IF('Données projet'!$A$114&gt;35,BY29+BX30-CG29,IF(A30&lt;'Données projet'!$A$114,$BV$205^A30,IF(A30='Données projet'!$A$114,'Données projet'!$B$114,BY29+BX30-CG29)))</f>
        <v>47.532490941824989</v>
      </c>
      <c r="BZ30" s="13">
        <f>BY30*VLOOKUP('Données projet'!$B$12,Paramètres!$A$1:$I$89,3,0)*VLOOKUP('Données projet'!$B$12,Paramètres!$A$1:$I$89,5,0)</f>
        <v>40.782877228085844</v>
      </c>
      <c r="CA30" s="13">
        <f t="shared" si="39"/>
        <v>12.205913943798297</v>
      </c>
      <c r="CB30" s="20">
        <f t="shared" si="10"/>
        <v>92.28881129103155</v>
      </c>
      <c r="CC30" s="59">
        <f t="shared" si="11"/>
        <v>381.95547795769824</v>
      </c>
      <c r="CD30" s="59">
        <f ca="1">AVERAGE(OFFSET($CC$3,0,0,'Données projet'!$E$12+1,1))-AVERAGE(OFFSET($H$3,0,0,'Données projet'!$E$12+1,1))</f>
        <v>204.6927427024138</v>
      </c>
      <c r="CE30" s="59">
        <f t="shared" si="40"/>
        <v>115.74231133146816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204.15575418077316</v>
      </c>
      <c r="CZ30" s="59">
        <f t="shared" si="42"/>
        <v>473.73726605265045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83.152262442438882</v>
      </c>
      <c r="DG30" s="21">
        <f>EXP(-LN(2)/25)*DG29+(1-EXP(-LN(2)/25))/(LN(2)/25)*Calculateur!DB30*Calculateur!DD30*VLOOKUP('Données projet'!$B$13,Paramètres!$A$1:$I$89,3,0)*0.475*44/12</f>
        <v>49.889742142249169</v>
      </c>
      <c r="DH30" s="21">
        <f>EXP(-LN(2)/2)*DH29+(1-EXP(-LN(2)/2))/(LN(2)/2)*DB30*DE30*VLOOKUP('Données projet'!$B$13,Paramètres!$A$1:$I$89,3,0)*0.475*44/12</f>
        <v>15.234487007185237</v>
      </c>
      <c r="DI30" s="22">
        <f t="shared" si="15"/>
        <v>148.27649159187328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14.150000000000006</v>
      </c>
      <c r="N31" s="13">
        <f>IF('Données projet'!$A$36&gt;35,N30+M31-V30,IF(A31&lt;'Données projet'!$A$36,$K$205^A31,IF(A31='Données projet'!$A$36,'Données projet'!$B$36,N30+M31-V30)))</f>
        <v>210.85</v>
      </c>
      <c r="O31" s="13">
        <f>N31*VLOOKUP('Données projet'!$B$9,Paramètres!$A$1:$I$89,3,0)*VLOOKUP('Données projet'!$B$9,Paramètres!$A$1:$I$89,5,0)</f>
        <v>126.0883</v>
      </c>
      <c r="P31" s="13">
        <f t="shared" si="33"/>
        <v>33.090879393219517</v>
      </c>
      <c r="Q31" s="20">
        <f t="shared" si="2"/>
        <v>277.23707077652398</v>
      </c>
      <c r="R31" s="59">
        <f t="shared" si="0"/>
        <v>568.12595966541289</v>
      </c>
      <c r="S31" s="59">
        <f ca="1">AVERAGE(OFFSET($R$3,0,0,'Données projet'!$E$9+1,1))-AVERAGE(OFFSET($H$3,0,0,'Données projet'!$E$9+1,1))</f>
        <v>216.83230520434313</v>
      </c>
      <c r="T31" s="59">
        <f t="shared" si="34"/>
        <v>275.41891707278205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13.366410788775591</v>
      </c>
      <c r="AA31" s="21">
        <f>EXP(-LN(2)/25)*AA30+(1-EXP(-LN(2)/25))/(LN(2)/25)*Calculateur!V31*Calculateur!X31*VLOOKUP('Données projet'!$B$9,Paramètres!$A$1:$I$89,3,0)*0.475*44/12</f>
        <v>7.7030652669560382</v>
      </c>
      <c r="AB31" s="21">
        <f>EXP(-LN(2)/2)*AB30+(1-EXP(-LN(2)/2))/(LN(2)/2)*V31*Y31*VLOOKUP('Données projet'!$B$9,Paramètres!$A$1:$I$89,3,0)*0.475*44/12</f>
        <v>3.2350781151261341</v>
      </c>
      <c r="AC31" s="22">
        <f t="shared" si="3"/>
        <v>24.304554170857763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84.162000000000006</v>
      </c>
      <c r="AK31" s="13">
        <f t="shared" si="35"/>
        <v>23.151791590506594</v>
      </c>
      <c r="AL31" s="20">
        <f t="shared" si="4"/>
        <v>186.90485368679899</v>
      </c>
      <c r="AM31" s="59">
        <f t="shared" si="5"/>
        <v>477.79374257568782</v>
      </c>
      <c r="AN31" s="59">
        <f ca="1">AVERAGE(OFFSET($AM$3,0,0,'Données projet'!$E$10+1,1))-AVERAGE(OFFSET($H$3,0,0,'Données projet'!$E$10+1,1))</f>
        <v>292.42154837691379</v>
      </c>
      <c r="AO31" s="59">
        <f t="shared" si="36"/>
        <v>193.18009444354601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10.199999999999999</v>
      </c>
      <c r="BD31" s="12">
        <f>IF('Données projet'!$A$88&gt;35,BD30+BC31-BL30,IF(A31&lt;'Données projet'!$A$88,$BA$205^A31,IF(A31='Données projet'!$A$88,'Données projet'!$B$88,BD30+BC31-BL30)))</f>
        <v>142.59999999999997</v>
      </c>
      <c r="BE31" s="13">
        <f>BD31*VLOOKUP('Données projet'!$B$11,Paramètres!$A$1:$I$89,3,0)*VLOOKUP('Données projet'!$B$11,Paramètres!$A$1:$I$89,5,0)</f>
        <v>135.69815999999997</v>
      </c>
      <c r="BF31" s="13">
        <f t="shared" si="37"/>
        <v>35.309731483374598</v>
      </c>
      <c r="BG31" s="20">
        <f t="shared" si="7"/>
        <v>297.83874433354407</v>
      </c>
      <c r="BH31" s="59">
        <f t="shared" si="8"/>
        <v>588.72763322243293</v>
      </c>
      <c r="BI31" s="59">
        <f ca="1">AVERAGE(OFFSET($BH$3,0,0,'Données projet'!$E$11+1,1))-AVERAGE(OFFSET($H$3,0,0,'Données projet'!$E$11+1,1))</f>
        <v>339.00921630742886</v>
      </c>
      <c r="BJ31" s="59">
        <f t="shared" si="38"/>
        <v>314.95763895978303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2.4296419862667835</v>
      </c>
      <c r="BQ31" s="21">
        <f>EXP(-LN(2)/25)*BQ30+(1-EXP(-LN(2)/25))/(LN(2)/25)*Calculateur!BL31*Calculateur!BN31*VLOOKUP('Données projet'!$B$11,Paramètres!$A$1:$I$89,3,0)*0.475*44/12</f>
        <v>0.63019743276450202</v>
      </c>
      <c r="BR31" s="21">
        <f>EXP(-LN(2)/2)*BR30+(1-EXP(-LN(2)/2))/(LN(2)/2)*BL31*BO31*VLOOKUP('Données projet'!$B$11,Paramètres!$A$1:$I$89,3,0)*0.475*44/12</f>
        <v>0.72376667063799682</v>
      </c>
      <c r="BS31" s="22">
        <f t="shared" si="9"/>
        <v>3.7836060896692825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2.4333333333333331</v>
      </c>
      <c r="BY31" s="12">
        <f>IF('Données projet'!$A$114&gt;35,BY30+BX31-CG30,IF(A31&lt;'Données projet'!$A$114,$BV$205^A31,IF(A31='Données projet'!$A$114,'Données projet'!$B$114,BY30+BX31-CG30)))</f>
        <v>54.840491206514002</v>
      </c>
      <c r="BZ31" s="13">
        <f>BY31*VLOOKUP('Données projet'!$B$12,Paramètres!$A$1:$I$89,3,0)*VLOOKUP('Données projet'!$B$12,Paramètres!$A$1:$I$89,5,0)</f>
        <v>47.053141455189021</v>
      </c>
      <c r="CA31" s="13">
        <f t="shared" si="39"/>
        <v>13.850051012659618</v>
      </c>
      <c r="CB31" s="20">
        <f t="shared" si="10"/>
        <v>106.07306021483639</v>
      </c>
      <c r="CC31" s="59">
        <f t="shared" si="11"/>
        <v>396.96194910372526</v>
      </c>
      <c r="CD31" s="59">
        <f ca="1">AVERAGE(OFFSET($CC$3,0,0,'Données projet'!$E$12+1,1))-AVERAGE(OFFSET($H$3,0,0,'Données projet'!$E$12+1,1))</f>
        <v>204.6927427024138</v>
      </c>
      <c r="CE31" s="59">
        <f t="shared" si="40"/>
        <v>115.74231133146816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204.15575418077316</v>
      </c>
      <c r="CZ31" s="59">
        <f t="shared" si="42"/>
        <v>473.73726605265045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81.521697293814768</v>
      </c>
      <c r="DG31" s="21">
        <f>EXP(-LN(2)/25)*DG30+(1-EXP(-LN(2)/25))/(LN(2)/25)*Calculateur!DB31*Calculateur!DD31*VLOOKUP('Données projet'!$B$13,Paramètres!$A$1:$I$89,3,0)*0.475*44/12</f>
        <v>48.525504519781848</v>
      </c>
      <c r="DH31" s="21">
        <f>EXP(-LN(2)/2)*DH30+(1-EXP(-LN(2)/2))/(LN(2)/2)*DB31*DE31*VLOOKUP('Données projet'!$B$13,Paramètres!$A$1:$I$89,3,0)*0.475*44/12</f>
        <v>10.772409070679034</v>
      </c>
      <c r="DI31" s="22">
        <f t="shared" si="15"/>
        <v>140.81961088427565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225</v>
      </c>
      <c r="L32" s="12">
        <f>VLOOKUP(A32,'Données projet'!$A$35:$I$55,9,0)</f>
        <v>14.150000000000006</v>
      </c>
      <c r="M32" s="12">
        <f t="array" ref="M32">INDEX(L:L,MIN(IF(ISNUMBER(L32:L228),ROW(L32:L228),"")))</f>
        <v>14.150000000000006</v>
      </c>
      <c r="N32" s="13">
        <f>IF('Données projet'!$A$36&gt;35,N31+M32-V31,IF(A32&lt;'Données projet'!$A$36,$K$205^A32,IF(A32='Données projet'!$A$36,'Données projet'!$B$36,N31+M32-V31)))</f>
        <v>225</v>
      </c>
      <c r="O32" s="13">
        <f>N32*VLOOKUP('Données projet'!$B$9,Paramètres!$A$1:$I$89,3,0)*VLOOKUP('Données projet'!$B$9,Paramètres!$A$1:$I$89,5,0)</f>
        <v>134.55000000000001</v>
      </c>
      <c r="P32" s="13">
        <f t="shared" si="33"/>
        <v>35.045616486142094</v>
      </c>
      <c r="Q32" s="20">
        <f t="shared" si="2"/>
        <v>295.37903204669743</v>
      </c>
      <c r="R32" s="59">
        <f t="shared" si="0"/>
        <v>587.49014315780857</v>
      </c>
      <c r="S32" s="59">
        <f ca="1">AVERAGE(OFFSET($R$3,0,0,'Données projet'!$E$9+1,1))-AVERAGE(OFFSET($H$3,0,0,'Données projet'!$E$9+1,1))</f>
        <v>216.83230520434313</v>
      </c>
      <c r="T32" s="59">
        <f t="shared" si="34"/>
        <v>275.41891707278205</v>
      </c>
      <c r="U32" s="15">
        <f>IF(ISNA(VLOOKUP(A32,'Données projet'!$A$35:$I$55,3,0)),0,VLOOKUP(A32,'Données projet'!$A$35:$I$55,3,0))</f>
        <v>9</v>
      </c>
      <c r="V32" s="15">
        <f>IF(ISNA(VLOOKUP(A32,'Données projet'!$A$35:$I$55,4,0)),0,VLOOKUP(A32,'Données projet'!$A$35:$I$55,4,0))</f>
        <v>12.7</v>
      </c>
      <c r="W32" s="16">
        <f>IF(ISNA(VLOOKUP(A32,'Données projet'!$A$35:$I$55,5,0)),0%,VLOOKUP(A32,'Données projet'!$A$35:$I$55,5,0)*VLOOKUP('Données projet'!$B$9,Paramètres!$A$1:$I$89,7,0))</f>
        <v>0.315</v>
      </c>
      <c r="X32" s="16">
        <f>IF(ISNA(VLOOKUP(A32,'Données projet'!$A$35:$I$55,6,0)),0%,VLOOKUP(A32,'Données projet'!$A$35:$I$55,6,0)*VLOOKUP('Données projet'!$B$9,Paramètres!$A$1:$I$89,7,0))</f>
        <v>5.3999999999999999E-2</v>
      </c>
      <c r="Y32" s="16">
        <f>IF(ISNA(VLOOKUP(A32,'Données projet'!$A$35:$I$55,7,0)),0%,VLOOKUP(A32,'Données projet'!$A$35:$I$55,7,0))</f>
        <v>0.18</v>
      </c>
      <c r="Z32" s="21">
        <f>EXP(-LN(2)/35)*Z31+(1-EXP(-LN(2)/35))/(LN(2)/35)*V32*W32*VLOOKUP('Données projet'!$B$9,Paramètres!$A$1:$I$89,3,0)*0.475*44/12</f>
        <v>16.277842446096827</v>
      </c>
      <c r="AA32" s="21">
        <f>EXP(-LN(2)/25)*AA31+(1-EXP(-LN(2)/25))/(LN(2)/25)*Calculateur!V32*Calculateur!X32*VLOOKUP('Données projet'!$B$9,Paramètres!$A$1:$I$89,3,0)*0.475*44/12</f>
        <v>8.0343176944820254</v>
      </c>
      <c r="AB32" s="21">
        <f>EXP(-LN(2)/2)*AB31+(1-EXP(-LN(2)/2))/(LN(2)/2)*V32*Y32*VLOOKUP('Données projet'!$B$9,Paramètres!$A$1:$I$89,3,0)*0.475*44/12</f>
        <v>3.8353389260968935</v>
      </c>
      <c r="AC32" s="22">
        <f t="shared" si="3"/>
        <v>28.147499066675749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91.26</v>
      </c>
      <c r="AK32" s="13">
        <f t="shared" si="35"/>
        <v>24.868860330902777</v>
      </c>
      <c r="AL32" s="20">
        <f t="shared" si="4"/>
        <v>202.25776507632233</v>
      </c>
      <c r="AM32" s="59">
        <f t="shared" si="5"/>
        <v>494.36887618743344</v>
      </c>
      <c r="AN32" s="59">
        <f ca="1">AVERAGE(OFFSET($AM$3,0,0,'Données projet'!$E$10+1,1))-AVERAGE(OFFSET($H$3,0,0,'Données projet'!$E$10+1,1))</f>
        <v>292.42154837691379</v>
      </c>
      <c r="AO32" s="59">
        <f t="shared" si="36"/>
        <v>193.18009444354601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10.199999999999999</v>
      </c>
      <c r="BD32" s="12">
        <f>IF('Données projet'!$A$88&gt;35,BD31+BC32-BL31,IF(A32&lt;'Données projet'!$A$88,$BA$205^A32,IF(A32='Données projet'!$A$88,'Données projet'!$B$88,BD31+BC32-BL31)))</f>
        <v>152.79999999999995</v>
      </c>
      <c r="BE32" s="13">
        <f>BD32*VLOOKUP('Données projet'!$B$11,Paramètres!$A$1:$I$89,3,0)*VLOOKUP('Données projet'!$B$11,Paramètres!$A$1:$I$89,5,0)</f>
        <v>145.40447999999995</v>
      </c>
      <c r="BF32" s="13">
        <f t="shared" si="37"/>
        <v>37.532353491703653</v>
      </c>
      <c r="BG32" s="20">
        <f t="shared" si="7"/>
        <v>318.61498499805043</v>
      </c>
      <c r="BH32" s="59">
        <f t="shared" si="8"/>
        <v>610.72609610916152</v>
      </c>
      <c r="BI32" s="59">
        <f ca="1">AVERAGE(OFFSET($BH$3,0,0,'Données projet'!$E$11+1,1))-AVERAGE(OFFSET($H$3,0,0,'Données projet'!$E$11+1,1))</f>
        <v>339.00921630742886</v>
      </c>
      <c r="BJ32" s="59">
        <f t="shared" si="38"/>
        <v>314.95763895978303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2.3819981888513744</v>
      </c>
      <c r="BQ32" s="21">
        <f>EXP(-LN(2)/25)*BQ31+(1-EXP(-LN(2)/25))/(LN(2)/25)*Calculateur!BL32*Calculateur!BN32*VLOOKUP('Données projet'!$B$11,Paramètres!$A$1:$I$89,3,0)*0.475*44/12</f>
        <v>0.61296465082491403</v>
      </c>
      <c r="BR32" s="21">
        <f>EXP(-LN(2)/2)*BR31+(1-EXP(-LN(2)/2))/(LN(2)/2)*BL32*BO32*VLOOKUP('Données projet'!$B$11,Paramètres!$A$1:$I$89,3,0)*0.475*44/12</f>
        <v>0.51178032080493807</v>
      </c>
      <c r="BS32" s="22">
        <f t="shared" si="9"/>
        <v>3.5067431604812267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2.4333333333333331</v>
      </c>
      <c r="BY32" s="12">
        <f>IF('Données projet'!$A$114&gt;35,BY31+BX32-CG31,IF(A32&lt;'Données projet'!$A$114,$BV$205^A32,IF(A32='Données projet'!$A$114,'Données projet'!$B$114,BY31+BX32-CG31)))</f>
        <v>63.272078028744453</v>
      </c>
      <c r="BZ32" s="13">
        <f>BY32*VLOOKUP('Données projet'!$B$12,Paramètres!$A$1:$I$89,3,0)*VLOOKUP('Données projet'!$B$12,Paramètres!$A$1:$I$89,5,0)</f>
        <v>54.287442948662743</v>
      </c>
      <c r="CA32" s="13">
        <f t="shared" si="39"/>
        <v>15.715653406743664</v>
      </c>
      <c r="CB32" s="20">
        <f t="shared" si="10"/>
        <v>121.92205948566617</v>
      </c>
      <c r="CC32" s="59">
        <f t="shared" si="11"/>
        <v>414.03317059677732</v>
      </c>
      <c r="CD32" s="59">
        <f ca="1">AVERAGE(OFFSET($CC$3,0,0,'Données projet'!$E$12+1,1))-AVERAGE(OFFSET($H$3,0,0,'Données projet'!$E$12+1,1))</f>
        <v>204.6927427024138</v>
      </c>
      <c r="CE32" s="59">
        <f t="shared" si="40"/>
        <v>115.74231133146816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204.15575418077316</v>
      </c>
      <c r="CZ32" s="59">
        <f t="shared" si="42"/>
        <v>473.73726605265045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79.923106533208639</v>
      </c>
      <c r="DG32" s="21">
        <f>EXP(-LN(2)/25)*DG31+(1-EXP(-LN(2)/25))/(LN(2)/25)*Calculateur!DB32*Calculateur!DD32*VLOOKUP('Données projet'!$B$13,Paramètres!$A$1:$I$89,3,0)*0.475*44/12</f>
        <v>47.19857204684304</v>
      </c>
      <c r="DH32" s="21">
        <f>EXP(-LN(2)/2)*DH31+(1-EXP(-LN(2)/2))/(LN(2)/2)*DB32*DE32*VLOOKUP('Données projet'!$B$13,Paramètres!$A$1:$I$89,3,0)*0.475*44/12</f>
        <v>7.6172435035926203</v>
      </c>
      <c r="DI32" s="22">
        <f t="shared" si="15"/>
        <v>134.7389220836443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16.168749999999999</v>
      </c>
      <c r="N33" s="13">
        <f>IF('Données projet'!$A$36&gt;35,N32+M33-V32,IF(A33&lt;'Données projet'!$A$36,$K$205^A33,IF(A33='Données projet'!$A$36,'Données projet'!$B$36,N32+M33-V32)))</f>
        <v>228.46875</v>
      </c>
      <c r="O33" s="13">
        <f>N33*VLOOKUP('Données projet'!$B$9,Paramètres!$A$1:$I$89,3,0)*VLOOKUP('Données projet'!$B$9,Paramètres!$A$1:$I$89,5,0)</f>
        <v>136.6243125</v>
      </c>
      <c r="P33" s="13">
        <f t="shared" si="33"/>
        <v>35.522587807771465</v>
      </c>
      <c r="Q33" s="20">
        <f t="shared" si="2"/>
        <v>299.82251803603532</v>
      </c>
      <c r="R33" s="59">
        <f t="shared" si="0"/>
        <v>593.15585136936863</v>
      </c>
      <c r="S33" s="59">
        <f ca="1">AVERAGE(OFFSET($R$3,0,0,'Données projet'!$E$9+1,1))-AVERAGE(OFFSET($H$3,0,0,'Données projet'!$E$9+1,1))</f>
        <v>216.83230520434313</v>
      </c>
      <c r="T33" s="59">
        <f t="shared" si="34"/>
        <v>275.41891707278205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15.958643884232401</v>
      </c>
      <c r="AA33" s="21">
        <f>EXP(-LN(2)/25)*AA32+(1-EXP(-LN(2)/25))/(LN(2)/25)*Calculateur!V33*Calculateur!X33*VLOOKUP('Données projet'!$B$9,Paramètres!$A$1:$I$89,3,0)*0.475*44/12</f>
        <v>7.8146188546200097</v>
      </c>
      <c r="AB33" s="21">
        <f>EXP(-LN(2)/2)*AB32+(1-EXP(-LN(2)/2))/(LN(2)/2)*V33*Y33*VLOOKUP('Données projet'!$B$9,Paramètres!$A$1:$I$89,3,0)*0.475*44/12</f>
        <v>2.7119941627918442</v>
      </c>
      <c r="AC33" s="22">
        <f t="shared" si="3"/>
        <v>26.485256901644252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98.358000000000004</v>
      </c>
      <c r="AK33" s="13">
        <f t="shared" si="35"/>
        <v>26.570437554143126</v>
      </c>
      <c r="AL33" s="20">
        <f t="shared" si="4"/>
        <v>217.58369540679928</v>
      </c>
      <c r="AM33" s="59">
        <f t="shared" si="5"/>
        <v>510.91702874013259</v>
      </c>
      <c r="AN33" s="59">
        <f ca="1">AVERAGE(OFFSET($AM$3,0,0,'Données projet'!$E$10+1,1))-AVERAGE(OFFSET($H$3,0,0,'Données projet'!$E$10+1,1))</f>
        <v>292.42154837691379</v>
      </c>
      <c r="AO33" s="59">
        <f t="shared" si="36"/>
        <v>193.18009444354601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163</v>
      </c>
      <c r="BB33" s="12">
        <f>VLOOKUP(A33,'Données projet'!$A$87:$I$107,9,0)</f>
        <v>10.199999999999999</v>
      </c>
      <c r="BC33" s="12">
        <f t="array" ref="BC33">INDEX(BB:BB,MIN(IF(ISNUMBER(BB33:BB229),ROW(BB33:BB229),"")))</f>
        <v>10.199999999999999</v>
      </c>
      <c r="BD33" s="12">
        <f>IF('Données projet'!$A$88&gt;35,BD32+BC33-BL32,IF(A33&lt;'Données projet'!$A$88,$BA$205^A33,IF(A33='Données projet'!$A$88,'Données projet'!$B$88,BD32+BC33-BL32)))</f>
        <v>162.99999999999994</v>
      </c>
      <c r="BE33" s="13">
        <f>BD33*VLOOKUP('Données projet'!$B$11,Paramètres!$A$1:$I$89,3,0)*VLOOKUP('Données projet'!$B$11,Paramètres!$A$1:$I$89,5,0)</f>
        <v>155.11079999999995</v>
      </c>
      <c r="BF33" s="13">
        <f t="shared" si="37"/>
        <v>39.737758807484994</v>
      </c>
      <c r="BG33" s="20">
        <f t="shared" si="7"/>
        <v>339.36123992303629</v>
      </c>
      <c r="BH33" s="59">
        <f t="shared" si="8"/>
        <v>632.69457325636961</v>
      </c>
      <c r="BI33" s="59">
        <f ca="1">AVERAGE(OFFSET($BH$3,0,0,'Données projet'!$E$11+1,1))-AVERAGE(OFFSET($H$3,0,0,'Données projet'!$E$11+1,1))</f>
        <v>339.00921630742886</v>
      </c>
      <c r="BJ33" s="59">
        <f t="shared" si="38"/>
        <v>314.95763895978303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0.129</v>
      </c>
      <c r="BN33" s="16">
        <f>IF(ISNA(VLOOKUP(A33,'Données projet'!$A$87:$I$107,6,0)),0%,VLOOKUP(A33,'Données projet'!$A$87:$I$107,6,0)*VLOOKUP('Données projet'!$B$11,Paramètres!$A$1:$I$89,7,0))</f>
        <v>3.44E-2</v>
      </c>
      <c r="BO33" s="16">
        <f>IF(ISNA(VLOOKUP(A33,'Données projet'!$A$87:$I$107,7,0)),0%,VLOOKUP(A33,'Données projet'!$A$87:$I$107,7,0))</f>
        <v>0.12</v>
      </c>
      <c r="BP33" s="21">
        <f>EXP(-LN(2)/35)*BP32+(1-EXP(-LN(2)/35))/(LN(2)/35)*BL33*BM33*VLOOKUP('Données projet'!$B$11,Paramètres!$A$1:$I$89,3,0)*0.475*44/12</f>
        <v>5.185063503303506</v>
      </c>
      <c r="BQ33" s="21">
        <f>EXP(-LN(2)/25)*BQ32+(1-EXP(-LN(2)/25))/(LN(2)/25)*Calculateur!BL33*Calculateur!BN33*VLOOKUP('Données projet'!$B$11,Paramètres!$A$1:$I$89,3,0)*0.475*44/12</f>
        <v>1.35315088598484</v>
      </c>
      <c r="BR33" s="21">
        <f>EXP(-LN(2)/2)*BR32+(1-EXP(-LN(2)/2))/(LN(2)/2)*BL33*BO33*VLOOKUP('Données projet'!$B$11,Paramètres!$A$1:$I$89,3,0)*0.475*44/12</f>
        <v>2.6244910694039865</v>
      </c>
      <c r="BS33" s="22">
        <f t="shared" si="9"/>
        <v>9.1627054586923329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73</v>
      </c>
      <c r="BW33" s="12">
        <f>VLOOKUP(A33,'Données projet'!$A$113:$I$133,9,0)</f>
        <v>2.4333333333333331</v>
      </c>
      <c r="BX33" s="12">
        <f t="array" ref="BX33">INDEX(BW:BW,MIN(IF(ISNUMBER(BW33:BW229),ROW(BW33:BW229),"")))</f>
        <v>2.4333333333333331</v>
      </c>
      <c r="BY33" s="12">
        <f>IF('Données projet'!$A$114&gt;35,BY32+BX33-CG32,IF(A33&lt;'Données projet'!$A$114,$BV$205^A33,IF(A33='Données projet'!$A$114,'Données projet'!$B$114,BY32+BX33-CG32)))</f>
        <v>73</v>
      </c>
      <c r="BZ33" s="13">
        <f>BY33*VLOOKUP('Données projet'!$B$12,Paramètres!$A$1:$I$89,3,0)*VLOOKUP('Données projet'!$B$12,Paramètres!$A$1:$I$89,5,0)</f>
        <v>62.634000000000015</v>
      </c>
      <c r="CA33" s="13">
        <f t="shared" si="39"/>
        <v>17.832552513715669</v>
      </c>
      <c r="CB33" s="20">
        <f t="shared" si="10"/>
        <v>140.14591229472146</v>
      </c>
      <c r="CC33" s="59">
        <f t="shared" si="11"/>
        <v>433.47924562805474</v>
      </c>
      <c r="CD33" s="59">
        <f ca="1">AVERAGE(OFFSET($CC$3,0,0,'Données projet'!$E$12+1,1))-AVERAGE(OFFSET($H$3,0,0,'Données projet'!$E$12+1,1))</f>
        <v>204.6927427024138</v>
      </c>
      <c r="CE33" s="59">
        <f t="shared" si="40"/>
        <v>115.74231133146816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12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204.15575418077316</v>
      </c>
      <c r="CZ33" s="59">
        <f t="shared" si="42"/>
        <v>473.73726605265045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78.355863162373907</v>
      </c>
      <c r="DG33" s="21">
        <f>EXP(-LN(2)/25)*DG32+(1-EXP(-LN(2)/25))/(LN(2)/25)*Calculateur!DB33*Calculateur!DD33*VLOOKUP('Données projet'!$B$13,Paramètres!$A$1:$I$89,3,0)*0.475*44/12</f>
        <v>45.907924612157089</v>
      </c>
      <c r="DH33" s="21">
        <f>EXP(-LN(2)/2)*DH32+(1-EXP(-LN(2)/2))/(LN(2)/2)*DB33*DE33*VLOOKUP('Données projet'!$B$13,Paramètres!$A$1:$I$89,3,0)*0.475*44/12</f>
        <v>5.3862045353395178</v>
      </c>
      <c r="DI33" s="22">
        <f t="shared" si="15"/>
        <v>129.64999230987053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16.168749999999999</v>
      </c>
      <c r="N34" s="13">
        <f>IF('Données projet'!$A$36&gt;35,N33+M34-V33,IF(A34&lt;'Données projet'!$A$36,$K$205^A34,IF(A34='Données projet'!$A$36,'Données projet'!$B$36,N33+M34-V33)))</f>
        <v>244.63749999999999</v>
      </c>
      <c r="O34" s="13">
        <f>N34*VLOOKUP('Données projet'!$B$9,Paramètres!$A$1:$I$89,3,0)*VLOOKUP('Données projet'!$B$9,Paramètres!$A$1:$I$89,5,0)</f>
        <v>146.29322500000001</v>
      </c>
      <c r="P34" s="13">
        <f t="shared" si="33"/>
        <v>37.734984879422477</v>
      </c>
      <c r="Q34" s="20">
        <f t="shared" si="2"/>
        <v>320.51579887332747</v>
      </c>
      <c r="R34" s="59">
        <f t="shared" si="0"/>
        <v>613.84913220666078</v>
      </c>
      <c r="S34" s="59">
        <f ca="1">AVERAGE(OFFSET($R$3,0,0,'Données projet'!$E$9+1,1))-AVERAGE(OFFSET($H$3,0,0,'Données projet'!$E$9+1,1))</f>
        <v>216.83230520434313</v>
      </c>
      <c r="T34" s="59">
        <f t="shared" si="34"/>
        <v>275.41891707278205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15.645704611474239</v>
      </c>
      <c r="AA34" s="21">
        <f>EXP(-LN(2)/25)*AA33+(1-EXP(-LN(2)/25))/(LN(2)/25)*Calculateur!V34*Calculateur!X34*VLOOKUP('Données projet'!$B$9,Paramètres!$A$1:$I$89,3,0)*0.475*44/12</f>
        <v>7.6009276910874801</v>
      </c>
      <c r="AB34" s="21">
        <f>EXP(-LN(2)/2)*AB33+(1-EXP(-LN(2)/2))/(LN(2)/2)*V34*Y34*VLOOKUP('Données projet'!$B$9,Paramètres!$A$1:$I$89,3,0)*0.475*44/12</f>
        <v>1.917669463048447</v>
      </c>
      <c r="AC34" s="22">
        <f t="shared" si="3"/>
        <v>25.164301765610166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85.176000000000002</v>
      </c>
      <c r="AK34" s="13">
        <f t="shared" si="35"/>
        <v>23.398088487656441</v>
      </c>
      <c r="AL34" s="20">
        <f t="shared" si="4"/>
        <v>189.09987078266829</v>
      </c>
      <c r="AM34" s="59">
        <f t="shared" si="5"/>
        <v>482.4332041160016</v>
      </c>
      <c r="AN34" s="59">
        <f ca="1">AVERAGE(OFFSET($AM$3,0,0,'Données projet'!$E$10+1,1))-AVERAGE(OFFSET($H$3,0,0,'Données projet'!$E$10+1,1))</f>
        <v>292.42154837691379</v>
      </c>
      <c r="AO34" s="59">
        <f t="shared" si="36"/>
        <v>193.18009444354601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</v>
      </c>
      <c r="BD34" s="12">
        <f>IF('Données projet'!$A$88&gt;35,BD33+BC34-BL33,IF(A34&lt;'Données projet'!$A$88,$BA$205^A34,IF(A34='Données projet'!$A$88,'Données projet'!$B$88,BD33+BC34-BL33)))</f>
        <v>151.99999999999994</v>
      </c>
      <c r="BE34" s="13">
        <f>BD34*VLOOKUP('Données projet'!$B$11,Paramètres!$A$1:$I$89,3,0)*VLOOKUP('Données projet'!$B$11,Paramètres!$A$1:$I$89,5,0)</f>
        <v>144.64319999999995</v>
      </c>
      <c r="BF34" s="13">
        <f t="shared" si="37"/>
        <v>37.358669132367886</v>
      </c>
      <c r="BG34" s="20">
        <f t="shared" si="7"/>
        <v>316.98658873887399</v>
      </c>
      <c r="BH34" s="59">
        <f t="shared" si="8"/>
        <v>610.31992207220731</v>
      </c>
      <c r="BI34" s="59">
        <f ca="1">AVERAGE(OFFSET($BH$3,0,0,'Données projet'!$E$11+1,1))-AVERAGE(OFFSET($H$3,0,0,'Données projet'!$E$11+1,1))</f>
        <v>339.00921630742886</v>
      </c>
      <c r="BJ34" s="59">
        <f t="shared" si="38"/>
        <v>314.95763895978303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5.0833875705801823</v>
      </c>
      <c r="BQ34" s="21">
        <f>EXP(-LN(2)/25)*BQ33+(1-EXP(-LN(2)/25))/(LN(2)/25)*Calculateur!BL34*Calculateur!BN34*VLOOKUP('Données projet'!$B$11,Paramètres!$A$1:$I$89,3,0)*0.475*44/12</f>
        <v>1.3161489038484722</v>
      </c>
      <c r="BR34" s="21">
        <f>EXP(-LN(2)/2)*BR33+(1-EXP(-LN(2)/2))/(LN(2)/2)*BL34*BO34*VLOOKUP('Données projet'!$B$11,Paramètres!$A$1:$I$89,3,0)*0.475*44/12</f>
        <v>1.8557954323390928</v>
      </c>
      <c r="BS34" s="22">
        <f t="shared" si="9"/>
        <v>8.2553319067677471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7.2</v>
      </c>
      <c r="BY34" s="12">
        <f>IF('Données projet'!$A$114&gt;35,BY33+BX34-CG33,IF(A34&lt;'Données projet'!$A$114,$BV$205^A34,IF(A34='Données projet'!$A$114,'Données projet'!$B$114,BY33+BX34-CG33)))</f>
        <v>68.2</v>
      </c>
      <c r="BZ34" s="13">
        <f>BY34*VLOOKUP('Données projet'!$B$12,Paramètres!$A$1:$I$89,3,0)*VLOOKUP('Données projet'!$B$12,Paramètres!$A$1:$I$89,5,0)</f>
        <v>58.515600000000013</v>
      </c>
      <c r="CA34" s="13">
        <f t="shared" si="39"/>
        <v>16.792420691577682</v>
      </c>
      <c r="CB34" s="20">
        <f t="shared" si="10"/>
        <v>131.16146937116449</v>
      </c>
      <c r="CC34" s="59">
        <f t="shared" si="11"/>
        <v>424.49480270449783</v>
      </c>
      <c r="CD34" s="59">
        <f ca="1">AVERAGE(OFFSET($CC$3,0,0,'Données projet'!$E$12+1,1))-AVERAGE(OFFSET($H$3,0,0,'Données projet'!$E$12+1,1))</f>
        <v>204.6927427024138</v>
      </c>
      <c r="CE34" s="59">
        <f t="shared" si="40"/>
        <v>115.74231133146816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204.15575418077316</v>
      </c>
      <c r="CZ34" s="59">
        <f t="shared" si="42"/>
        <v>473.73726605265045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76.819352478117182</v>
      </c>
      <c r="DG34" s="21">
        <f>EXP(-LN(2)/25)*DG33+(1-EXP(-LN(2)/25))/(LN(2)/25)*Calculateur!DB34*Calculateur!DD34*VLOOKUP('Données projet'!$B$13,Paramètres!$A$1:$I$89,3,0)*0.475*44/12</f>
        <v>44.652569999444822</v>
      </c>
      <c r="DH34" s="21">
        <f>EXP(-LN(2)/2)*DH33+(1-EXP(-LN(2)/2))/(LN(2)/2)*DB34*DE34*VLOOKUP('Données projet'!$B$13,Paramètres!$A$1:$I$89,3,0)*0.475*44/12</f>
        <v>3.8086217517963106</v>
      </c>
      <c r="DI34" s="22">
        <f t="shared" si="15"/>
        <v>125.28054422935831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16.168749999999999</v>
      </c>
      <c r="N35" s="13">
        <f>IF('Données projet'!$A$36&gt;35,N34+M35-V34,IF(A35&lt;'Données projet'!$A$36,$K$205^A35,IF(A35='Données projet'!$A$36,'Données projet'!$B$36,N34+M35-V34)))</f>
        <v>260.80624999999998</v>
      </c>
      <c r="O35" s="13">
        <f>N35*VLOOKUP('Données projet'!$B$9,Paramètres!$A$1:$I$89,3,0)*VLOOKUP('Données projet'!$B$9,Paramètres!$A$1:$I$89,5,0)</f>
        <v>155.96213749999998</v>
      </c>
      <c r="P35" s="13">
        <f t="shared" si="33"/>
        <v>39.93041382938739</v>
      </c>
      <c r="Q35" s="20">
        <f t="shared" ref="Q35:Q66" si="53">(O35+P35)*0.475*44/12</f>
        <v>341.17952689868298</v>
      </c>
      <c r="R35" s="59">
        <f t="shared" si="0"/>
        <v>634.51286023201624</v>
      </c>
      <c r="S35" s="59">
        <f ca="1">AVERAGE(OFFSET($R$3,0,0,'Données projet'!$E$9+1,1))-AVERAGE(OFFSET($H$3,0,0,'Données projet'!$E$9+1,1))</f>
        <v>216.83230520434313</v>
      </c>
      <c r="T35" s="59">
        <f t="shared" si="34"/>
        <v>275.41891707278205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15.338901886980755</v>
      </c>
      <c r="AA35" s="21">
        <f>EXP(-LN(2)/25)*AA34+(1-EXP(-LN(2)/25))/(LN(2)/25)*Calculateur!V35*Calculateur!X35*VLOOKUP('Données projet'!$B$9,Paramètres!$A$1:$I$89,3,0)*0.475*44/12</f>
        <v>7.3930799236592781</v>
      </c>
      <c r="AB35" s="21">
        <f>EXP(-LN(2)/2)*AB34+(1-EXP(-LN(2)/2))/(LN(2)/2)*V35*Y35*VLOOKUP('Données projet'!$B$9,Paramètres!$A$1:$I$89,3,0)*0.475*44/12</f>
        <v>1.3559970813959223</v>
      </c>
      <c r="AC35" s="22">
        <f t="shared" si="3"/>
        <v>24.087978892035956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93.288000000000011</v>
      </c>
      <c r="AK35" s="13">
        <f t="shared" si="35"/>
        <v>25.356547829040977</v>
      </c>
      <c r="AL35" s="20">
        <f t="shared" si="4"/>
        <v>206.63925413557971</v>
      </c>
      <c r="AM35" s="59">
        <f t="shared" si="5"/>
        <v>499.97258746891305</v>
      </c>
      <c r="AN35" s="59">
        <f ca="1">AVERAGE(OFFSET($AM$3,0,0,'Données projet'!$E$10+1,1))-AVERAGE(OFFSET($H$3,0,0,'Données projet'!$E$10+1,1))</f>
        <v>292.42154837691379</v>
      </c>
      <c r="AO35" s="59">
        <f t="shared" si="36"/>
        <v>193.18009444354601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</v>
      </c>
      <c r="BD35" s="12">
        <f>IF('Données projet'!$A$88&gt;35,BD34+BC35-BL34,IF(A35&lt;'Données projet'!$A$88,$BA$205^A35,IF(A35='Données projet'!$A$88,'Données projet'!$B$88,BD34+BC35-BL34)))</f>
        <v>161.99999999999994</v>
      </c>
      <c r="BE35" s="13">
        <f>BD35*VLOOKUP('Données projet'!$B$11,Paramètres!$A$1:$I$89,3,0)*VLOOKUP('Données projet'!$B$11,Paramètres!$A$1:$I$89,5,0)</f>
        <v>154.15919999999994</v>
      </c>
      <c r="BF35" s="13">
        <f t="shared" si="37"/>
        <v>39.522268933730984</v>
      </c>
      <c r="BG35" s="20">
        <f t="shared" si="7"/>
        <v>337.32855839291466</v>
      </c>
      <c r="BH35" s="59">
        <f t="shared" si="8"/>
        <v>630.66189172624797</v>
      </c>
      <c r="BI35" s="59">
        <f ca="1">AVERAGE(OFFSET($BH$3,0,0,'Données projet'!$E$11+1,1))-AVERAGE(OFFSET($H$3,0,0,'Données projet'!$E$11+1,1))</f>
        <v>339.00921630742886</v>
      </c>
      <c r="BJ35" s="59">
        <f t="shared" si="38"/>
        <v>314.95763895978303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4.9837054408813684</v>
      </c>
      <c r="BQ35" s="21">
        <f>EXP(-LN(2)/25)*BQ34+(1-EXP(-LN(2)/25))/(LN(2)/25)*Calculateur!BL35*Calculateur!BN35*VLOOKUP('Données projet'!$B$11,Paramètres!$A$1:$I$89,3,0)*0.475*44/12</f>
        <v>1.280158742859473</v>
      </c>
      <c r="BR35" s="21">
        <f>EXP(-LN(2)/2)*BR34+(1-EXP(-LN(2)/2))/(LN(2)/2)*BL35*BO35*VLOOKUP('Données projet'!$B$11,Paramètres!$A$1:$I$89,3,0)*0.475*44/12</f>
        <v>1.3122455347019935</v>
      </c>
      <c r="BS35" s="22">
        <f t="shared" si="9"/>
        <v>7.5761097184428348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7.2</v>
      </c>
      <c r="BY35" s="12">
        <f>IF('Données projet'!$A$114&gt;35,BY34+BX35-CG34,IF(A35&lt;'Données projet'!$A$114,$BV$205^A35,IF(A35='Données projet'!$A$114,'Données projet'!$B$114,BY34+BX35-CG34)))</f>
        <v>75.400000000000006</v>
      </c>
      <c r="BZ35" s="13">
        <f>BY35*VLOOKUP('Données projet'!$B$12,Paramètres!$A$1:$I$89,3,0)*VLOOKUP('Données projet'!$B$12,Paramètres!$A$1:$I$89,5,0)</f>
        <v>64.693200000000004</v>
      </c>
      <c r="CA35" s="13">
        <f t="shared" si="39"/>
        <v>18.349606424257921</v>
      </c>
      <c r="CB35" s="20">
        <f t="shared" si="10"/>
        <v>144.63288785558254</v>
      </c>
      <c r="CC35" s="59">
        <f t="shared" si="11"/>
        <v>437.96622118891582</v>
      </c>
      <c r="CD35" s="59">
        <f ca="1">AVERAGE(OFFSET($CC$3,0,0,'Données projet'!$E$12+1,1))-AVERAGE(OFFSET($H$3,0,0,'Données projet'!$E$12+1,1))</f>
        <v>204.6927427024138</v>
      </c>
      <c r="CE35" s="59">
        <f t="shared" si="40"/>
        <v>115.74231133146816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204.15575418077316</v>
      </c>
      <c r="CZ35" s="59">
        <f t="shared" si="42"/>
        <v>473.73726605265045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75.312971831199746</v>
      </c>
      <c r="DG35" s="21">
        <f>EXP(-LN(2)/25)*DG34+(1-EXP(-LN(2)/25))/(LN(2)/25)*Calculateur!DB35*Calculateur!DD35*VLOOKUP('Données projet'!$B$13,Paramètres!$A$1:$I$89,3,0)*0.475*44/12</f>
        <v>43.4315431246334</v>
      </c>
      <c r="DH35" s="21">
        <f>EXP(-LN(2)/2)*DH34+(1-EXP(-LN(2)/2))/(LN(2)/2)*DB35*DE35*VLOOKUP('Données projet'!$B$13,Paramètres!$A$1:$I$89,3,0)*0.475*44/12</f>
        <v>2.6931022676697594</v>
      </c>
      <c r="DI35" s="22">
        <f t="shared" si="15"/>
        <v>121.43761722350291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16.168749999999999</v>
      </c>
      <c r="N36" s="13">
        <f>IF('Données projet'!$A$36&gt;35,N35+M36-V35,IF(A36&lt;'Données projet'!$A$36,$K$205^A36,IF(A36='Données projet'!$A$36,'Données projet'!$B$36,N35+M36-V35)))</f>
        <v>276.97499999999997</v>
      </c>
      <c r="O36" s="13">
        <f>N36*VLOOKUP('Données projet'!$B$9,Paramètres!$A$1:$I$89,3,0)*VLOOKUP('Données projet'!$B$9,Paramètres!$A$1:$I$89,5,0)</f>
        <v>165.63104999999999</v>
      </c>
      <c r="P36" s="13">
        <f t="shared" si="33"/>
        <v>42.110046366677715</v>
      </c>
      <c r="Q36" s="20">
        <f t="shared" si="53"/>
        <v>361.81574283863034</v>
      </c>
      <c r="R36" s="59">
        <f t="shared" si="0"/>
        <v>655.14907617196366</v>
      </c>
      <c r="S36" s="59">
        <f ca="1">AVERAGE(OFFSET($R$3,0,0,'Données projet'!$E$9+1,1))-AVERAGE(OFFSET($H$3,0,0,'Données projet'!$E$9+1,1))</f>
        <v>216.83230520434313</v>
      </c>
      <c r="T36" s="59">
        <f t="shared" si="34"/>
        <v>275.41891707278205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15.038115376783404</v>
      </c>
      <c r="AA36" s="21">
        <f>EXP(-LN(2)/25)*AA35+(1-EXP(-LN(2)/25))/(LN(2)/25)*Calculateur!V36*Calculateur!X36*VLOOKUP('Données projet'!$B$9,Paramètres!$A$1:$I$89,3,0)*0.475*44/12</f>
        <v>7.1909157643616393</v>
      </c>
      <c r="AB36" s="21">
        <f>EXP(-LN(2)/2)*AB35+(1-EXP(-LN(2)/2))/(LN(2)/2)*V36*Y36*VLOOKUP('Données projet'!$B$9,Paramètres!$A$1:$I$89,3,0)*0.475*44/12</f>
        <v>0.9588347315242236</v>
      </c>
      <c r="AC36" s="22">
        <f t="shared" si="3"/>
        <v>23.187865872669267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101.4</v>
      </c>
      <c r="AK36" s="13">
        <f t="shared" si="35"/>
        <v>27.295257887453797</v>
      </c>
      <c r="AL36" s="20">
        <f t="shared" si="4"/>
        <v>224.14424082064872</v>
      </c>
      <c r="AM36" s="59">
        <f t="shared" si="5"/>
        <v>517.477574153982</v>
      </c>
      <c r="AN36" s="59">
        <f ca="1">AVERAGE(OFFSET($AM$3,0,0,'Données projet'!$E$10+1,1))-AVERAGE(OFFSET($H$3,0,0,'Données projet'!$E$10+1,1))</f>
        <v>292.42154837691379</v>
      </c>
      <c r="AO36" s="59">
        <f t="shared" si="36"/>
        <v>193.18009444354601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</v>
      </c>
      <c r="BD36" s="12">
        <f>IF('Données projet'!$A$88&gt;35,BD35+BC36-BL35,IF(A36&lt;'Données projet'!$A$88,$BA$205^A36,IF(A36='Données projet'!$A$88,'Données projet'!$B$88,BD35+BC36-BL35)))</f>
        <v>171.99999999999994</v>
      </c>
      <c r="BE36" s="13">
        <f>BD36*VLOOKUP('Données projet'!$B$11,Paramètres!$A$1:$I$89,3,0)*VLOOKUP('Données projet'!$B$11,Paramètres!$A$1:$I$89,5,0)</f>
        <v>163.67519999999993</v>
      </c>
      <c r="BF36" s="13">
        <f t="shared" si="37"/>
        <v>41.670368197291587</v>
      </c>
      <c r="BG36" s="20">
        <f t="shared" si="7"/>
        <v>357.64353127694943</v>
      </c>
      <c r="BH36" s="59">
        <f t="shared" si="8"/>
        <v>650.97686461028275</v>
      </c>
      <c r="BI36" s="59">
        <f ca="1">AVERAGE(OFFSET($BH$3,0,0,'Données projet'!$E$11+1,1))-AVERAGE(OFFSET($H$3,0,0,'Données projet'!$E$11+1,1))</f>
        <v>339.00921630742886</v>
      </c>
      <c r="BJ36" s="59">
        <f t="shared" si="38"/>
        <v>314.95763895978303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4.8859780169458524</v>
      </c>
      <c r="BQ36" s="21">
        <f>EXP(-LN(2)/25)*BQ35+(1-EXP(-LN(2)/25))/(LN(2)/25)*Calculateur!BL36*Calculateur!BN36*VLOOKUP('Données projet'!$B$11,Paramètres!$A$1:$I$89,3,0)*0.475*44/12</f>
        <v>1.2451527347153581</v>
      </c>
      <c r="BR36" s="21">
        <f>EXP(-LN(2)/2)*BR35+(1-EXP(-LN(2)/2))/(LN(2)/2)*BL36*BO36*VLOOKUP('Données projet'!$B$11,Paramètres!$A$1:$I$89,3,0)*0.475*44/12</f>
        <v>0.92789771616954664</v>
      </c>
      <c r="BS36" s="22">
        <f t="shared" si="9"/>
        <v>7.0590284678307569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7.2</v>
      </c>
      <c r="BY36" s="12">
        <f>IF('Données projet'!$A$114&gt;35,BY35+BX36-CG35,IF(A36&lt;'Données projet'!$A$114,$BV$205^A36,IF(A36='Données projet'!$A$114,'Données projet'!$B$114,BY35+BX36-CG35)))</f>
        <v>82.600000000000009</v>
      </c>
      <c r="BZ36" s="13">
        <f>BY36*VLOOKUP('Données projet'!$B$12,Paramètres!$A$1:$I$89,3,0)*VLOOKUP('Données projet'!$B$12,Paramètres!$A$1:$I$89,5,0)</f>
        <v>70.870800000000017</v>
      </c>
      <c r="CA36" s="13">
        <f t="shared" si="39"/>
        <v>19.88955205532633</v>
      </c>
      <c r="CB36" s="20">
        <f t="shared" si="10"/>
        <v>158.07427982969338</v>
      </c>
      <c r="CC36" s="59">
        <f t="shared" si="11"/>
        <v>451.40761316302667</v>
      </c>
      <c r="CD36" s="59">
        <f ca="1">AVERAGE(OFFSET($CC$3,0,0,'Données projet'!$E$12+1,1))-AVERAGE(OFFSET($H$3,0,0,'Données projet'!$E$12+1,1))</f>
        <v>204.6927427024138</v>
      </c>
      <c r="CE36" s="59">
        <f t="shared" si="40"/>
        <v>115.74231133146816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204.15575418077316</v>
      </c>
      <c r="CZ36" s="59">
        <f t="shared" si="42"/>
        <v>473.73726605265045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73.836130389966897</v>
      </c>
      <c r="DG36" s="21">
        <f>EXP(-LN(2)/25)*DG35+(1-EXP(-LN(2)/25))/(LN(2)/25)*Calculateur!DB36*Calculateur!DD36*VLOOKUP('Données projet'!$B$13,Paramètres!$A$1:$I$89,3,0)*0.475*44/12</f>
        <v>42.243905293924712</v>
      </c>
      <c r="DH36" s="21">
        <f>EXP(-LN(2)/2)*DH35+(1-EXP(-LN(2)/2))/(LN(2)/2)*DB36*DE36*VLOOKUP('Données projet'!$B$13,Paramètres!$A$1:$I$89,3,0)*0.475*44/12</f>
        <v>1.9043108758981555</v>
      </c>
      <c r="DI36" s="22">
        <f t="shared" si="15"/>
        <v>117.98434655978977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16.168749999999999</v>
      </c>
      <c r="N37" s="13">
        <f>IF('Données projet'!$A$36&gt;35,N36+M37-V36,IF(A37&lt;'Données projet'!$A$36,$K$205^A37,IF(A37='Données projet'!$A$36,'Données projet'!$B$36,N36+M37-V36)))</f>
        <v>293.14374999999995</v>
      </c>
      <c r="O37" s="13">
        <f>N37*VLOOKUP('Données projet'!$B$9,Paramètres!$A$1:$I$89,3,0)*VLOOKUP('Données projet'!$B$9,Paramètres!$A$1:$I$89,5,0)</f>
        <v>175.29996249999996</v>
      </c>
      <c r="P37" s="13">
        <f t="shared" si="33"/>
        <v>44.274909672854783</v>
      </c>
      <c r="Q37" s="20">
        <f t="shared" si="53"/>
        <v>382.4262357010553</v>
      </c>
      <c r="R37" s="59">
        <f t="shared" si="0"/>
        <v>675.75956903438862</v>
      </c>
      <c r="S37" s="59">
        <f ca="1">AVERAGE(OFFSET($R$3,0,0,'Données projet'!$E$9+1,1))-AVERAGE(OFFSET($H$3,0,0,'Données projet'!$E$9+1,1))</f>
        <v>216.83230520434313</v>
      </c>
      <c r="T37" s="59">
        <f t="shared" si="34"/>
        <v>275.41891707278205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14.743227106589368</v>
      </c>
      <c r="AA37" s="21">
        <f>EXP(-LN(2)/25)*AA36+(1-EXP(-LN(2)/25))/(LN(2)/25)*Calculateur!V37*Calculateur!X37*VLOOKUP('Données projet'!$B$9,Paramètres!$A$1:$I$89,3,0)*0.475*44/12</f>
        <v>6.9942797946313453</v>
      </c>
      <c r="AB37" s="21">
        <f>EXP(-LN(2)/2)*AB36+(1-EXP(-LN(2)/2))/(LN(2)/2)*V37*Y37*VLOOKUP('Données projet'!$B$9,Paramètres!$A$1:$I$89,3,0)*0.475*44/12</f>
        <v>0.67799854069796128</v>
      </c>
      <c r="AC37" s="22">
        <f t="shared" si="3"/>
        <v>22.415505441918672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109.51200000000001</v>
      </c>
      <c r="AK37" s="13">
        <f t="shared" si="35"/>
        <v>29.215978230632555</v>
      </c>
      <c r="AL37" s="20">
        <f t="shared" si="4"/>
        <v>241.61789541835174</v>
      </c>
      <c r="AM37" s="59">
        <f t="shared" si="5"/>
        <v>534.95122875168499</v>
      </c>
      <c r="AN37" s="59">
        <f ca="1">AVERAGE(OFFSET($AM$3,0,0,'Données projet'!$E$10+1,1))-AVERAGE(OFFSET($H$3,0,0,'Données projet'!$E$10+1,1))</f>
        <v>292.42154837691379</v>
      </c>
      <c r="AO37" s="59">
        <f t="shared" si="36"/>
        <v>193.18009444354601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</v>
      </c>
      <c r="BD37" s="12">
        <f>IF('Données projet'!$A$88&gt;35,BD36+BC37-BL36,IF(A37&lt;'Données projet'!$A$88,$BA$205^A37,IF(A37='Données projet'!$A$88,'Données projet'!$B$88,BD36+BC37-BL36)))</f>
        <v>181.99999999999994</v>
      </c>
      <c r="BE37" s="13">
        <f>BD37*VLOOKUP('Données projet'!$B$11,Paramètres!$A$1:$I$89,3,0)*VLOOKUP('Données projet'!$B$11,Paramètres!$A$1:$I$89,5,0)</f>
        <v>173.19119999999995</v>
      </c>
      <c r="BF37" s="13">
        <f t="shared" si="37"/>
        <v>43.803970782681198</v>
      </c>
      <c r="BG37" s="20">
        <f t="shared" si="7"/>
        <v>377.93325577983637</v>
      </c>
      <c r="BH37" s="59">
        <f t="shared" si="8"/>
        <v>671.26658911316963</v>
      </c>
      <c r="BI37" s="59">
        <f ca="1">AVERAGE(OFFSET($BH$3,0,0,'Données projet'!$E$11+1,1))-AVERAGE(OFFSET($H$3,0,0,'Données projet'!$E$11+1,1))</f>
        <v>339.00921630742886</v>
      </c>
      <c r="BJ37" s="59">
        <f t="shared" si="38"/>
        <v>314.95763895978303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4.7901669681858694</v>
      </c>
      <c r="BQ37" s="21">
        <f>EXP(-LN(2)/25)*BQ36+(1-EXP(-LN(2)/25))/(LN(2)/25)*Calculateur!BL37*Calculateur!BN37*VLOOKUP('Données projet'!$B$11,Paramètres!$A$1:$I$89,3,0)*0.475*44/12</f>
        <v>1.2111039677048301</v>
      </c>
      <c r="BR37" s="21">
        <f>EXP(-LN(2)/2)*BR36+(1-EXP(-LN(2)/2))/(LN(2)/2)*BL37*BO37*VLOOKUP('Données projet'!$B$11,Paramètres!$A$1:$I$89,3,0)*0.475*44/12</f>
        <v>0.65612276735099684</v>
      </c>
      <c r="BS37" s="22">
        <f t="shared" si="9"/>
        <v>6.6573937032416968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7.2</v>
      </c>
      <c r="BY37" s="12">
        <f>IF('Données projet'!$A$114&gt;35,BY36+BX37-CG36,IF(A37&lt;'Données projet'!$A$114,$BV$205^A37,IF(A37='Données projet'!$A$114,'Données projet'!$B$114,BY36+BX37-CG36)))</f>
        <v>89.800000000000011</v>
      </c>
      <c r="BZ37" s="13">
        <f>BY37*VLOOKUP('Données projet'!$B$12,Paramètres!$A$1:$I$89,3,0)*VLOOKUP('Données projet'!$B$12,Paramètres!$A$1:$I$89,5,0)</f>
        <v>77.048400000000015</v>
      </c>
      <c r="CA37" s="13">
        <f t="shared" si="39"/>
        <v>21.413931223592172</v>
      </c>
      <c r="CB37" s="20">
        <f t="shared" si="10"/>
        <v>171.48856021442305</v>
      </c>
      <c r="CC37" s="59">
        <f t="shared" si="11"/>
        <v>464.82189354775636</v>
      </c>
      <c r="CD37" s="59">
        <f ca="1">AVERAGE(OFFSET($CC$3,0,0,'Données projet'!$E$12+1,1))-AVERAGE(OFFSET($H$3,0,0,'Données projet'!$E$12+1,1))</f>
        <v>204.6927427024138</v>
      </c>
      <c r="CE37" s="59">
        <f t="shared" si="40"/>
        <v>115.74231133146816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204.15575418077316</v>
      </c>
      <c r="CZ37" s="59">
        <f t="shared" si="42"/>
        <v>473.73726605265045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72.388248908612283</v>
      </c>
      <c r="DG37" s="21">
        <f>EXP(-LN(2)/25)*DG36+(1-EXP(-LN(2)/25))/(LN(2)/25)*Calculateur!DB37*Calculateur!DD37*VLOOKUP('Données projet'!$B$13,Paramètres!$A$1:$I$89,3,0)*0.475*44/12</f>
        <v>41.088743482151912</v>
      </c>
      <c r="DH37" s="21">
        <f>EXP(-LN(2)/2)*DH36+(1-EXP(-LN(2)/2))/(LN(2)/2)*DB37*DE37*VLOOKUP('Données projet'!$B$13,Paramètres!$A$1:$I$89,3,0)*0.475*44/12</f>
        <v>1.3465511338348799</v>
      </c>
      <c r="DI37" s="22">
        <f t="shared" si="15"/>
        <v>114.82354352459907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16.168749999999999</v>
      </c>
      <c r="N38" s="13">
        <f>IF('Données projet'!$A$36&gt;35,N37+M38-V37,IF(A38&lt;'Données projet'!$A$36,$K$205^A38,IF(A38='Données projet'!$A$36,'Données projet'!$B$36,N37+M38-V37)))</f>
        <v>309.31249999999994</v>
      </c>
      <c r="O38" s="13">
        <f>N38*VLOOKUP('Données projet'!$B$9,Paramètres!$A$1:$I$89,3,0)*VLOOKUP('Données projet'!$B$9,Paramètres!$A$1:$I$89,5,0)</f>
        <v>184.96887499999997</v>
      </c>
      <c r="P38" s="13">
        <f t="shared" si="33"/>
        <v>46.425911218592262</v>
      </c>
      <c r="Q38" s="20">
        <f t="shared" si="53"/>
        <v>403.01258599738139</v>
      </c>
      <c r="R38" s="59">
        <f t="shared" si="0"/>
        <v>696.34591933071465</v>
      </c>
      <c r="S38" s="59">
        <f ca="1">AVERAGE(OFFSET($R$3,0,0,'Données projet'!$E$9+1,1))-AVERAGE(OFFSET($H$3,0,0,'Données projet'!$E$9+1,1))</f>
        <v>216.83230520434313</v>
      </c>
      <c r="T38" s="59">
        <f t="shared" si="34"/>
        <v>275.41891707278205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14.454121415509752</v>
      </c>
      <c r="AA38" s="21">
        <f>EXP(-LN(2)/25)*AA37+(1-EXP(-LN(2)/25))/(LN(2)/25)*Calculateur!V38*Calculateur!X38*VLOOKUP('Données projet'!$B$9,Paramètres!$A$1:$I$89,3,0)*0.475*44/12</f>
        <v>6.803020845833962</v>
      </c>
      <c r="AB38" s="21">
        <f>EXP(-LN(2)/2)*AB37+(1-EXP(-LN(2)/2))/(LN(2)/2)*V38*Y38*VLOOKUP('Données projet'!$B$9,Paramètres!$A$1:$I$89,3,0)*0.475*44/12</f>
        <v>0.47941736576211186</v>
      </c>
      <c r="AC38" s="22">
        <f t="shared" si="3"/>
        <v>21.736559627105823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117.62400000000001</v>
      </c>
      <c r="AK38" s="13">
        <f t="shared" si="35"/>
        <v>31.120192961985413</v>
      </c>
      <c r="AL38" s="20">
        <f t="shared" si="4"/>
        <v>259.06280274212457</v>
      </c>
      <c r="AM38" s="59">
        <f t="shared" si="5"/>
        <v>552.39613607545789</v>
      </c>
      <c r="AN38" s="59">
        <f ca="1">AVERAGE(OFFSET($AM$3,0,0,'Données projet'!$E$10+1,1))-AVERAGE(OFFSET($H$3,0,0,'Données projet'!$E$10+1,1))</f>
        <v>292.42154837691379</v>
      </c>
      <c r="AO38" s="59">
        <f t="shared" si="36"/>
        <v>193.18009444354601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0.17200000000000001</v>
      </c>
      <c r="AS38" s="16">
        <f>IF(ISNA(VLOOKUP(A38,'Données projet'!$A$61:$I$81,6,0)),0%,VLOOKUP(A38,'Données projet'!$A$61:$I$81,6,0)*VLOOKUP('Données projet'!$B$10,Paramètres!$A$1:$I$89,7,0))</f>
        <v>3.44E-2</v>
      </c>
      <c r="AT38" s="16">
        <f>IF(ISNA(VLOOKUP(A38,'Données projet'!$A$61:$I$81,7,0)),0%,VLOOKUP(A38,'Données projet'!$A$61:$I$81,7,0))</f>
        <v>0.12</v>
      </c>
      <c r="AU38" s="21">
        <f>EXP(-LN(2)/35)*AU37+(1-EXP(-LN(2)/35))/(LN(2)/35)*AQ38*AR38*VLOOKUP('Données projet'!$B$10,Paramètres!$A$1:$I$89,3,0)*0.475*44/12</f>
        <v>4.0488604370252395</v>
      </c>
      <c r="AV38" s="21">
        <f>EXP(-LN(2)/25)*AV37+(1-EXP(-LN(2)/25))/(LN(2)/25)*Calculateur!AQ38*Calculateur!AS38*VLOOKUP('Données projet'!$B$10,Paramètres!$A$1:$I$89,3,0)*0.475*44/12</f>
        <v>0.80658370614957897</v>
      </c>
      <c r="AW38" s="21">
        <f>EXP(-LN(2)/2)*AW37+(1-EXP(-LN(2)/2))/(LN(2)/2)*AQ38*AT38*VLOOKUP('Données projet'!$B$10,Paramètres!$A$1:$I$89,3,0)*0.475*44/12</f>
        <v>2.4109754543528568</v>
      </c>
      <c r="AX38" s="21">
        <f t="shared" si="6"/>
        <v>7.2664195975276744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192</v>
      </c>
      <c r="BB38" s="12">
        <f>VLOOKUP(A38,'Données projet'!$A$87:$I$107,9,0)</f>
        <v>10</v>
      </c>
      <c r="BC38" s="12">
        <f t="array" ref="BC38">INDEX(BB:BB,MIN(IF(ISNUMBER(BB38:BB234),ROW(BB38:BB234),"")))</f>
        <v>10</v>
      </c>
      <c r="BD38" s="12">
        <f>IF('Données projet'!$A$88&gt;35,BD37+BC38-BL37,IF(A38&lt;'Données projet'!$A$88,$BA$205^A38,IF(A38='Données projet'!$A$88,'Données projet'!$B$88,BD37+BC38-BL37)))</f>
        <v>191.99999999999994</v>
      </c>
      <c r="BE38" s="13">
        <f>BD38*VLOOKUP('Données projet'!$B$11,Paramètres!$A$1:$I$89,3,0)*VLOOKUP('Données projet'!$B$11,Paramètres!$A$1:$I$89,5,0)</f>
        <v>182.70719999999994</v>
      </c>
      <c r="BF38" s="13">
        <f t="shared" si="37"/>
        <v>45.923964004932436</v>
      </c>
      <c r="BG38" s="20">
        <f t="shared" si="7"/>
        <v>398.19927730859052</v>
      </c>
      <c r="BH38" s="59">
        <f t="shared" si="8"/>
        <v>691.53261064192384</v>
      </c>
      <c r="BI38" s="59">
        <f ca="1">AVERAGE(OFFSET($BH$3,0,0,'Données projet'!$E$11+1,1))-AVERAGE(OFFSET($H$3,0,0,'Données projet'!$E$11+1,1))</f>
        <v>339.00921630742886</v>
      </c>
      <c r="BJ38" s="59">
        <f t="shared" si="38"/>
        <v>314.95763895978303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22</v>
      </c>
      <c r="BM38" s="16">
        <f>IF(ISNA(VLOOKUP(A38,'Données projet'!$A$87:$I$107,5,0)),0%,VLOOKUP(A38,'Données projet'!$A$87:$I$107,5,0)*VLOOKUP('Données projet'!$B$11,Paramètres!$A$1:$I$89,7,0))</f>
        <v>0.17200000000000001</v>
      </c>
      <c r="BN38" s="16">
        <f>IF(ISNA(VLOOKUP(A38,'Données projet'!$A$87:$I$107,6,0)),0%,VLOOKUP(A38,'Données projet'!$A$87:$I$107,6,0)*VLOOKUP('Données projet'!$B$11,Paramètres!$A$1:$I$89,7,0))</f>
        <v>2.58E-2</v>
      </c>
      <c r="BO38" s="16">
        <f>IF(ISNA(VLOOKUP(A38,'Données projet'!$A$87:$I$107,7,0)),0%,VLOOKUP(A38,'Données projet'!$A$87:$I$107,7,0))</f>
        <v>0.14000000000000001</v>
      </c>
      <c r="BP38" s="21">
        <f>EXP(-LN(2)/35)*BP37+(1-EXP(-LN(2)/35))/(LN(2)/35)*BL38*BM38*VLOOKUP('Données projet'!$B$11,Paramètres!$A$1:$I$89,3,0)*0.475*44/12</f>
        <v>8.6768725958639941</v>
      </c>
      <c r="BQ38" s="21">
        <f>EXP(-LN(2)/25)*BQ37+(1-EXP(-LN(2)/25))/(LN(2)/25)*Calculateur!BL38*Calculateur!BN38*VLOOKUP('Données projet'!$B$11,Paramètres!$A$1:$I$89,3,0)*0.475*44/12</f>
        <v>1.7727309548389361</v>
      </c>
      <c r="BR38" s="21">
        <f>EXP(-LN(2)/2)*BR37+(1-EXP(-LN(2)/2))/(LN(2)/2)*BL38*BO38*VLOOKUP('Données projet'!$B$11,Paramètres!$A$1:$I$89,3,0)*0.475*44/12</f>
        <v>3.2293583108553143</v>
      </c>
      <c r="BS38" s="22">
        <f t="shared" si="9"/>
        <v>13.678961861558244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97</v>
      </c>
      <c r="BW38" s="12">
        <f>VLOOKUP(A38,'Données projet'!$A$113:$I$133,9,0)</f>
        <v>7.2</v>
      </c>
      <c r="BX38" s="12">
        <f t="array" ref="BX38">INDEX(BW:BW,MIN(IF(ISNUMBER(BW38:BW234),ROW(BW38:BW234),"")))</f>
        <v>7.2</v>
      </c>
      <c r="BY38" s="12">
        <f>IF('Données projet'!$A$114&gt;35,BY37+BX38-CG37,IF(A38&lt;'Données projet'!$A$114,$BV$205^A38,IF(A38='Données projet'!$A$114,'Données projet'!$B$114,BY37+BX38-CG37)))</f>
        <v>97.000000000000014</v>
      </c>
      <c r="BZ38" s="13">
        <f>BY38*VLOOKUP('Données projet'!$B$12,Paramètres!$A$1:$I$89,3,0)*VLOOKUP('Données projet'!$B$12,Paramètres!$A$1:$I$89,5,0)</f>
        <v>83.226000000000028</v>
      </c>
      <c r="CA38" s="13">
        <f t="shared" si="39"/>
        <v>22.924133915866854</v>
      </c>
      <c r="CB38" s="20">
        <f t="shared" si="10"/>
        <v>184.87814990346817</v>
      </c>
      <c r="CC38" s="59">
        <f t="shared" si="11"/>
        <v>478.21148323680148</v>
      </c>
      <c r="CD38" s="59">
        <f ca="1">AVERAGE(OFFSET($CC$3,0,0,'Données projet'!$E$12+1,1))-AVERAGE(OFFSET($H$3,0,0,'Données projet'!$E$12+1,1))</f>
        <v>204.6927427024138</v>
      </c>
      <c r="CE38" s="59">
        <f t="shared" si="40"/>
        <v>115.74231133146816</v>
      </c>
      <c r="CF38" s="15">
        <f>IF(ISNA(VLOOKUP(A38,'Données projet'!$A$113:$I$133,3,0)),0,VLOOKUP(A38,'Données projet'!$A$113:$I$133,3,0))</f>
        <v>2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204.15575418077316</v>
      </c>
      <c r="CZ38" s="59">
        <f t="shared" si="42"/>
        <v>473.73726605265045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70.968759499986533</v>
      </c>
      <c r="DG38" s="21">
        <f>EXP(-LN(2)/25)*DG37+(1-EXP(-LN(2)/25))/(LN(2)/25)*Calculateur!DB38*Calculateur!DD38*VLOOKUP('Données projet'!$B$13,Paramètres!$A$1:$I$89,3,0)*0.475*44/12</f>
        <v>39.965169630869354</v>
      </c>
      <c r="DH38" s="21">
        <f>EXP(-LN(2)/2)*DH37+(1-EXP(-LN(2)/2))/(LN(2)/2)*DB38*DE38*VLOOKUP('Données projet'!$B$13,Paramètres!$A$1:$I$89,3,0)*0.475*44/12</f>
        <v>0.95215543794907798</v>
      </c>
      <c r="DI38" s="22">
        <f t="shared" si="15"/>
        <v>111.88608456880496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16.168749999999999</v>
      </c>
      <c r="N39" s="13">
        <f>IF('Données projet'!$A$36&gt;35,N38+M39-V38,IF(A39&lt;'Données projet'!$A$36,$K$205^A39,IF(A39='Données projet'!$A$36,'Données projet'!$B$36,N38+M39-V38)))</f>
        <v>325.48124999999993</v>
      </c>
      <c r="O39" s="13">
        <f>N39*VLOOKUP('Données projet'!$B$9,Paramètres!$A$1:$I$89,3,0)*VLOOKUP('Données projet'!$B$9,Paramètres!$A$1:$I$89,5,0)</f>
        <v>194.63778749999997</v>
      </c>
      <c r="P39" s="13">
        <f t="shared" si="33"/>
        <v>48.563858243329136</v>
      </c>
      <c r="Q39" s="20">
        <f t="shared" si="53"/>
        <v>423.57619966963148</v>
      </c>
      <c r="R39" s="59">
        <f t="shared" si="0"/>
        <v>716.90953300296474</v>
      </c>
      <c r="S39" s="59">
        <f ca="1">AVERAGE(OFFSET($R$3,0,0,'Données projet'!$E$9+1,1))-AVERAGE(OFFSET($H$3,0,0,'Données projet'!$E$9+1,1))</f>
        <v>216.83230520434313</v>
      </c>
      <c r="T39" s="59">
        <f t="shared" si="34"/>
        <v>275.41891707278205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14.170684910695147</v>
      </c>
      <c r="AA39" s="21">
        <f>EXP(-LN(2)/25)*AA38+(1-EXP(-LN(2)/25))/(LN(2)/25)*Calculateur!V39*Calculateur!X39*VLOOKUP('Données projet'!$B$9,Paramètres!$A$1:$I$89,3,0)*0.475*44/12</f>
        <v>6.6169918830493142</v>
      </c>
      <c r="AB39" s="21">
        <f>EXP(-LN(2)/2)*AB38+(1-EXP(-LN(2)/2))/(LN(2)/2)*V39*Y39*VLOOKUP('Données projet'!$B$9,Paramètres!$A$1:$I$89,3,0)*0.475*44/12</f>
        <v>0.3389992703489807</v>
      </c>
      <c r="AC39" s="22">
        <f t="shared" si="3"/>
        <v>21.126676064093441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104.84760000000001</v>
      </c>
      <c r="AK39" s="13">
        <f t="shared" si="35"/>
        <v>28.113670466115643</v>
      </c>
      <c r="AL39" s="20">
        <f t="shared" si="4"/>
        <v>231.57421272848475</v>
      </c>
      <c r="AM39" s="59">
        <f t="shared" si="5"/>
        <v>524.90754606181804</v>
      </c>
      <c r="AN39" s="59">
        <f ca="1">AVERAGE(OFFSET($AM$3,0,0,'Données projet'!$E$10+1,1))-AVERAGE(OFFSET($H$3,0,0,'Données projet'!$E$10+1,1))</f>
        <v>292.42154837691379</v>
      </c>
      <c r="AO39" s="59">
        <f t="shared" si="36"/>
        <v>193.18009444354601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3.969464753416192</v>
      </c>
      <c r="AV39" s="21">
        <f>EXP(-LN(2)/25)*AV38+(1-EXP(-LN(2)/25))/(LN(2)/25)*Calculateur!AQ39*Calculateur!AS39*VLOOKUP('Données projet'!$B$10,Paramètres!$A$1:$I$89,3,0)*0.475*44/12</f>
        <v>0.78452763228852507</v>
      </c>
      <c r="AW39" s="21">
        <f>EXP(-LN(2)/2)*AW38+(1-EXP(-LN(2)/2))/(LN(2)/2)*AQ39*AT39*VLOOKUP('Données projet'!$B$10,Paramètres!$A$1:$I$89,3,0)*0.475*44/12</f>
        <v>1.7048170930472226</v>
      </c>
      <c r="AX39" s="21">
        <f t="shared" si="6"/>
        <v>6.4588094787519399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9.1999999999999993</v>
      </c>
      <c r="BD39" s="12">
        <f>IF('Données projet'!$A$88&gt;35,BD38+BC39-BL38,IF(A39&lt;'Données projet'!$A$88,$BA$205^A39,IF(A39='Données projet'!$A$88,'Données projet'!$B$88,BD38+BC39-BL38)))</f>
        <v>179.19999999999993</v>
      </c>
      <c r="BE39" s="13">
        <f>BD39*VLOOKUP('Données projet'!$B$11,Paramètres!$A$1:$I$89,3,0)*VLOOKUP('Données projet'!$B$11,Paramètres!$A$1:$I$89,5,0)</f>
        <v>170.52671999999993</v>
      </c>
      <c r="BF39" s="13">
        <f t="shared" si="37"/>
        <v>43.207970095682747</v>
      </c>
      <c r="BG39" s="20">
        <f t="shared" si="7"/>
        <v>372.25458524998066</v>
      </c>
      <c r="BH39" s="59">
        <f t="shared" si="8"/>
        <v>665.58791858331392</v>
      </c>
      <c r="BI39" s="59">
        <f ca="1">AVERAGE(OFFSET($BH$3,0,0,'Données projet'!$E$11+1,1))-AVERAGE(OFFSET($H$3,0,0,'Données projet'!$E$11+1,1))</f>
        <v>339.00921630742886</v>
      </c>
      <c r="BJ39" s="59">
        <f t="shared" si="38"/>
        <v>314.95763895978303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8.5067244166288063</v>
      </c>
      <c r="BQ39" s="21">
        <f>EXP(-LN(2)/25)*BQ38+(1-EXP(-LN(2)/25))/(LN(2)/25)*Calculateur!BL39*Calculateur!BN39*VLOOKUP('Données projet'!$B$11,Paramètres!$A$1:$I$89,3,0)*0.475*44/12</f>
        <v>1.7242555336549961</v>
      </c>
      <c r="BR39" s="21">
        <f>EXP(-LN(2)/2)*BR38+(1-EXP(-LN(2)/2))/(LN(2)/2)*BL39*BO39*VLOOKUP('Données projet'!$B$11,Paramètres!$A$1:$I$89,3,0)*0.475*44/12</f>
        <v>2.2835011604869275</v>
      </c>
      <c r="BS39" s="22">
        <f t="shared" si="9"/>
        <v>12.514481110770731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7.8</v>
      </c>
      <c r="BY39" s="12">
        <f>IF('Données projet'!$A$114&gt;35,BY38+BX39-CG38,IF(A39&lt;'Données projet'!$A$114,$BV$205^A39,IF(A39='Données projet'!$A$114,'Données projet'!$B$114,BY38+BX39-CG38)))</f>
        <v>83.800000000000011</v>
      </c>
      <c r="BZ39" s="13">
        <f>BY39*VLOOKUP('Données projet'!$B$12,Paramètres!$A$1:$I$89,3,0)*VLOOKUP('Données projet'!$B$12,Paramètres!$A$1:$I$89,5,0)</f>
        <v>71.900400000000019</v>
      </c>
      <c r="CA39" s="13">
        <f t="shared" si="39"/>
        <v>20.144655615547983</v>
      </c>
      <c r="CB39" s="20">
        <f t="shared" si="10"/>
        <v>160.31180519707939</v>
      </c>
      <c r="CC39" s="59">
        <f t="shared" si="11"/>
        <v>453.64513853041274</v>
      </c>
      <c r="CD39" s="59">
        <f ca="1">AVERAGE(OFFSET($CC$3,0,0,'Données projet'!$E$12+1,1))-AVERAGE(OFFSET($H$3,0,0,'Données projet'!$E$12+1,1))</f>
        <v>204.6927427024138</v>
      </c>
      <c r="CE39" s="59">
        <f t="shared" si="40"/>
        <v>115.74231133146816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204.15575418077316</v>
      </c>
      <c r="CZ39" s="59">
        <f t="shared" si="42"/>
        <v>473.73726605265045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69.577105412860888</v>
      </c>
      <c r="DG39" s="21">
        <f>EXP(-LN(2)/25)*DG38+(1-EXP(-LN(2)/25))/(LN(2)/25)*Calculateur!DB39*Calculateur!DD39*VLOOKUP('Données projet'!$B$13,Paramètres!$A$1:$I$89,3,0)*0.475*44/12</f>
        <v>38.872319965636301</v>
      </c>
      <c r="DH39" s="21">
        <f>EXP(-LN(2)/2)*DH38+(1-EXP(-LN(2)/2))/(LN(2)/2)*DB39*DE39*VLOOKUP('Données projet'!$B$13,Paramètres!$A$1:$I$89,3,0)*0.475*44/12</f>
        <v>0.67327556691744006</v>
      </c>
      <c r="DI39" s="22">
        <f t="shared" si="15"/>
        <v>109.12270094541462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16.168749999999999</v>
      </c>
      <c r="N40" s="13">
        <f>IF('Données projet'!$A$36&gt;35,N39+M40-V39,IF(A40&lt;'Données projet'!$A$36,$K$205^A40,IF(A40='Données projet'!$A$36,'Données projet'!$B$36,N39+M40-V39)))</f>
        <v>341.64999999999992</v>
      </c>
      <c r="O40" s="13">
        <f>N40*VLOOKUP('Données projet'!$B$9,Paramètres!$A$1:$I$89,3,0)*VLOOKUP('Données projet'!$B$9,Paramètres!$A$1:$I$89,5,0)</f>
        <v>204.30669999999995</v>
      </c>
      <c r="P40" s="13">
        <f t="shared" si="33"/>
        <v>50.689473254250892</v>
      </c>
      <c r="Q40" s="20">
        <f t="shared" si="53"/>
        <v>444.11833508448689</v>
      </c>
      <c r="R40" s="59">
        <f t="shared" si="0"/>
        <v>737.4516684178202</v>
      </c>
      <c r="S40" s="59">
        <f ca="1">AVERAGE(OFFSET($R$3,0,0,'Données projet'!$E$9+1,1))-AVERAGE(OFFSET($H$3,0,0,'Données projet'!$E$9+1,1))</f>
        <v>216.83230520434313</v>
      </c>
      <c r="T40" s="59">
        <f t="shared" si="34"/>
        <v>275.41891707278205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13.89280642286076</v>
      </c>
      <c r="AA40" s="21">
        <f>EXP(-LN(2)/25)*AA39+(1-EXP(-LN(2)/25))/(LN(2)/25)*Calculateur!V40*Calculateur!X40*VLOOKUP('Données projet'!$B$9,Paramètres!$A$1:$I$89,3,0)*0.475*44/12</f>
        <v>6.436049892034851</v>
      </c>
      <c r="AB40" s="21">
        <f>EXP(-LN(2)/2)*AB39+(1-EXP(-LN(2)/2))/(LN(2)/2)*V40*Y40*VLOOKUP('Données projet'!$B$9,Paramètres!$A$1:$I$89,3,0)*0.475*44/12</f>
        <v>0.23970868288105598</v>
      </c>
      <c r="AC40" s="22">
        <f t="shared" si="3"/>
        <v>20.568564997776665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113.36520000000003</v>
      </c>
      <c r="AK40" s="13">
        <f t="shared" si="35"/>
        <v>30.122456058687614</v>
      </c>
      <c r="AL40" s="20">
        <f t="shared" si="4"/>
        <v>249.9076676355476</v>
      </c>
      <c r="AM40" s="59">
        <f t="shared" si="5"/>
        <v>543.24100096888094</v>
      </c>
      <c r="AN40" s="59">
        <f ca="1">AVERAGE(OFFSET($AM$3,0,0,'Données projet'!$E$10+1,1))-AVERAGE(OFFSET($H$3,0,0,'Données projet'!$E$10+1,1))</f>
        <v>292.42154837691379</v>
      </c>
      <c r="AO40" s="59">
        <f t="shared" si="36"/>
        <v>193.18009444354601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3.8916259707361327</v>
      </c>
      <c r="AV40" s="21">
        <f>EXP(-LN(2)/25)*AV39+(1-EXP(-LN(2)/25))/(LN(2)/25)*Calculateur!AQ40*Calculateur!AS40*VLOOKUP('Données projet'!$B$10,Paramètres!$A$1:$I$89,3,0)*0.475*44/12</f>
        <v>0.76307468292708025</v>
      </c>
      <c r="AW40" s="21">
        <f>EXP(-LN(2)/2)*AW39+(1-EXP(-LN(2)/2))/(LN(2)/2)*AQ40*AT40*VLOOKUP('Données projet'!$B$10,Paramètres!$A$1:$I$89,3,0)*0.475*44/12</f>
        <v>1.2054877271764286</v>
      </c>
      <c r="AX40" s="21">
        <f t="shared" si="6"/>
        <v>5.8601883808396416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9.1999999999999993</v>
      </c>
      <c r="BD40" s="12">
        <f>IF('Données projet'!$A$88&gt;35,BD39+BC40-BL39,IF(A40&lt;'Données projet'!$A$88,$BA$205^A40,IF(A40='Données projet'!$A$88,'Données projet'!$B$88,BD39+BC40-BL39)))</f>
        <v>188.39999999999992</v>
      </c>
      <c r="BE40" s="13">
        <f>BD40*VLOOKUP('Données projet'!$B$11,Paramètres!$A$1:$I$89,3,0)*VLOOKUP('Données projet'!$B$11,Paramètres!$A$1:$I$89,5,0)</f>
        <v>179.28143999999992</v>
      </c>
      <c r="BF40" s="13">
        <f t="shared" si="37"/>
        <v>45.162282607497268</v>
      </c>
      <c r="BG40" s="20">
        <f t="shared" si="7"/>
        <v>390.90615020805762</v>
      </c>
      <c r="BH40" s="59">
        <f t="shared" si="8"/>
        <v>684.23948354139088</v>
      </c>
      <c r="BI40" s="59">
        <f ca="1">AVERAGE(OFFSET($BH$3,0,0,'Données projet'!$E$11+1,1))-AVERAGE(OFFSET($H$3,0,0,'Données projet'!$E$11+1,1))</f>
        <v>339.00921630742886</v>
      </c>
      <c r="BJ40" s="59">
        <f t="shared" si="38"/>
        <v>314.95763895978303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8.3399127394082786</v>
      </c>
      <c r="BQ40" s="21">
        <f>EXP(-LN(2)/25)*BQ39+(1-EXP(-LN(2)/25))/(LN(2)/25)*Calculateur!BL40*Calculateur!BN40*VLOOKUP('Données projet'!$B$11,Paramètres!$A$1:$I$89,3,0)*0.475*44/12</f>
        <v>1.6771056754125426</v>
      </c>
      <c r="BR40" s="21">
        <f>EXP(-LN(2)/2)*BR39+(1-EXP(-LN(2)/2))/(LN(2)/2)*BL40*BO40*VLOOKUP('Données projet'!$B$11,Paramètres!$A$1:$I$89,3,0)*0.475*44/12</f>
        <v>1.6146791554276574</v>
      </c>
      <c r="BS40" s="22">
        <f t="shared" si="9"/>
        <v>11.631697570248479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7.8</v>
      </c>
      <c r="BY40" s="12">
        <f>IF('Données projet'!$A$114&gt;35,BY39+BX40-CG39,IF(A40&lt;'Données projet'!$A$114,$BV$205^A40,IF(A40='Données projet'!$A$114,'Données projet'!$B$114,BY39+BX40-CG39)))</f>
        <v>91.600000000000009</v>
      </c>
      <c r="BZ40" s="13">
        <f>BY40*VLOOKUP('Données projet'!$B$12,Paramètres!$A$1:$I$89,3,0)*VLOOKUP('Données projet'!$B$12,Paramètres!$A$1:$I$89,5,0)</f>
        <v>78.592800000000011</v>
      </c>
      <c r="CA40" s="13">
        <f t="shared" si="39"/>
        <v>21.792761850487381</v>
      </c>
      <c r="CB40" s="20">
        <f t="shared" si="10"/>
        <v>174.83818688959886</v>
      </c>
      <c r="CC40" s="59">
        <f t="shared" si="11"/>
        <v>468.17152022293214</v>
      </c>
      <c r="CD40" s="59">
        <f ca="1">AVERAGE(OFFSET($CC$3,0,0,'Données projet'!$E$12+1,1))-AVERAGE(OFFSET($H$3,0,0,'Données projet'!$E$12+1,1))</f>
        <v>204.6927427024138</v>
      </c>
      <c r="CE40" s="59">
        <f t="shared" si="40"/>
        <v>115.74231133146816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204.15575418077316</v>
      </c>
      <c r="CZ40" s="59">
        <f t="shared" si="42"/>
        <v>473.73726605265045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68.212740813558597</v>
      </c>
      <c r="DG40" s="21">
        <f>EXP(-LN(2)/25)*DG39+(1-EXP(-LN(2)/25))/(LN(2)/25)*Calculateur!DB40*Calculateur!DD40*VLOOKUP('Données projet'!$B$13,Paramètres!$A$1:$I$89,3,0)*0.475*44/12</f>
        <v>37.809354331969516</v>
      </c>
      <c r="DH40" s="21">
        <f>EXP(-LN(2)/2)*DH39+(1-EXP(-LN(2)/2))/(LN(2)/2)*DB40*DE40*VLOOKUP('Données projet'!$B$13,Paramètres!$A$1:$I$89,3,0)*0.475*44/12</f>
        <v>0.47607771897453904</v>
      </c>
      <c r="DI40" s="22">
        <f t="shared" si="15"/>
        <v>106.49817286450265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16.168749999999999</v>
      </c>
      <c r="N41" s="13">
        <f>IF('Données projet'!$A$36&gt;35,N40+M41-V40,IF(A41&lt;'Données projet'!$A$36,$K$205^A41,IF(A41='Données projet'!$A$36,'Données projet'!$B$36,N40+M41-V40)))</f>
        <v>357.81874999999991</v>
      </c>
      <c r="O41" s="13">
        <f>N41*VLOOKUP('Données projet'!$B$9,Paramètres!$A$1:$I$89,3,0)*VLOOKUP('Données projet'!$B$9,Paramètres!$A$1:$I$89,5,0)</f>
        <v>213.97561249999995</v>
      </c>
      <c r="P41" s="13">
        <f t="shared" si="33"/>
        <v>52.803406508182739</v>
      </c>
      <c r="Q41" s="20">
        <f t="shared" si="53"/>
        <v>464.64012477258478</v>
      </c>
      <c r="R41" s="59">
        <f t="shared" si="0"/>
        <v>757.9734581059181</v>
      </c>
      <c r="S41" s="59">
        <f ca="1">AVERAGE(OFFSET($R$3,0,0,'Données projet'!$E$9+1,1))-AVERAGE(OFFSET($H$3,0,0,'Données projet'!$E$9+1,1))</f>
        <v>216.83230520434313</v>
      </c>
      <c r="T41" s="59">
        <f t="shared" si="34"/>
        <v>275.41891707278205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13.620376962683663</v>
      </c>
      <c r="AA41" s="21">
        <f>EXP(-LN(2)/25)*AA40+(1-EXP(-LN(2)/25))/(LN(2)/25)*Calculateur!V41*Calculateur!X41*VLOOKUP('Données projet'!$B$9,Paramètres!$A$1:$I$89,3,0)*0.475*44/12</f>
        <v>6.2600557692800036</v>
      </c>
      <c r="AB41" s="21">
        <f>EXP(-LN(2)/2)*AB40+(1-EXP(-LN(2)/2))/(LN(2)/2)*V41*Y41*VLOOKUP('Données projet'!$B$9,Paramètres!$A$1:$I$89,3,0)*0.475*44/12</f>
        <v>0.16949963517449038</v>
      </c>
      <c r="AC41" s="22">
        <f t="shared" si="3"/>
        <v>20.049932367138155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121.88280000000002</v>
      </c>
      <c r="AK41" s="13">
        <f t="shared" si="35"/>
        <v>32.113732800054677</v>
      </c>
      <c r="AL41" s="20">
        <f t="shared" si="4"/>
        <v>268.21062796009522</v>
      </c>
      <c r="AM41" s="59">
        <f t="shared" si="5"/>
        <v>561.54396129342854</v>
      </c>
      <c r="AN41" s="59">
        <f ca="1">AVERAGE(OFFSET($AM$3,0,0,'Données projet'!$E$10+1,1))-AVERAGE(OFFSET($H$3,0,0,'Données projet'!$E$10+1,1))</f>
        <v>292.42154837691379</v>
      </c>
      <c r="AO41" s="59">
        <f t="shared" si="36"/>
        <v>193.18009444354601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3.8153135591074601</v>
      </c>
      <c r="AV41" s="21">
        <f>EXP(-LN(2)/25)*AV40+(1-EXP(-LN(2)/25))/(LN(2)/25)*Calculateur!AQ41*Calculateur!AS41*VLOOKUP('Données projet'!$B$10,Paramètres!$A$1:$I$89,3,0)*0.475*44/12</f>
        <v>0.74220836559408565</v>
      </c>
      <c r="AW41" s="21">
        <f>EXP(-LN(2)/2)*AW40+(1-EXP(-LN(2)/2))/(LN(2)/2)*AQ41*AT41*VLOOKUP('Données projet'!$B$10,Paramètres!$A$1:$I$89,3,0)*0.475*44/12</f>
        <v>0.85240854652361142</v>
      </c>
      <c r="AX41" s="21">
        <f t="shared" si="6"/>
        <v>5.4099304712251577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9.1999999999999993</v>
      </c>
      <c r="BD41" s="12">
        <f>IF('Données projet'!$A$88&gt;35,BD40+BC41-BL40,IF(A41&lt;'Données projet'!$A$88,$BA$205^A41,IF(A41='Données projet'!$A$88,'Données projet'!$B$88,BD40+BC41-BL40)))</f>
        <v>197.59999999999991</v>
      </c>
      <c r="BE41" s="13">
        <f>BD41*VLOOKUP('Données projet'!$B$11,Paramètres!$A$1:$I$89,3,0)*VLOOKUP('Données projet'!$B$11,Paramètres!$A$1:$I$89,5,0)</f>
        <v>188.03615999999991</v>
      </c>
      <c r="BF41" s="13">
        <f t="shared" si="37"/>
        <v>47.105513518601285</v>
      </c>
      <c r="BG41" s="20">
        <f t="shared" si="7"/>
        <v>409.53841471156375</v>
      </c>
      <c r="BH41" s="59">
        <f t="shared" si="8"/>
        <v>702.871748044897</v>
      </c>
      <c r="BI41" s="59">
        <f ca="1">AVERAGE(OFFSET($BH$3,0,0,'Données projet'!$E$11+1,1))-AVERAGE(OFFSET($H$3,0,0,'Données projet'!$E$11+1,1))</f>
        <v>339.00921630742886</v>
      </c>
      <c r="BJ41" s="59">
        <f t="shared" si="38"/>
        <v>314.95763895978303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8.1763721374329688</v>
      </c>
      <c r="BQ41" s="21">
        <f>EXP(-LN(2)/25)*BQ40+(1-EXP(-LN(2)/25))/(LN(2)/25)*Calculateur!BL41*Calculateur!BN41*VLOOKUP('Données projet'!$B$11,Paramètres!$A$1:$I$89,3,0)*0.475*44/12</f>
        <v>1.6312451325232322</v>
      </c>
      <c r="BR41" s="21">
        <f>EXP(-LN(2)/2)*BR40+(1-EXP(-LN(2)/2))/(LN(2)/2)*BL41*BO41*VLOOKUP('Données projet'!$B$11,Paramètres!$A$1:$I$89,3,0)*0.475*44/12</f>
        <v>1.141750580243464</v>
      </c>
      <c r="BS41" s="22">
        <f t="shared" si="9"/>
        <v>10.949367850199664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7.8</v>
      </c>
      <c r="BY41" s="12">
        <f>IF('Données projet'!$A$114&gt;35,BY40+BX41-CG40,IF(A41&lt;'Données projet'!$A$114,$BV$205^A41,IF(A41='Données projet'!$A$114,'Données projet'!$B$114,BY40+BX41-CG40)))</f>
        <v>99.4</v>
      </c>
      <c r="BZ41" s="13">
        <f>BY41*VLOOKUP('Données projet'!$B$12,Paramètres!$A$1:$I$89,3,0)*VLOOKUP('Données projet'!$B$12,Paramètres!$A$1:$I$89,5,0)</f>
        <v>85.285200000000017</v>
      </c>
      <c r="CA41" s="13">
        <f t="shared" si="39"/>
        <v>23.424592345455938</v>
      </c>
      <c r="CB41" s="20">
        <f t="shared" si="10"/>
        <v>189.33622166833575</v>
      </c>
      <c r="CC41" s="59">
        <f t="shared" si="11"/>
        <v>482.6695550016691</v>
      </c>
      <c r="CD41" s="59">
        <f ca="1">AVERAGE(OFFSET($CC$3,0,0,'Données projet'!$E$12+1,1))-AVERAGE(OFFSET($H$3,0,0,'Données projet'!$E$12+1,1))</f>
        <v>204.6927427024138</v>
      </c>
      <c r="CE41" s="59">
        <f t="shared" si="40"/>
        <v>115.74231133146816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204.15575418077316</v>
      </c>
      <c r="CZ41" s="59">
        <f t="shared" si="42"/>
        <v>473.73726605265045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66.875130571868397</v>
      </c>
      <c r="DG41" s="21">
        <f>EXP(-LN(2)/25)*DG40+(1-EXP(-LN(2)/25))/(LN(2)/25)*Calculateur!DB41*Calculateur!DD41*VLOOKUP('Données projet'!$B$13,Paramètres!$A$1:$I$89,3,0)*0.475*44/12</f>
        <v>36.775455549454279</v>
      </c>
      <c r="DH41" s="21">
        <f>EXP(-LN(2)/2)*DH40+(1-EXP(-LN(2)/2))/(LN(2)/2)*DB41*DE41*VLOOKUP('Données projet'!$B$13,Paramètres!$A$1:$I$89,3,0)*0.475*44/12</f>
        <v>0.33663778345872009</v>
      </c>
      <c r="DI41" s="22">
        <f t="shared" si="15"/>
        <v>103.9872239047814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16.168749999999999</v>
      </c>
      <c r="N42" s="13">
        <f>IF('Données projet'!$A$36&gt;35,N41+M42-V41,IF(A42&lt;'Données projet'!$A$36,$K$205^A42,IF(A42='Données projet'!$A$36,'Données projet'!$B$36,N41+M42-V41)))</f>
        <v>373.9874999999999</v>
      </c>
      <c r="O42" s="13">
        <f>N42*VLOOKUP('Données projet'!$B$9,Paramètres!$A$1:$I$89,3,0)*VLOOKUP('Données projet'!$B$9,Paramètres!$A$1:$I$89,5,0)</f>
        <v>223.64452499999996</v>
      </c>
      <c r="P42" s="13">
        <f t="shared" si="33"/>
        <v>54.906246173648462</v>
      </c>
      <c r="Q42" s="20">
        <f t="shared" si="53"/>
        <v>485.14259312743758</v>
      </c>
      <c r="R42" s="59">
        <f t="shared" si="0"/>
        <v>778.47592646077089</v>
      </c>
      <c r="S42" s="59">
        <f ca="1">AVERAGE(OFFSET($R$3,0,0,'Données projet'!$E$9+1,1))-AVERAGE(OFFSET($H$3,0,0,'Données projet'!$E$9+1,1))</f>
        <v>216.83230520434313</v>
      </c>
      <c r="T42" s="59">
        <f t="shared" si="34"/>
        <v>275.41891707278205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13.353289678055075</v>
      </c>
      <c r="AA42" s="21">
        <f>EXP(-LN(2)/25)*AA41+(1-EXP(-LN(2)/25))/(LN(2)/25)*Calculateur!V42*Calculateur!X42*VLOOKUP('Données projet'!$B$9,Paramètres!$A$1:$I$89,3,0)*0.475*44/12</f>
        <v>6.0888742150670163</v>
      </c>
      <c r="AB42" s="21">
        <f>EXP(-LN(2)/2)*AB41+(1-EXP(-LN(2)/2))/(LN(2)/2)*V42*Y42*VLOOKUP('Données projet'!$B$9,Paramètres!$A$1:$I$89,3,0)*0.475*44/12</f>
        <v>0.11985434144052801</v>
      </c>
      <c r="AC42" s="22">
        <f t="shared" si="3"/>
        <v>19.562018234562622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579.8188005094587</v>
      </c>
      <c r="AN42" s="59">
        <f ca="1">AVERAGE(OFFSET($AM$3,0,0,'Données projet'!$E$10+1,1))-AVERAGE(OFFSET($H$3,0,0,'Données projet'!$E$10+1,1))</f>
        <v>292.42154837691379</v>
      </c>
      <c r="AO42" s="59">
        <f t="shared" si="36"/>
        <v>193.18009444354601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3.7404975873248505</v>
      </c>
      <c r="AV42" s="21">
        <f>EXP(-LN(2)/25)*AV41+(1-EXP(-LN(2)/25))/(LN(2)/25)*Calculateur!AQ42*Calculateur!AS42*VLOOKUP('Données projet'!$B$10,Paramètres!$A$1:$I$89,3,0)*0.475*44/12</f>
        <v>0.72191263880587375</v>
      </c>
      <c r="AW42" s="21">
        <f>EXP(-LN(2)/2)*AW41+(1-EXP(-LN(2)/2))/(LN(2)/2)*AQ42*AT42*VLOOKUP('Données projet'!$B$10,Paramètres!$A$1:$I$89,3,0)*0.475*44/12</f>
        <v>0.60274386358821441</v>
      </c>
      <c r="AX42" s="21">
        <f t="shared" si="6"/>
        <v>5.0651540897189387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9.1999999999999993</v>
      </c>
      <c r="BD42" s="12">
        <f>IF('Données projet'!$A$88&gt;35,BD41+BC42-BL41,IF(A42&lt;'Données projet'!$A$88,$BA$205^A42,IF(A42='Données projet'!$A$88,'Données projet'!$B$88,BD41+BC42-BL41)))</f>
        <v>206.7999999999999</v>
      </c>
      <c r="BE42" s="13">
        <f>BD42*VLOOKUP('Données projet'!$B$11,Paramètres!$A$1:$I$89,3,0)*VLOOKUP('Données projet'!$B$11,Paramètres!$A$1:$I$89,5,0)</f>
        <v>196.7908799999999</v>
      </c>
      <c r="BF42" s="13">
        <f t="shared" si="37"/>
        <v>49.038237696621778</v>
      </c>
      <c r="BG42" s="20">
        <f t="shared" si="7"/>
        <v>428.15237998828275</v>
      </c>
      <c r="BH42" s="59">
        <f t="shared" si="8"/>
        <v>721.485713321616</v>
      </c>
      <c r="BI42" s="59">
        <f ca="1">AVERAGE(OFFSET($BH$3,0,0,'Données projet'!$E$11+1,1))-AVERAGE(OFFSET($H$3,0,0,'Données projet'!$E$11+1,1))</f>
        <v>339.00921630742886</v>
      </c>
      <c r="BJ42" s="59">
        <f t="shared" si="38"/>
        <v>314.95763895978303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8.0160384669124767</v>
      </c>
      <c r="BQ42" s="21">
        <f>EXP(-LN(2)/25)*BQ41+(1-EXP(-LN(2)/25))/(LN(2)/25)*Calculateur!BL42*Calculateur!BN42*VLOOKUP('Données projet'!$B$11,Paramètres!$A$1:$I$89,3,0)*0.475*44/12</f>
        <v>1.5866386485909312</v>
      </c>
      <c r="BR42" s="21">
        <f>EXP(-LN(2)/2)*BR41+(1-EXP(-LN(2)/2))/(LN(2)/2)*BL42*BO42*VLOOKUP('Données projet'!$B$11,Paramètres!$A$1:$I$89,3,0)*0.475*44/12</f>
        <v>0.8073395777138288</v>
      </c>
      <c r="BS42" s="22">
        <f t="shared" si="9"/>
        <v>10.410016693217237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7.8</v>
      </c>
      <c r="BY42" s="12">
        <f>IF('Données projet'!$A$114&gt;35,BY41+BX42-CG41,IF(A42&lt;'Données projet'!$A$114,$BV$205^A42,IF(A42='Données projet'!$A$114,'Données projet'!$B$114,BY41+BX42-CG41)))</f>
        <v>107.2</v>
      </c>
      <c r="BZ42" s="13">
        <f>BY42*VLOOKUP('Données projet'!$B$12,Paramètres!$A$1:$I$89,3,0)*VLOOKUP('Données projet'!$B$12,Paramètres!$A$1:$I$89,5,0)</f>
        <v>91.97760000000001</v>
      </c>
      <c r="CA42" s="13">
        <f t="shared" si="39"/>
        <v>25.041569477819937</v>
      </c>
      <c r="CB42" s="20">
        <f t="shared" si="10"/>
        <v>203.8083868405364</v>
      </c>
      <c r="CC42" s="59">
        <f t="shared" si="11"/>
        <v>497.14172017386971</v>
      </c>
      <c r="CD42" s="59">
        <f ca="1">AVERAGE(OFFSET($CC$3,0,0,'Données projet'!$E$12+1,1))-AVERAGE(OFFSET($H$3,0,0,'Données projet'!$E$12+1,1))</f>
        <v>204.6927427024138</v>
      </c>
      <c r="CE42" s="59">
        <f t="shared" si="40"/>
        <v>115.74231133146816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204.15575418077316</v>
      </c>
      <c r="CZ42" s="59">
        <f t="shared" si="42"/>
        <v>473.73726605265045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65.563750051156049</v>
      </c>
      <c r="DG42" s="21">
        <f>EXP(-LN(2)/25)*DG41+(1-EXP(-LN(2)/25))/(LN(2)/25)*Calculateur!DB42*Calculateur!DD42*VLOOKUP('Données projet'!$B$13,Paramètres!$A$1:$I$89,3,0)*0.475*44/12</f>
        <v>35.769828783517298</v>
      </c>
      <c r="DH42" s="21">
        <f>EXP(-LN(2)/2)*DH41+(1-EXP(-LN(2)/2))/(LN(2)/2)*DB42*DE42*VLOOKUP('Données projet'!$B$13,Paramètres!$A$1:$I$89,3,0)*0.475*44/12</f>
        <v>0.23803885948726958</v>
      </c>
      <c r="DI42" s="22">
        <f t="shared" si="15"/>
        <v>101.57161769416062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16.168749999999999</v>
      </c>
      <c r="N43" s="13">
        <f>IF('Données projet'!$A$36&gt;35,N42+M43-V42,IF(A43&lt;'Données projet'!$A$36,$K$205^A43,IF(A43='Données projet'!$A$36,'Données projet'!$B$36,N42+M43-V42)))</f>
        <v>390.15624999999989</v>
      </c>
      <c r="O43" s="13">
        <f>N43*VLOOKUP('Données projet'!$B$9,Paramètres!$A$1:$I$89,3,0)*VLOOKUP('Données projet'!$B$9,Paramètres!$A$1:$I$89,5,0)</f>
        <v>233.31343749999994</v>
      </c>
      <c r="P43" s="13">
        <f t="shared" si="33"/>
        <v>56.998526685991052</v>
      </c>
      <c r="Q43" s="20">
        <f t="shared" si="53"/>
        <v>505.62667095726755</v>
      </c>
      <c r="R43" s="59">
        <f t="shared" si="0"/>
        <v>798.96000429060086</v>
      </c>
      <c r="S43" s="59">
        <f ca="1">AVERAGE(OFFSET($R$3,0,0,'Données projet'!$E$9+1,1))-AVERAGE(OFFSET($H$3,0,0,'Données projet'!$E$9+1,1))</f>
        <v>216.83230520434313</v>
      </c>
      <c r="T43" s="59">
        <f t="shared" si="34"/>
        <v>275.41891707278205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13.091439812170897</v>
      </c>
      <c r="AA43" s="21">
        <f>EXP(-LN(2)/25)*AA42+(1-EXP(-LN(2)/25))/(LN(2)/25)*Calculateur!V43*Calculateur!X43*VLOOKUP('Données projet'!$B$9,Paramètres!$A$1:$I$89,3,0)*0.475*44/12</f>
        <v>5.9223736294560299</v>
      </c>
      <c r="AB43" s="21">
        <f>EXP(-LN(2)/2)*AB42+(1-EXP(-LN(2)/2))/(LN(2)/2)*V43*Y43*VLOOKUP('Données projet'!$B$9,Paramètres!$A$1:$I$89,3,0)*0.475*44/12</f>
        <v>8.4749817587245202E-2</v>
      </c>
      <c r="AC43" s="22">
        <f t="shared" si="3"/>
        <v>19.098563259214171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138.91800000000003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598.06756449035208</v>
      </c>
      <c r="AN43" s="59">
        <f ca="1">AVERAGE(OFFSET($AM$3,0,0,'Données projet'!$E$10+1,1))-AVERAGE(OFFSET($H$3,0,0,'Données projet'!$E$10+1,1))</f>
        <v>292.42154837691379</v>
      </c>
      <c r="AO43" s="59">
        <f t="shared" si="36"/>
        <v>193.18009444354601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0.17200000000000001</v>
      </c>
      <c r="AS43" s="16">
        <f>IF(ISNA(VLOOKUP(A43,'Données projet'!$A$61:$I$81,6,0)),0%,VLOOKUP(A43,'Données projet'!$A$61:$I$81,6,0)*VLOOKUP('Données projet'!$B$10,Paramètres!$A$1:$I$89,7,0))</f>
        <v>3.44E-2</v>
      </c>
      <c r="AT43" s="16">
        <f>IF(ISNA(VLOOKUP(A43,'Données projet'!$A$61:$I$81,7,0)),0%,VLOOKUP(A43,'Données projet'!$A$61:$I$81,7,0))</f>
        <v>0.12</v>
      </c>
      <c r="AU43" s="21">
        <f>EXP(-LN(2)/35)*AU42+(1-EXP(-LN(2)/35))/(LN(2)/35)*AQ43*AR43*VLOOKUP('Données projet'!$B$10,Paramètres!$A$1:$I$89,3,0)*0.475*44/12</f>
        <v>7.7160091481409001</v>
      </c>
      <c r="AV43" s="21">
        <f>EXP(-LN(2)/25)*AV42+(1-EXP(-LN(2)/25))/(LN(2)/25)*Calculateur!AQ43*Calculateur!AS43*VLOOKUP('Données projet'!$B$10,Paramètres!$A$1:$I$89,3,0)*0.475*44/12</f>
        <v>1.5087556058835703</v>
      </c>
      <c r="AW43" s="21">
        <f>EXP(-LN(2)/2)*AW42+(1-EXP(-LN(2)/2))/(LN(2)/2)*AQ43*AT43*VLOOKUP('Données projet'!$B$10,Paramètres!$A$1:$I$89,3,0)*0.475*44/12</f>
        <v>2.8371797276146626</v>
      </c>
      <c r="AX43" s="21">
        <f t="shared" si="6"/>
        <v>12.061944481639133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216</v>
      </c>
      <c r="BB43" s="12">
        <f>VLOOKUP(A43,'Données projet'!$A$87:$I$107,9,0)</f>
        <v>9.1999999999999993</v>
      </c>
      <c r="BC43" s="12">
        <f t="array" ref="BC43">INDEX(BB:BB,MIN(IF(ISNUMBER(BB43:BB239),ROW(BB43:BB239),"")))</f>
        <v>9.1999999999999993</v>
      </c>
      <c r="BD43" s="12">
        <f>IF('Données projet'!$A$88&gt;35,BD42+BC43-BL42,IF(A43&lt;'Données projet'!$A$88,$BA$205^A43,IF(A43='Données projet'!$A$88,'Données projet'!$B$88,BD42+BC43-BL42)))</f>
        <v>215.99999999999989</v>
      </c>
      <c r="BE43" s="13">
        <f>BD43*VLOOKUP('Données projet'!$B$11,Paramètres!$A$1:$I$89,3,0)*VLOOKUP('Données projet'!$B$11,Paramètres!$A$1:$I$89,5,0)</f>
        <v>205.54559999999989</v>
      </c>
      <c r="BF43" s="13">
        <f t="shared" si="37"/>
        <v>50.960975968608096</v>
      </c>
      <c r="BG43" s="20">
        <f t="shared" si="7"/>
        <v>446.74895314532552</v>
      </c>
      <c r="BH43" s="59">
        <f t="shared" si="8"/>
        <v>740.08228647865883</v>
      </c>
      <c r="BI43" s="59">
        <f ca="1">AVERAGE(OFFSET($BH$3,0,0,'Données projet'!$E$11+1,1))-AVERAGE(OFFSET($H$3,0,0,'Données projet'!$E$11+1,1))</f>
        <v>339.00921630742886</v>
      </c>
      <c r="BJ43" s="59">
        <f t="shared" si="38"/>
        <v>314.95763895978303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23</v>
      </c>
      <c r="BM43" s="16">
        <f>IF(ISNA(VLOOKUP(A43,'Données projet'!$A$87:$I$107,5,0)),0%,VLOOKUP(A43,'Données projet'!$A$87:$I$107,5,0)*VLOOKUP('Données projet'!$B$11,Paramètres!$A$1:$I$89,7,0))</f>
        <v>0.17200000000000001</v>
      </c>
      <c r="BN43" s="16">
        <f>IF(ISNA(VLOOKUP(A43,'Données projet'!$A$87:$I$107,6,0)),0%,VLOOKUP(A43,'Données projet'!$A$87:$I$107,6,0)*VLOOKUP('Données projet'!$B$11,Paramètres!$A$1:$I$89,7,0))</f>
        <v>2.58E-2</v>
      </c>
      <c r="BO43" s="16">
        <f>IF(ISNA(VLOOKUP(A43,'Données projet'!$A$87:$I$107,7,0)),0%,VLOOKUP(A43,'Données projet'!$A$87:$I$107,7,0))</f>
        <v>0.14000000000000001</v>
      </c>
      <c r="BP43" s="21">
        <f>EXP(-LN(2)/35)*BP42+(1-EXP(-LN(2)/35))/(LN(2)/35)*BL43*BM43*VLOOKUP('Données projet'!$B$11,Paramètres!$A$1:$I$89,3,0)*0.475*44/12</f>
        <v>12.020424807552034</v>
      </c>
      <c r="BQ43" s="21">
        <f>EXP(-LN(2)/25)*BQ42+(1-EXP(-LN(2)/25))/(LN(2)/25)*Calculateur!BL43*Calculateur!BN43*VLOOKUP('Données projet'!$B$11,Paramètres!$A$1:$I$89,3,0)*0.475*44/12</f>
        <v>2.1650304696195226</v>
      </c>
      <c r="BR43" s="21">
        <f>EXP(-LN(2)/2)*BR42+(1-EXP(-LN(2)/2))/(LN(2)/2)*BL43*BO43*VLOOKUP('Données projet'!$B$11,Paramètres!$A$1:$I$89,3,0)*0.475*44/12</f>
        <v>3.4619851725636615</v>
      </c>
      <c r="BS43" s="22">
        <f t="shared" si="9"/>
        <v>17.647440449735218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115</v>
      </c>
      <c r="BW43" s="12">
        <f>VLOOKUP(A43,'Données projet'!$A$113:$I$133,9,0)</f>
        <v>7.8</v>
      </c>
      <c r="BX43" s="12">
        <f t="array" ref="BX43">INDEX(BW:BW,MIN(IF(ISNUMBER(BW43:BW239),ROW(BW43:BW239),"")))</f>
        <v>7.8</v>
      </c>
      <c r="BY43" s="12">
        <f>IF('Données projet'!$A$114&gt;35,BY42+BX43-CG42,IF(A43&lt;'Données projet'!$A$114,$BV$205^A43,IF(A43='Données projet'!$A$114,'Données projet'!$B$114,BY42+BX43-CG42)))</f>
        <v>115</v>
      </c>
      <c r="BZ43" s="13">
        <f>BY43*VLOOKUP('Données projet'!$B$12,Paramètres!$A$1:$I$89,3,0)*VLOOKUP('Données projet'!$B$12,Paramètres!$A$1:$I$89,5,0)</f>
        <v>98.670000000000016</v>
      </c>
      <c r="CA43" s="13">
        <f t="shared" si="39"/>
        <v>26.644896901954091</v>
      </c>
      <c r="CB43" s="20">
        <f t="shared" si="10"/>
        <v>218.25677877090342</v>
      </c>
      <c r="CC43" s="59">
        <f t="shared" si="11"/>
        <v>511.59011210423671</v>
      </c>
      <c r="CD43" s="59">
        <f ca="1">AVERAGE(OFFSET($CC$3,0,0,'Données projet'!$E$12+1,1))-AVERAGE(OFFSET($H$3,0,0,'Données projet'!$E$12+1,1))</f>
        <v>204.6927427024138</v>
      </c>
      <c r="CE43" s="59">
        <f t="shared" si="40"/>
        <v>115.74231133146816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0.159</v>
      </c>
      <c r="CI43" s="16">
        <f>IF(ISNA(VLOOKUP(A43,'Données projet'!$A$113:$I$133,6,0)),0%,VLOOKUP(A43,'Données projet'!$A$113:$I$133,6,0)*VLOOKUP('Données projet'!$B$12,Paramètres!$A$1:$I$89,7,0))</f>
        <v>4.24E-2</v>
      </c>
      <c r="CJ43" s="16">
        <f>IF(ISNA(VLOOKUP(A43,'Données projet'!$A$113:$I$133,7,0)),0%,VLOOKUP(A43,'Données projet'!$A$113:$I$133,7,0))</f>
        <v>0.12</v>
      </c>
      <c r="CK43" s="21">
        <f>EXP(-LN(2)/35)*CK42+(1-EXP(-LN(2)/35))/(LN(2)/35)*CG43*CH43*VLOOKUP('Données projet'!$B$12,Paramètres!$A$1:$I$89,3,0)*0.475*44/12</f>
        <v>3.1670200824495267</v>
      </c>
      <c r="CL43" s="21">
        <f>EXP(-LN(2)/25)*CL42+(1-EXP(-LN(2)/25))/(LN(2)/25)*Calculateur!CG43*Calculateur!CI43*VLOOKUP('Données projet'!$B$12,Paramètres!$A$1:$I$89,3,0)*0.475*44/12</f>
        <v>0.84121341804151084</v>
      </c>
      <c r="CM43" s="21">
        <f>EXP(-LN(2)/2)*CM42+(1-EXP(-LN(2)/2))/(LN(2)/2)*CG43*CJ43*VLOOKUP('Données projet'!$B$12,Paramètres!$A$1:$I$89,3,0)*0.475*44/12</f>
        <v>2.0400561536831865</v>
      </c>
      <c r="CN43" s="22">
        <f t="shared" si="12"/>
        <v>6.0482896541742246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204.15575418077316</v>
      </c>
      <c r="CZ43" s="59">
        <f t="shared" si="42"/>
        <v>473.73726605265045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64.278084902591729</v>
      </c>
      <c r="DG43" s="21">
        <f>EXP(-LN(2)/25)*DG42+(1-EXP(-LN(2)/25))/(LN(2)/25)*Calculateur!DB43*Calculateur!DD43*VLOOKUP('Données projet'!$B$13,Paramètres!$A$1:$I$89,3,0)*0.475*44/12</f>
        <v>34.791700934378476</v>
      </c>
      <c r="DH43" s="21">
        <f>EXP(-LN(2)/2)*DH42+(1-EXP(-LN(2)/2))/(LN(2)/2)*DB43*DE43*VLOOKUP('Données projet'!$B$13,Paramètres!$A$1:$I$89,3,0)*0.475*44/12</f>
        <v>0.16831889172936007</v>
      </c>
      <c r="DI43" s="22">
        <f t="shared" si="15"/>
        <v>99.238104728699554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16.168749999999999</v>
      </c>
      <c r="N44" s="13">
        <f>IF('Données projet'!$A$36&gt;35,N43+M44-V43,IF(A44&lt;'Données projet'!$A$36,$K$205^A44,IF(A44='Données projet'!$A$36,'Données projet'!$B$36,N43+M44-V43)))</f>
        <v>406.32499999999987</v>
      </c>
      <c r="O44" s="13">
        <f>N44*VLOOKUP('Données projet'!$B$9,Paramètres!$A$1:$I$89,3,0)*VLOOKUP('Données projet'!$B$9,Paramètres!$A$1:$I$89,5,0)</f>
        <v>242.98234999999994</v>
      </c>
      <c r="P44" s="13">
        <f t="shared" si="33"/>
        <v>59.08073567846936</v>
      </c>
      <c r="Q44" s="20">
        <f t="shared" si="53"/>
        <v>526.09320755666738</v>
      </c>
      <c r="R44" s="59">
        <f t="shared" si="0"/>
        <v>819.42654089000075</v>
      </c>
      <c r="S44" s="59">
        <f ca="1">AVERAGE(OFFSET($R$3,0,0,'Données projet'!$E$9+1,1))-AVERAGE(OFFSET($H$3,0,0,'Données projet'!$E$9+1,1))</f>
        <v>216.83230520434313</v>
      </c>
      <c r="T44" s="59">
        <f t="shared" si="34"/>
        <v>275.41891707278205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12.834724662444058</v>
      </c>
      <c r="AA44" s="21">
        <f>EXP(-LN(2)/25)*AA43+(1-EXP(-LN(2)/25))/(LN(2)/25)*Calculateur!V44*Calculateur!X44*VLOOKUP('Données projet'!$B$9,Paramètres!$A$1:$I$89,3,0)*0.475*44/12</f>
        <v>5.7604260111144612</v>
      </c>
      <c r="AB44" s="21">
        <f>EXP(-LN(2)/2)*AB43+(1-EXP(-LN(2)/2))/(LN(2)/2)*V44*Y44*VLOOKUP('Données projet'!$B$9,Paramètres!$A$1:$I$89,3,0)*0.475*44/12</f>
        <v>5.9927170720264017E-2</v>
      </c>
      <c r="AC44" s="22">
        <f t="shared" si="3"/>
        <v>18.655077844278786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126.14160000000005</v>
      </c>
      <c r="AK44" s="13">
        <f t="shared" si="35"/>
        <v>33.10323903126482</v>
      </c>
      <c r="AL44" s="20">
        <f t="shared" si="4"/>
        <v>277.35142797945298</v>
      </c>
      <c r="AM44" s="59">
        <f t="shared" si="5"/>
        <v>570.68476131278635</v>
      </c>
      <c r="AN44" s="59">
        <f ca="1">AVERAGE(OFFSET($AM$3,0,0,'Données projet'!$E$10+1,1))-AVERAGE(OFFSET($H$3,0,0,'Données projet'!$E$10+1,1))</f>
        <v>292.42154837691379</v>
      </c>
      <c r="AO44" s="59">
        <f t="shared" si="36"/>
        <v>193.18009444354601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7.5647029150467286</v>
      </c>
      <c r="AV44" s="21">
        <f>EXP(-LN(2)/25)*AV43+(1-EXP(-LN(2)/25))/(LN(2)/25)*Calculateur!AQ44*Calculateur!AS44*VLOOKUP('Données projet'!$B$10,Paramètres!$A$1:$I$89,3,0)*0.475*44/12</f>
        <v>1.4674986044986751</v>
      </c>
      <c r="AW44" s="21">
        <f>EXP(-LN(2)/2)*AW43+(1-EXP(-LN(2)/2))/(LN(2)/2)*AQ44*AT44*VLOOKUP('Données projet'!$B$10,Paramètres!$A$1:$I$89,3,0)*0.475*44/12</f>
        <v>2.0061890248413299</v>
      </c>
      <c r="AX44" s="21">
        <f t="shared" si="6"/>
        <v>11.038390544386733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</v>
      </c>
      <c r="BD44" s="12">
        <f>IF('Données projet'!$A$88&gt;35,BD43+BC44-BL43,IF(A44&lt;'Données projet'!$A$88,$BA$205^A44,IF(A44='Données projet'!$A$88,'Données projet'!$B$88,BD43+BC44-BL43)))</f>
        <v>201.99999999999989</v>
      </c>
      <c r="BE44" s="13">
        <f>BD44*VLOOKUP('Données projet'!$B$11,Paramètres!$A$1:$I$89,3,0)*VLOOKUP('Données projet'!$B$11,Paramètres!$A$1:$I$89,5,0)</f>
        <v>192.22319999999991</v>
      </c>
      <c r="BF44" s="13">
        <f t="shared" si="37"/>
        <v>48.031137529960169</v>
      </c>
      <c r="BG44" s="20">
        <f t="shared" si="7"/>
        <v>418.44297119801377</v>
      </c>
      <c r="BH44" s="59">
        <f t="shared" si="8"/>
        <v>711.77630453134702</v>
      </c>
      <c r="BI44" s="59">
        <f ca="1">AVERAGE(OFFSET($BH$3,0,0,'Données projet'!$E$11+1,1))-AVERAGE(OFFSET($H$3,0,0,'Données projet'!$E$11+1,1))</f>
        <v>339.00921630742886</v>
      </c>
      <c r="BJ44" s="59">
        <f t="shared" si="38"/>
        <v>314.95763895978303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11.784711608811122</v>
      </c>
      <c r="BQ44" s="21">
        <f>EXP(-LN(2)/25)*BQ43+(1-EXP(-LN(2)/25))/(LN(2)/25)*Calculateur!BL44*Calculateur!BN44*VLOOKUP('Données projet'!$B$11,Paramètres!$A$1:$I$89,3,0)*0.475*44/12</f>
        <v>2.1058275975737728</v>
      </c>
      <c r="BR44" s="21">
        <f>EXP(-LN(2)/2)*BR43+(1-EXP(-LN(2)/2))/(LN(2)/2)*BL44*BO44*VLOOKUP('Données projet'!$B$11,Paramètres!$A$1:$I$89,3,0)*0.475*44/12</f>
        <v>2.4479931918870452</v>
      </c>
      <c r="BS44" s="22">
        <f t="shared" si="9"/>
        <v>16.338532398271941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</v>
      </c>
      <c r="BY44" s="12">
        <f>IF('Données projet'!$A$114&gt;35,BY43+BX44-CG43,IF(A44&lt;'Données projet'!$A$114,$BV$205^A44,IF(A44='Données projet'!$A$114,'Données projet'!$B$114,BY43+BX44-CG43)))</f>
        <v>102</v>
      </c>
      <c r="BZ44" s="13">
        <f>BY44*VLOOKUP('Données projet'!$B$12,Paramètres!$A$1:$I$89,3,0)*VLOOKUP('Données projet'!$B$12,Paramètres!$A$1:$I$89,5,0)</f>
        <v>87.516000000000005</v>
      </c>
      <c r="CA44" s="13">
        <f t="shared" si="39"/>
        <v>23.965171662037644</v>
      </c>
      <c r="CB44" s="20">
        <f t="shared" si="10"/>
        <v>194.16304064471558</v>
      </c>
      <c r="CC44" s="59">
        <f t="shared" si="11"/>
        <v>487.49637397804889</v>
      </c>
      <c r="CD44" s="59">
        <f ca="1">AVERAGE(OFFSET($CC$3,0,0,'Données projet'!$E$12+1,1))-AVERAGE(OFFSET($H$3,0,0,'Données projet'!$E$12+1,1))</f>
        <v>204.6927427024138</v>
      </c>
      <c r="CE44" s="59">
        <f t="shared" si="40"/>
        <v>115.74231133146816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3.104916750324203</v>
      </c>
      <c r="CL44" s="21">
        <f>EXP(-LN(2)/25)*CL43+(1-EXP(-LN(2)/25))/(LN(2)/25)*Calculateur!CG44*Calculateur!CI44*VLOOKUP('Données projet'!$B$12,Paramètres!$A$1:$I$89,3,0)*0.475*44/12</f>
        <v>0.81821039288767472</v>
      </c>
      <c r="CM44" s="21">
        <f>EXP(-LN(2)/2)*CM43+(1-EXP(-LN(2)/2))/(LN(2)/2)*CG44*CJ44*VLOOKUP('Données projet'!$B$12,Paramètres!$A$1:$I$89,3,0)*0.475*44/12</f>
        <v>1.4425375402707268</v>
      </c>
      <c r="CN44" s="22">
        <f t="shared" si="12"/>
        <v>5.3656646834826045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204.15575418077316</v>
      </c>
      <c r="CZ44" s="59">
        <f t="shared" si="42"/>
        <v>473.73726605265045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63.01763086341245</v>
      </c>
      <c r="DG44" s="21">
        <f>EXP(-LN(2)/25)*DG43+(1-EXP(-LN(2)/25))/(LN(2)/25)*Calculateur!DB44*Calculateur!DD44*VLOOKUP('Données projet'!$B$13,Paramètres!$A$1:$I$89,3,0)*0.475*44/12</f>
        <v>33.840320042711859</v>
      </c>
      <c r="DH44" s="21">
        <f>EXP(-LN(2)/2)*DH43+(1-EXP(-LN(2)/2))/(LN(2)/2)*DB44*DE44*VLOOKUP('Données projet'!$B$13,Paramètres!$A$1:$I$89,3,0)*0.475*44/12</f>
        <v>0.1190194297436348</v>
      </c>
      <c r="DI44" s="22">
        <f t="shared" si="15"/>
        <v>96.976970335867932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16.168749999999999</v>
      </c>
      <c r="N45" s="13">
        <f>IF('Données projet'!$A$36&gt;35,N44+M45-V44,IF(A45&lt;'Données projet'!$A$36,$K$205^A45,IF(A45='Données projet'!$A$36,'Données projet'!$B$36,N44+M45-V44)))</f>
        <v>422.49374999999986</v>
      </c>
      <c r="O45" s="13">
        <f>N45*VLOOKUP('Données projet'!$B$9,Paramètres!$A$1:$I$89,3,0)*VLOOKUP('Données projet'!$B$9,Paramètres!$A$1:$I$89,5,0)</f>
        <v>252.65126249999994</v>
      </c>
      <c r="P45" s="13">
        <f t="shared" si="33"/>
        <v>61.153319779077407</v>
      </c>
      <c r="Q45" s="20">
        <f t="shared" si="53"/>
        <v>546.54298080272645</v>
      </c>
      <c r="R45" s="59">
        <f t="shared" si="0"/>
        <v>839.87631413605982</v>
      </c>
      <c r="S45" s="59">
        <f ca="1">AVERAGE(OFFSET($R$3,0,0,'Données projet'!$E$9+1,1))-AVERAGE(OFFSET($H$3,0,0,'Données projet'!$E$9+1,1))</f>
        <v>216.83230520434313</v>
      </c>
      <c r="T45" s="59">
        <f t="shared" si="34"/>
        <v>275.41891707278205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12.583043540222583</v>
      </c>
      <c r="AA45" s="21">
        <f>EXP(-LN(2)/25)*AA44+(1-EXP(-LN(2)/25))/(LN(2)/25)*Calculateur!V45*Calculateur!X45*VLOOKUP('Données projet'!$B$9,Paramètres!$A$1:$I$89,3,0)*0.475*44/12</f>
        <v>5.6029068589128981</v>
      </c>
      <c r="AB45" s="21">
        <f>EXP(-LN(2)/2)*AB44+(1-EXP(-LN(2)/2))/(LN(2)/2)*V45*Y45*VLOOKUP('Données projet'!$B$9,Paramètres!$A$1:$I$89,3,0)*0.475*44/12</f>
        <v>4.2374908793622608E-2</v>
      </c>
      <c r="AC45" s="22">
        <f t="shared" si="3"/>
        <v>18.228325307929104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134.65920000000006</v>
      </c>
      <c r="AK45" s="13">
        <f t="shared" si="35"/>
        <v>35.07074737441733</v>
      </c>
      <c r="AL45" s="20">
        <f t="shared" si="4"/>
        <v>295.61299167711024</v>
      </c>
      <c r="AM45" s="59">
        <f t="shared" si="5"/>
        <v>588.94632501044362</v>
      </c>
      <c r="AN45" s="59">
        <f ca="1">AVERAGE(OFFSET($AM$3,0,0,'Données projet'!$E$10+1,1))-AVERAGE(OFFSET($H$3,0,0,'Données projet'!$E$10+1,1))</f>
        <v>292.42154837691379</v>
      </c>
      <c r="AO45" s="59">
        <f t="shared" si="36"/>
        <v>193.18009444354601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7.4163637048958444</v>
      </c>
      <c r="AV45" s="21">
        <f>EXP(-LN(2)/25)*AV44+(1-EXP(-LN(2)/25))/(LN(2)/25)*Calculateur!AQ45*Calculateur!AS45*VLOOKUP('Données projet'!$B$10,Paramètres!$A$1:$I$89,3,0)*0.475*44/12</f>
        <v>1.4273697779862613</v>
      </c>
      <c r="AW45" s="21">
        <f>EXP(-LN(2)/2)*AW44+(1-EXP(-LN(2)/2))/(LN(2)/2)*AQ45*AT45*VLOOKUP('Données projet'!$B$10,Paramètres!$A$1:$I$89,3,0)*0.475*44/12</f>
        <v>1.4185898638073315</v>
      </c>
      <c r="AX45" s="21">
        <f t="shared" si="6"/>
        <v>10.262323346689438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</v>
      </c>
      <c r="BD45" s="12">
        <f>IF('Données projet'!$A$88&gt;35,BD44+BC45-BL44,IF(A45&lt;'Données projet'!$A$88,$BA$205^A45,IF(A45='Données projet'!$A$88,'Données projet'!$B$88,BD44+BC45-BL44)))</f>
        <v>210.99999999999989</v>
      </c>
      <c r="BE45" s="13">
        <f>BD45*VLOOKUP('Données projet'!$B$11,Paramètres!$A$1:$I$89,3,0)*VLOOKUP('Données projet'!$B$11,Paramètres!$A$1:$I$89,5,0)</f>
        <v>200.78759999999988</v>
      </c>
      <c r="BF45" s="13">
        <f t="shared" si="37"/>
        <v>49.917218754196632</v>
      </c>
      <c r="BG45" s="20">
        <f t="shared" si="7"/>
        <v>436.6442259968922</v>
      </c>
      <c r="BH45" s="59">
        <f t="shared" si="8"/>
        <v>729.97755933022552</v>
      </c>
      <c r="BI45" s="59">
        <f ca="1">AVERAGE(OFFSET($BH$3,0,0,'Données projet'!$E$11+1,1))-AVERAGE(OFFSET($H$3,0,0,'Données projet'!$E$11+1,1))</f>
        <v>339.00921630742886</v>
      </c>
      <c r="BJ45" s="59">
        <f t="shared" si="38"/>
        <v>314.95763895978303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11.553620602126665</v>
      </c>
      <c r="BQ45" s="21">
        <f>EXP(-LN(2)/25)*BQ44+(1-EXP(-LN(2)/25))/(LN(2)/25)*Calculateur!BL45*Calculateur!BN45*VLOOKUP('Données projet'!$B$11,Paramètres!$A$1:$I$89,3,0)*0.475*44/12</f>
        <v>2.0482436311774577</v>
      </c>
      <c r="BR45" s="21">
        <f>EXP(-LN(2)/2)*BR44+(1-EXP(-LN(2)/2))/(LN(2)/2)*BL45*BO45*VLOOKUP('Données projet'!$B$11,Paramètres!$A$1:$I$89,3,0)*0.475*44/12</f>
        <v>1.7309925862818309</v>
      </c>
      <c r="BS45" s="22">
        <f t="shared" si="9"/>
        <v>15.332856819585954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</v>
      </c>
      <c r="BY45" s="12">
        <f>IF('Données projet'!$A$114&gt;35,BY44+BX45-CG44,IF(A45&lt;'Données projet'!$A$114,$BV$205^A45,IF(A45='Données projet'!$A$114,'Données projet'!$B$114,BY44+BX45-CG44)))</f>
        <v>110</v>
      </c>
      <c r="BZ45" s="13">
        <f>BY45*VLOOKUP('Données projet'!$B$12,Paramètres!$A$1:$I$89,3,0)*VLOOKUP('Données projet'!$B$12,Paramètres!$A$1:$I$89,5,0)</f>
        <v>94.38000000000001</v>
      </c>
      <c r="CA45" s="13">
        <f t="shared" si="39"/>
        <v>25.618636348883211</v>
      </c>
      <c r="CB45" s="20">
        <f t="shared" si="10"/>
        <v>208.99762497430493</v>
      </c>
      <c r="CC45" s="59">
        <f t="shared" si="11"/>
        <v>502.33095830763824</v>
      </c>
      <c r="CD45" s="59">
        <f ca="1">AVERAGE(OFFSET($CC$3,0,0,'Données projet'!$E$12+1,1))-AVERAGE(OFFSET($H$3,0,0,'Données projet'!$E$12+1,1))</f>
        <v>204.6927427024138</v>
      </c>
      <c r="CE45" s="59">
        <f t="shared" si="40"/>
        <v>115.74231133146816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3.0440312266625646</v>
      </c>
      <c r="CL45" s="21">
        <f>EXP(-LN(2)/25)*CL44+(1-EXP(-LN(2)/25))/(LN(2)/25)*Calculateur!CG45*Calculateur!CI45*VLOOKUP('Données projet'!$B$12,Paramètres!$A$1:$I$89,3,0)*0.475*44/12</f>
        <v>0.79583638666634671</v>
      </c>
      <c r="CM45" s="21">
        <f>EXP(-LN(2)/2)*CM44+(1-EXP(-LN(2)/2))/(LN(2)/2)*CG45*CJ45*VLOOKUP('Données projet'!$B$12,Paramètres!$A$1:$I$89,3,0)*0.475*44/12</f>
        <v>1.0200280768415935</v>
      </c>
      <c r="CN45" s="22">
        <f t="shared" si="12"/>
        <v>4.8598956901705046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204.15575418077316</v>
      </c>
      <c r="CZ45" s="59">
        <f t="shared" si="42"/>
        <v>473.73726605265045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61.781893559140421</v>
      </c>
      <c r="DG45" s="21">
        <f>EXP(-LN(2)/25)*DG44+(1-EXP(-LN(2)/25))/(LN(2)/25)*Calculateur!DB45*Calculateur!DD45*VLOOKUP('Données projet'!$B$13,Paramètres!$A$1:$I$89,3,0)*0.475*44/12</f>
        <v>32.914954711558813</v>
      </c>
      <c r="DH45" s="21">
        <f>EXP(-LN(2)/2)*DH44+(1-EXP(-LN(2)/2))/(LN(2)/2)*DB45*DE45*VLOOKUP('Données projet'!$B$13,Paramètres!$A$1:$I$89,3,0)*0.475*44/12</f>
        <v>8.4159445864680049E-2</v>
      </c>
      <c r="DI45" s="22">
        <f t="shared" si="15"/>
        <v>94.78100771656392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16.168749999999999</v>
      </c>
      <c r="N46" s="13">
        <f>IF('Données projet'!$A$36&gt;35,N45+M46-V45,IF(A46&lt;'Données projet'!$A$36,$K$205^A46,IF(A46='Données projet'!$A$36,'Données projet'!$B$36,N45+M46-V45)))</f>
        <v>438.66249999999985</v>
      </c>
      <c r="O46" s="13">
        <f>N46*VLOOKUP('Données projet'!$B$9,Paramètres!$A$1:$I$89,3,0)*VLOOKUP('Données projet'!$B$9,Paramètres!$A$1:$I$89,5,0)</f>
        <v>262.32017499999995</v>
      </c>
      <c r="P46" s="13">
        <f t="shared" si="33"/>
        <v>63.216689495033307</v>
      </c>
      <c r="Q46" s="20">
        <f t="shared" si="53"/>
        <v>566.97670566218278</v>
      </c>
      <c r="R46" s="59">
        <f t="shared" si="0"/>
        <v>860.31003899551615</v>
      </c>
      <c r="S46" s="59">
        <f ca="1">AVERAGE(OFFSET($R$3,0,0,'Données projet'!$E$9+1,1))-AVERAGE(OFFSET($H$3,0,0,'Données projet'!$E$9+1,1))</f>
        <v>216.83230520434313</v>
      </c>
      <c r="T46" s="59">
        <f t="shared" si="34"/>
        <v>275.41891707278205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12.336297731297545</v>
      </c>
      <c r="AA46" s="21">
        <f>EXP(-LN(2)/25)*AA45+(1-EXP(-LN(2)/25))/(LN(2)/25)*Calculateur!V46*Calculateur!X46*VLOOKUP('Données projet'!$B$9,Paramètres!$A$1:$I$89,3,0)*0.475*44/12</f>
        <v>5.4496950762118592</v>
      </c>
      <c r="AB46" s="21">
        <f>EXP(-LN(2)/2)*AB45+(1-EXP(-LN(2)/2))/(LN(2)/2)*V46*Y46*VLOOKUP('Données projet'!$B$9,Paramètres!$A$1:$I$89,3,0)*0.475*44/12</f>
        <v>2.9963585360132012E-2</v>
      </c>
      <c r="AC46" s="22">
        <f t="shared" si="3"/>
        <v>17.815956392869538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143.17680000000004</v>
      </c>
      <c r="AK46" s="13">
        <f t="shared" si="35"/>
        <v>37.023812674521515</v>
      </c>
      <c r="AL46" s="20">
        <f t="shared" si="4"/>
        <v>313.84940040812506</v>
      </c>
      <c r="AM46" s="59">
        <f t="shared" si="5"/>
        <v>607.18273374145838</v>
      </c>
      <c r="AN46" s="59">
        <f ca="1">AVERAGE(OFFSET($AM$3,0,0,'Données projet'!$E$10+1,1))-AVERAGE(OFFSET($H$3,0,0,'Données projet'!$E$10+1,1))</f>
        <v>292.42154837691379</v>
      </c>
      <c r="AO46" s="59">
        <f t="shared" si="36"/>
        <v>193.18009444354601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7.2709333361780351</v>
      </c>
      <c r="AV46" s="21">
        <f>EXP(-LN(2)/25)*AV45+(1-EXP(-LN(2)/25))/(LN(2)/25)*Calculateur!AQ46*Calculateur!AS46*VLOOKUP('Données projet'!$B$10,Paramètres!$A$1:$I$89,3,0)*0.475*44/12</f>
        <v>1.3883382763451126</v>
      </c>
      <c r="AW46" s="21">
        <f>EXP(-LN(2)/2)*AW45+(1-EXP(-LN(2)/2))/(LN(2)/2)*AQ46*AT46*VLOOKUP('Données projet'!$B$10,Paramètres!$A$1:$I$89,3,0)*0.475*44/12</f>
        <v>1.0030945124206652</v>
      </c>
      <c r="AX46" s="21">
        <f t="shared" si="6"/>
        <v>9.6623661249438122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</v>
      </c>
      <c r="BD46" s="12">
        <f>IF('Données projet'!$A$88&gt;35,BD45+BC46-BL45,IF(A46&lt;'Données projet'!$A$88,$BA$205^A46,IF(A46='Données projet'!$A$88,'Données projet'!$B$88,BD45+BC46-BL45)))</f>
        <v>219.99999999999989</v>
      </c>
      <c r="BE46" s="13">
        <f>BD46*VLOOKUP('Données projet'!$B$11,Paramètres!$A$1:$I$89,3,0)*VLOOKUP('Données projet'!$B$11,Paramètres!$A$1:$I$89,5,0)</f>
        <v>209.35199999999989</v>
      </c>
      <c r="BF46" s="13">
        <f t="shared" si="37"/>
        <v>51.79395593509436</v>
      </c>
      <c r="BG46" s="20">
        <f t="shared" si="7"/>
        <v>454.82920658695576</v>
      </c>
      <c r="BH46" s="59">
        <f t="shared" si="8"/>
        <v>748.16253992028908</v>
      </c>
      <c r="BI46" s="59">
        <f ca="1">AVERAGE(OFFSET($BH$3,0,0,'Données projet'!$E$11+1,1))-AVERAGE(OFFSET($H$3,0,0,'Données projet'!$E$11+1,1))</f>
        <v>339.00921630742886</v>
      </c>
      <c r="BJ46" s="59">
        <f t="shared" si="38"/>
        <v>314.95763895978303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11.327061149131694</v>
      </c>
      <c r="BQ46" s="21">
        <f>EXP(-LN(2)/25)*BQ45+(1-EXP(-LN(2)/25))/(LN(2)/25)*Calculateur!BL46*Calculateur!BN46*VLOOKUP('Données projet'!$B$11,Paramètres!$A$1:$I$89,3,0)*0.475*44/12</f>
        <v>1.9922343013704589</v>
      </c>
      <c r="BR46" s="21">
        <f>EXP(-LN(2)/2)*BR45+(1-EXP(-LN(2)/2))/(LN(2)/2)*BL46*BO46*VLOOKUP('Données projet'!$B$11,Paramètres!$A$1:$I$89,3,0)*0.475*44/12</f>
        <v>1.2239965959435226</v>
      </c>
      <c r="BS46" s="22">
        <f t="shared" si="9"/>
        <v>14.543292046445675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</v>
      </c>
      <c r="BY46" s="12">
        <f>IF('Données projet'!$A$114&gt;35,BY45+BX46-CG45,IF(A46&lt;'Données projet'!$A$114,$BV$205^A46,IF(A46='Données projet'!$A$114,'Données projet'!$B$114,BY45+BX46-CG45)))</f>
        <v>118</v>
      </c>
      <c r="BZ46" s="13">
        <f>BY46*VLOOKUP('Données projet'!$B$12,Paramètres!$A$1:$I$89,3,0)*VLOOKUP('Données projet'!$B$12,Paramètres!$A$1:$I$89,5,0)</f>
        <v>101.24400000000001</v>
      </c>
      <c r="CA46" s="13">
        <f t="shared" si="39"/>
        <v>27.258149809602468</v>
      </c>
      <c r="CB46" s="20">
        <f t="shared" si="10"/>
        <v>223.807910918391</v>
      </c>
      <c r="CC46" s="59">
        <f t="shared" si="11"/>
        <v>517.14124425172429</v>
      </c>
      <c r="CD46" s="59">
        <f ca="1">AVERAGE(OFFSET($CC$3,0,0,'Données projet'!$E$12+1,1))-AVERAGE(OFFSET($H$3,0,0,'Données projet'!$E$12+1,1))</f>
        <v>204.6927427024138</v>
      </c>
      <c r="CE46" s="59">
        <f t="shared" si="40"/>
        <v>115.74231133146816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2.9843396309834285</v>
      </c>
      <c r="CL46" s="21">
        <f>EXP(-LN(2)/25)*CL45+(1-EXP(-LN(2)/25))/(LN(2)/25)*Calculateur!CG46*Calculateur!CI46*VLOOKUP('Données projet'!$B$12,Paramètres!$A$1:$I$89,3,0)*0.475*44/12</f>
        <v>0.77407419882173878</v>
      </c>
      <c r="CM46" s="21">
        <f>EXP(-LN(2)/2)*CM45+(1-EXP(-LN(2)/2))/(LN(2)/2)*CG46*CJ46*VLOOKUP('Données projet'!$B$12,Paramètres!$A$1:$I$89,3,0)*0.475*44/12</f>
        <v>0.72126877013536361</v>
      </c>
      <c r="CN46" s="22">
        <f t="shared" si="12"/>
        <v>4.4796825999405305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204.15575418077316</v>
      </c>
      <c r="CZ46" s="59">
        <f t="shared" si="42"/>
        <v>473.73726605265045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60.570388309679835</v>
      </c>
      <c r="DG46" s="21">
        <f>EXP(-LN(2)/25)*DG45+(1-EXP(-LN(2)/25))/(LN(2)/25)*Calculateur!DB46*Calculateur!DD46*VLOOKUP('Données projet'!$B$13,Paramètres!$A$1:$I$89,3,0)*0.475*44/12</f>
        <v>32.014893544048995</v>
      </c>
      <c r="DH46" s="21">
        <f>EXP(-LN(2)/2)*DH45+(1-EXP(-LN(2)/2))/(LN(2)/2)*DB46*DE46*VLOOKUP('Données projet'!$B$13,Paramètres!$A$1:$I$89,3,0)*0.475*44/12</f>
        <v>5.9509714871817408E-2</v>
      </c>
      <c r="DI46" s="22">
        <f t="shared" si="15"/>
        <v>92.644791568600652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16.168749999999999</v>
      </c>
      <c r="N47" s="13">
        <f>IF('Données projet'!$A$36&gt;35,N46+M47-V46,IF(A47&lt;'Données projet'!$A$36,$K$205^A47,IF(A47='Données projet'!$A$36,'Données projet'!$B$36,N46+M47-V46)))</f>
        <v>454.83124999999984</v>
      </c>
      <c r="O47" s="13">
        <f>N47*VLOOKUP('Données projet'!$B$9,Paramètres!$A$1:$I$89,3,0)*VLOOKUP('Données projet'!$B$9,Paramètres!$A$1:$I$89,5,0)</f>
        <v>271.98908749999993</v>
      </c>
      <c r="P47" s="13">
        <f t="shared" si="33"/>
        <v>65.271223356871772</v>
      </c>
      <c r="Q47" s="20">
        <f t="shared" si="53"/>
        <v>587.39504140905149</v>
      </c>
      <c r="R47" s="59">
        <f t="shared" si="0"/>
        <v>880.72837474238486</v>
      </c>
      <c r="S47" s="59">
        <f ca="1">AVERAGE(OFFSET($R$3,0,0,'Données projet'!$E$9+1,1))-AVERAGE(OFFSET($H$3,0,0,'Données projet'!$E$9+1,1))</f>
        <v>216.83230520434313</v>
      </c>
      <c r="T47" s="59">
        <f t="shared" si="34"/>
        <v>275.41891707278205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12.094390457185444</v>
      </c>
      <c r="AA47" s="21">
        <f>EXP(-LN(2)/25)*AA46+(1-EXP(-LN(2)/25))/(LN(2)/25)*Calculateur!V47*Calculateur!X47*VLOOKUP('Données projet'!$B$9,Paramètres!$A$1:$I$89,3,0)*0.475*44/12</f>
        <v>5.3006728777658374</v>
      </c>
      <c r="AB47" s="21">
        <f>EXP(-LN(2)/2)*AB46+(1-EXP(-LN(2)/2))/(LN(2)/2)*V47*Y47*VLOOKUP('Données projet'!$B$9,Paramètres!$A$1:$I$89,3,0)*0.475*44/12</f>
        <v>2.1187454396811307E-2</v>
      </c>
      <c r="AC47" s="22">
        <f t="shared" si="3"/>
        <v>17.416250789348094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151.69440000000006</v>
      </c>
      <c r="AK47" s="13">
        <f t="shared" si="35"/>
        <v>38.963392010880654</v>
      </c>
      <c r="AL47" s="20">
        <f t="shared" si="4"/>
        <v>332.06232108561721</v>
      </c>
      <c r="AM47" s="59">
        <f t="shared" si="5"/>
        <v>625.39565441895047</v>
      </c>
      <c r="AN47" s="59">
        <f ca="1">AVERAGE(OFFSET($AM$3,0,0,'Données projet'!$E$10+1,1))-AVERAGE(OFFSET($H$3,0,0,'Données projet'!$E$10+1,1))</f>
        <v>292.42154837691379</v>
      </c>
      <c r="AO47" s="59">
        <f t="shared" si="36"/>
        <v>193.18009444354601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7.1283547682870152</v>
      </c>
      <c r="AV47" s="21">
        <f>EXP(-LN(2)/25)*AV46+(1-EXP(-LN(2)/25))/(LN(2)/25)*Calculateur!AQ47*Calculateur!AS47*VLOOKUP('Données projet'!$B$10,Paramètres!$A$1:$I$89,3,0)*0.475*44/12</f>
        <v>1.3503740931689188</v>
      </c>
      <c r="AW47" s="21">
        <f>EXP(-LN(2)/2)*AW46+(1-EXP(-LN(2)/2))/(LN(2)/2)*AQ47*AT47*VLOOKUP('Données projet'!$B$10,Paramètres!$A$1:$I$89,3,0)*0.475*44/12</f>
        <v>0.70929493190366588</v>
      </c>
      <c r="AX47" s="21">
        <f t="shared" si="6"/>
        <v>9.1880237933595996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</v>
      </c>
      <c r="BD47" s="12">
        <f>IF('Données projet'!$A$88&gt;35,BD46+BC47-BL46,IF(A47&lt;'Données projet'!$A$88,$BA$205^A47,IF(A47='Données projet'!$A$88,'Données projet'!$B$88,BD46+BC47-BL46)))</f>
        <v>228.99999999999989</v>
      </c>
      <c r="BE47" s="13">
        <f>BD47*VLOOKUP('Données projet'!$B$11,Paramètres!$A$1:$I$89,3,0)*VLOOKUP('Données projet'!$B$11,Paramètres!$A$1:$I$89,5,0)</f>
        <v>217.91639999999992</v>
      </c>
      <c r="BF47" s="13">
        <f t="shared" si="37"/>
        <v>53.661775051402536</v>
      </c>
      <c r="BG47" s="20">
        <f t="shared" si="7"/>
        <v>472.99865488119258</v>
      </c>
      <c r="BH47" s="59">
        <f t="shared" si="8"/>
        <v>766.33198821452584</v>
      </c>
      <c r="BI47" s="59">
        <f ca="1">AVERAGE(OFFSET($BH$3,0,0,'Données projet'!$E$11+1,1))-AVERAGE(OFFSET($H$3,0,0,'Données projet'!$E$11+1,1))</f>
        <v>339.00921630742886</v>
      </c>
      <c r="BJ47" s="59">
        <f t="shared" si="38"/>
        <v>314.95763895978303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11.104944388822332</v>
      </c>
      <c r="BQ47" s="21">
        <f>EXP(-LN(2)/25)*BQ46+(1-EXP(-LN(2)/25))/(LN(2)/25)*Calculateur!BL47*Calculateur!BN47*VLOOKUP('Données projet'!$B$11,Paramètres!$A$1:$I$89,3,0)*0.475*44/12</f>
        <v>1.9377565496324352</v>
      </c>
      <c r="BR47" s="21">
        <f>EXP(-LN(2)/2)*BR46+(1-EXP(-LN(2)/2))/(LN(2)/2)*BL47*BO47*VLOOKUP('Données projet'!$B$11,Paramètres!$A$1:$I$89,3,0)*0.475*44/12</f>
        <v>0.86549629314091547</v>
      </c>
      <c r="BS47" s="22">
        <f t="shared" si="9"/>
        <v>13.908197231595684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</v>
      </c>
      <c r="BY47" s="12">
        <f>IF('Données projet'!$A$114&gt;35,BY46+BX47-CG46,IF(A47&lt;'Données projet'!$A$114,$BV$205^A47,IF(A47='Données projet'!$A$114,'Données projet'!$B$114,BY46+BX47-CG46)))</f>
        <v>126</v>
      </c>
      <c r="BZ47" s="13">
        <f>BY47*VLOOKUP('Données projet'!$B$12,Paramètres!$A$1:$I$89,3,0)*VLOOKUP('Données projet'!$B$12,Paramètres!$A$1:$I$89,5,0)</f>
        <v>108.10800000000002</v>
      </c>
      <c r="CA47" s="13">
        <f t="shared" si="39"/>
        <v>28.884765499467161</v>
      </c>
      <c r="CB47" s="20">
        <f t="shared" si="10"/>
        <v>238.59573324490532</v>
      </c>
      <c r="CC47" s="59">
        <f t="shared" si="11"/>
        <v>531.92906657823869</v>
      </c>
      <c r="CD47" s="59">
        <f ca="1">AVERAGE(OFFSET($CC$3,0,0,'Données projet'!$E$12+1,1))-AVERAGE(OFFSET($H$3,0,0,'Données projet'!$E$12+1,1))</f>
        <v>204.6927427024138</v>
      </c>
      <c r="CE47" s="59">
        <f t="shared" si="40"/>
        <v>115.74231133146816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2.9258185510872821</v>
      </c>
      <c r="CL47" s="21">
        <f>EXP(-LN(2)/25)*CL46+(1-EXP(-LN(2)/25))/(LN(2)/25)*Calculateur!CG47*Calculateur!CI47*VLOOKUP('Données projet'!$B$12,Paramètres!$A$1:$I$89,3,0)*0.475*44/12</f>
        <v>0.75290709914816534</v>
      </c>
      <c r="CM47" s="21">
        <f>EXP(-LN(2)/2)*CM46+(1-EXP(-LN(2)/2))/(LN(2)/2)*CG47*CJ47*VLOOKUP('Données projet'!$B$12,Paramètres!$A$1:$I$89,3,0)*0.475*44/12</f>
        <v>0.51001403842079684</v>
      </c>
      <c r="CN47" s="22">
        <f t="shared" si="12"/>
        <v>4.188739688656244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204.15575418077316</v>
      </c>
      <c r="CZ47" s="59">
        <f t="shared" si="42"/>
        <v>473.73726605265045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59.382639939215935</v>
      </c>
      <c r="DG47" s="21">
        <f>EXP(-LN(2)/25)*DG46+(1-EXP(-LN(2)/25))/(LN(2)/25)*Calculateur!DB47*Calculateur!DD47*VLOOKUP('Données projet'!$B$13,Paramètres!$A$1:$I$89,3,0)*0.475*44/12</f>
        <v>31.139444596496894</v>
      </c>
      <c r="DH47" s="21">
        <f>EXP(-LN(2)/2)*DH46+(1-EXP(-LN(2)/2))/(LN(2)/2)*DB47*DE47*VLOOKUP('Données projet'!$B$13,Paramètres!$A$1:$I$89,3,0)*0.475*44/12</f>
        <v>4.2079722932340025E-2</v>
      </c>
      <c r="DI47" s="22">
        <f t="shared" si="15"/>
        <v>90.564164258645164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471</v>
      </c>
      <c r="L48" s="12">
        <f>VLOOKUP(A48,'Données projet'!$A$35:$I$55,9,0)</f>
        <v>16.168749999999999</v>
      </c>
      <c r="M48" s="12">
        <f t="array" ref="M48">INDEX(L:L,MIN(IF(ISNUMBER(L48:L244),ROW(L48:L244),"")))</f>
        <v>16.168749999999999</v>
      </c>
      <c r="N48" s="13">
        <f>IF('Données projet'!$A$36&gt;35,N47+M48-V47,IF(A48&lt;'Données projet'!$A$36,$K$205^A48,IF(A48='Données projet'!$A$36,'Données projet'!$B$36,N47+M48-V47)))</f>
        <v>470.99999999999983</v>
      </c>
      <c r="O48" s="13">
        <f>N48*VLOOKUP('Données projet'!$B$9,Paramètres!$A$1:$I$89,3,0)*VLOOKUP('Données projet'!$B$9,Paramètres!$A$1:$I$89,5,0)</f>
        <v>281.65799999999996</v>
      </c>
      <c r="P48" s="13">
        <f t="shared" si="33"/>
        <v>67.317271456706166</v>
      </c>
      <c r="Q48" s="20">
        <f t="shared" si="53"/>
        <v>607.79859778709647</v>
      </c>
      <c r="R48" s="59">
        <f t="shared" si="0"/>
        <v>901.13193112042973</v>
      </c>
      <c r="S48" s="59">
        <f ca="1">AVERAGE(OFFSET($R$3,0,0,'Données projet'!$E$9+1,1))-AVERAGE(OFFSET($H$3,0,0,'Données projet'!$E$9+1,1))</f>
        <v>216.83230520434313</v>
      </c>
      <c r="T48" s="59">
        <f t="shared" si="34"/>
        <v>275.41891707278205</v>
      </c>
      <c r="U48" s="15">
        <f>IF(ISNA(VLOOKUP(A48,'Données projet'!$A$35:$I$55,3,0)),0,VLOOKUP(A48,'Données projet'!$A$35:$I$55,3,0))</f>
        <v>10</v>
      </c>
      <c r="V48" s="15">
        <f>IF(ISNA(VLOOKUP(A48,'Données projet'!$A$35:$I$55,4,0)),0,VLOOKUP(A48,'Données projet'!$A$35:$I$55,4,0))</f>
        <v>471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5.3999999999999999E-2</v>
      </c>
      <c r="Y48" s="16">
        <f>IF(ISNA(VLOOKUP(A48,'Données projet'!$A$35:$I$55,7,0)),0%,VLOOKUP(A48,'Données projet'!$A$35:$I$55,7,0))</f>
        <v>0.18</v>
      </c>
      <c r="Z48" s="21">
        <f>EXP(-LN(2)/35)*Z47+(1-EXP(-LN(2)/35))/(LN(2)/35)*V48*W48*VLOOKUP('Données projet'!$B$9,Paramètres!$A$1:$I$89,3,0)*0.475*44/12</f>
        <v>129.55303662507967</v>
      </c>
      <c r="AA48" s="21">
        <f>EXP(-LN(2)/25)*AA47+(1-EXP(-LN(2)/25))/(LN(2)/25)*Calculateur!V48*Calculateur!X48*VLOOKUP('Données projet'!$B$9,Paramètres!$A$1:$I$89,3,0)*0.475*44/12</f>
        <v>25.252707963028286</v>
      </c>
      <c r="AB48" s="21">
        <f>EXP(-LN(2)/2)*AB47+(1-EXP(-LN(2)/2))/(LN(2)/2)*V48*Y48*VLOOKUP('Données projet'!$B$9,Paramètres!$A$1:$I$89,3,0)*0.475*44/12</f>
        <v>57.417392994887749</v>
      </c>
      <c r="AC48" s="22">
        <f t="shared" si="3"/>
        <v>212.22313758299572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160.21200000000007</v>
      </c>
      <c r="AK48" s="13">
        <f t="shared" si="35"/>
        <v>40.890328912852731</v>
      </c>
      <c r="AL48" s="20">
        <f t="shared" si="4"/>
        <v>350.25322285655193</v>
      </c>
      <c r="AM48" s="59">
        <f t="shared" si="5"/>
        <v>643.58655618988519</v>
      </c>
      <c r="AN48" s="59">
        <f ca="1">AVERAGE(OFFSET($AM$3,0,0,'Données projet'!$E$10+1,1))-AVERAGE(OFFSET($H$3,0,0,'Données projet'!$E$10+1,1))</f>
        <v>292.42154837691379</v>
      </c>
      <c r="AO48" s="59">
        <f t="shared" si="36"/>
        <v>193.18009444354601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0.25800000000000001</v>
      </c>
      <c r="AS48" s="16">
        <f>IF(ISNA(VLOOKUP(A48,'Données projet'!$A$61:$I$81,6,0)),0%,VLOOKUP(A48,'Données projet'!$A$61:$I$81,6,0)*VLOOKUP('Données projet'!$B$10,Paramètres!$A$1:$I$89,7,0))</f>
        <v>1.72E-2</v>
      </c>
      <c r="AT48" s="16">
        <f>IF(ISNA(VLOOKUP(A48,'Données projet'!$A$61:$I$81,7,0)),0%,VLOOKUP(A48,'Données projet'!$A$61:$I$81,7,0))</f>
        <v>0.06</v>
      </c>
      <c r="AU48" s="21">
        <f>EXP(-LN(2)/35)*AU47+(1-EXP(-LN(2)/35))/(LN(2)/35)*AQ48*AR48*VLOOKUP('Données projet'!$B$10,Paramètres!$A$1:$I$89,3,0)*0.475*44/12</f>
        <v>13.061862734685857</v>
      </c>
      <c r="AV48" s="21">
        <f>EXP(-LN(2)/25)*AV47+(1-EXP(-LN(2)/25))/(LN(2)/25)*Calculateur!AQ48*Calculateur!AS48*VLOOKUP('Données projet'!$B$10,Paramètres!$A$1:$I$89,3,0)*0.475*44/12</f>
        <v>1.716739895652917</v>
      </c>
      <c r="AW48" s="21">
        <f>EXP(-LN(2)/2)*AW47+(1-EXP(-LN(2)/2))/(LN(2)/2)*AQ48*AT48*VLOOKUP('Données projet'!$B$10,Paramètres!$A$1:$I$89,3,0)*0.475*44/12</f>
        <v>1.7070349833867611</v>
      </c>
      <c r="AX48" s="21">
        <f t="shared" si="6"/>
        <v>16.485637613725537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238</v>
      </c>
      <c r="BB48" s="12">
        <f>VLOOKUP(A48,'Données projet'!$A$87:$I$107,9,0)</f>
        <v>9</v>
      </c>
      <c r="BC48" s="12">
        <f t="array" ref="BC48">INDEX(BB:BB,MIN(IF(ISNUMBER(BB48:BB244),ROW(BB48:BB244),"")))</f>
        <v>9</v>
      </c>
      <c r="BD48" s="12">
        <f>IF('Données projet'!$A$88&gt;35,BD47+BC48-BL47,IF(A48&lt;'Données projet'!$A$88,$BA$205^A48,IF(A48='Données projet'!$A$88,'Données projet'!$B$88,BD47+BC48-BL47)))</f>
        <v>237.99999999999989</v>
      </c>
      <c r="BE48" s="13">
        <f>BD48*VLOOKUP('Données projet'!$B$11,Paramètres!$A$1:$I$89,3,0)*VLOOKUP('Données projet'!$B$11,Paramètres!$A$1:$I$89,5,0)</f>
        <v>226.48079999999987</v>
      </c>
      <c r="BF48" s="13">
        <f t="shared" si="37"/>
        <v>55.521066703161971</v>
      </c>
      <c r="BG48" s="20">
        <f t="shared" si="7"/>
        <v>491.15325117467358</v>
      </c>
      <c r="BH48" s="59">
        <f t="shared" si="8"/>
        <v>784.4865845080069</v>
      </c>
      <c r="BI48" s="59">
        <f ca="1">AVERAGE(OFFSET($BH$3,0,0,'Données projet'!$E$11+1,1))-AVERAGE(OFFSET($H$3,0,0,'Données projet'!$E$11+1,1))</f>
        <v>339.00921630742886</v>
      </c>
      <c r="BJ48" s="59">
        <f t="shared" si="38"/>
        <v>314.95763895978303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0.25800000000000001</v>
      </c>
      <c r="BN48" s="16">
        <f>IF(ISNA(VLOOKUP(A48,'Données projet'!$A$87:$I$107,6,0)),0%,VLOOKUP(A48,'Données projet'!$A$87:$I$107,6,0)*VLOOKUP('Données projet'!$B$11,Paramètres!$A$1:$I$89,7,0))</f>
        <v>1.72E-2</v>
      </c>
      <c r="BO48" s="16">
        <f>IF(ISNA(VLOOKUP(A48,'Données projet'!$A$87:$I$107,7,0)),0%,VLOOKUP(A48,'Données projet'!$A$87:$I$107,7,0))</f>
        <v>0.06</v>
      </c>
      <c r="BP48" s="21">
        <f>EXP(-LN(2)/35)*BP47+(1-EXP(-LN(2)/35))/(LN(2)/35)*BL48*BM48*VLOOKUP('Données projet'!$B$11,Paramètres!$A$1:$I$89,3,0)*0.475*44/12</f>
        <v>17.400954279413526</v>
      </c>
      <c r="BQ48" s="21">
        <f>EXP(-LN(2)/25)*BQ47+(1-EXP(-LN(2)/25))/(LN(2)/25)*Calculateur!BL48*Calculateur!BN48*VLOOKUP('Données projet'!$B$11,Paramètres!$A$1:$I$89,3,0)*0.475*44/12</f>
        <v>2.3173100867497727</v>
      </c>
      <c r="BR48" s="21">
        <f>EXP(-LN(2)/2)*BR47+(1-EXP(-LN(2)/2))/(LN(2)/2)*BL48*BO48*VLOOKUP('Données projet'!$B$11,Paramètres!$A$1:$I$89,3,0)*0.475*44/12</f>
        <v>1.904917003163183</v>
      </c>
      <c r="BS48" s="22">
        <f t="shared" si="9"/>
        <v>21.623181369326481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134</v>
      </c>
      <c r="BW48" s="12">
        <f>VLOOKUP(A48,'Données projet'!$A$113:$I$133,9,0)</f>
        <v>8</v>
      </c>
      <c r="BX48" s="12">
        <f t="array" ref="BX48">INDEX(BW:BW,MIN(IF(ISNUMBER(BW48:BW244),ROW(BW48:BW244),"")))</f>
        <v>8</v>
      </c>
      <c r="BY48" s="12">
        <f>IF('Données projet'!$A$114&gt;35,BY47+BX48-CG47,IF(A48&lt;'Données projet'!$A$114,$BV$205^A48,IF(A48='Données projet'!$A$114,'Données projet'!$B$114,BY47+BX48-CG47)))</f>
        <v>134</v>
      </c>
      <c r="BZ48" s="13">
        <f>BY48*VLOOKUP('Données projet'!$B$12,Paramètres!$A$1:$I$89,3,0)*VLOOKUP('Données projet'!$B$12,Paramètres!$A$1:$I$89,5,0)</f>
        <v>114.97200000000001</v>
      </c>
      <c r="CA48" s="13">
        <f t="shared" si="39"/>
        <v>30.499395539367107</v>
      </c>
      <c r="CB48" s="20">
        <f t="shared" si="10"/>
        <v>253.36268056439769</v>
      </c>
      <c r="CC48" s="59">
        <f t="shared" si="11"/>
        <v>546.69601389773106</v>
      </c>
      <c r="CD48" s="59">
        <f ca="1">AVERAGE(OFFSET($CC$3,0,0,'Données projet'!$E$12+1,1))-AVERAGE(OFFSET($H$3,0,0,'Données projet'!$E$12+1,1))</f>
        <v>204.6927427024138</v>
      </c>
      <c r="CE48" s="59">
        <f t="shared" si="40"/>
        <v>115.74231133146816</v>
      </c>
      <c r="CF48" s="15">
        <f>IF(ISNA(VLOOKUP(A48,'Données projet'!$A$113:$I$133,3,0)),0,VLOOKUP(A48,'Données projet'!$A$113:$I$133,3,0))</f>
        <v>4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0.159</v>
      </c>
      <c r="CI48" s="16">
        <f>IF(ISNA(VLOOKUP(A48,'Données projet'!$A$113:$I$133,6,0)),0%,VLOOKUP(A48,'Données projet'!$A$113:$I$133,6,0)*VLOOKUP('Données projet'!$B$12,Paramètres!$A$1:$I$89,7,0))</f>
        <v>4.24E-2</v>
      </c>
      <c r="CJ48" s="16">
        <f>IF(ISNA(VLOOKUP(A48,'Données projet'!$A$113:$I$133,7,0)),0%,VLOOKUP(A48,'Données projet'!$A$113:$I$133,7,0))</f>
        <v>0.12</v>
      </c>
      <c r="CK48" s="21">
        <f>EXP(-LN(2)/35)*CK47+(1-EXP(-LN(2)/35))/(LN(2)/35)*CG48*CH48*VLOOKUP('Données projet'!$B$12,Paramètres!$A$1:$I$89,3,0)*0.475*44/12</f>
        <v>6.0354651163230919</v>
      </c>
      <c r="CL48" s="21">
        <f>EXP(-LN(2)/25)*CL47+(1-EXP(-LN(2)/25))/(LN(2)/25)*Calculateur!CG48*Calculateur!CI48*VLOOKUP('Données projet'!$B$12,Paramètres!$A$1:$I$89,3,0)*0.475*44/12</f>
        <v>1.573532232969806</v>
      </c>
      <c r="CM48" s="21">
        <f>EXP(-LN(2)/2)*CM47+(1-EXP(-LN(2)/2))/(LN(2)/2)*CG48*CJ48*VLOOKUP('Données projet'!$B$12,Paramètres!$A$1:$I$89,3,0)*0.475*44/12</f>
        <v>2.4006905387508684</v>
      </c>
      <c r="CN48" s="22">
        <f t="shared" si="12"/>
        <v>10.009687888043766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204.15575418077316</v>
      </c>
      <c r="CZ48" s="59">
        <f t="shared" si="42"/>
        <v>473.73726605265045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58.218182589841859</v>
      </c>
      <c r="DG48" s="21">
        <f>EXP(-LN(2)/25)*DG47+(1-EXP(-LN(2)/25))/(LN(2)/25)*Calculateur!DB48*Calculateur!DD48*VLOOKUP('Données projet'!$B$13,Paramètres!$A$1:$I$89,3,0)*0.475*44/12</f>
        <v>30.287934846453464</v>
      </c>
      <c r="DH48" s="21">
        <f>EXP(-LN(2)/2)*DH47+(1-EXP(-LN(2)/2))/(LN(2)/2)*DB48*DE48*VLOOKUP('Données projet'!$B$13,Paramètres!$A$1:$I$89,3,0)*0.475*44/12</f>
        <v>2.9754857435908704E-2</v>
      </c>
      <c r="DI48" s="22">
        <f t="shared" si="15"/>
        <v>88.535872293731231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-1.7053025658242404E-13</v>
      </c>
      <c r="O49" s="13">
        <f>N49*VLOOKUP('Données projet'!$B$9,Paramètres!$A$1:$I$89,3,0)*VLOOKUP('Données projet'!$B$9,Paramètres!$A$1:$I$89,5,0)</f>
        <v>-1.0197709343628959E-13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216.83230520434313</v>
      </c>
      <c r="T49" s="59">
        <f t="shared" si="34"/>
        <v>275.41891707278205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127.01258059641167</v>
      </c>
      <c r="AA49" s="21">
        <f>EXP(-LN(2)/25)*AA48+(1-EXP(-LN(2)/25))/(LN(2)/25)*Calculateur!V49*Calculateur!X49*VLOOKUP('Données projet'!$B$9,Paramètres!$A$1:$I$89,3,0)*0.475*44/12</f>
        <v>24.562171335797082</v>
      </c>
      <c r="AB49" s="21">
        <f>EXP(-LN(2)/2)*AB48+(1-EXP(-LN(2)/2))/(LN(2)/2)*V49*Y49*VLOOKUP('Données projet'!$B$9,Paramètres!$A$1:$I$89,3,0)*0.475*44/12</f>
        <v>40.600227944738101</v>
      </c>
      <c r="AC49" s="22">
        <f t="shared" si="3"/>
        <v>192.17497987694685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147.23280000000005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615.85838809497</v>
      </c>
      <c r="AN49" s="59">
        <f ca="1">AVERAGE(OFFSET($AM$3,0,0,'Données projet'!$E$10+1,1))-AVERAGE(OFFSET($H$3,0,0,'Données projet'!$E$10+1,1))</f>
        <v>292.42154837691379</v>
      </c>
      <c r="AO49" s="59">
        <f t="shared" si="36"/>
        <v>193.18009444354601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12.805727573408264</v>
      </c>
      <c r="AV49" s="21">
        <f>EXP(-LN(2)/25)*AV48+(1-EXP(-LN(2)/25))/(LN(2)/25)*Calculateur!AQ49*Calculateur!AS49*VLOOKUP('Données projet'!$B$10,Paramètres!$A$1:$I$89,3,0)*0.475*44/12</f>
        <v>1.6697955529268604</v>
      </c>
      <c r="AW49" s="21">
        <f>EXP(-LN(2)/2)*AW48+(1-EXP(-LN(2)/2))/(LN(2)/2)*AQ49*AT49*VLOOKUP('Données projet'!$B$10,Paramètres!$A$1:$I$89,3,0)*0.475*44/12</f>
        <v>1.2070560124754444</v>
      </c>
      <c r="AX49" s="21">
        <f t="shared" si="6"/>
        <v>15.682579138810569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222.59999999999988</v>
      </c>
      <c r="BE49" s="13">
        <f>BD49*VLOOKUP('Données projet'!$B$11,Paramètres!$A$1:$I$89,3,0)*VLOOKUP('Données projet'!$B$11,Paramètres!$A$1:$I$89,5,0)</f>
        <v>211.82615999999987</v>
      </c>
      <c r="BF49" s="13">
        <f t="shared" si="37"/>
        <v>52.334446286305713</v>
      </c>
      <c r="BG49" s="20">
        <f t="shared" si="7"/>
        <v>460.07972261531557</v>
      </c>
      <c r="BH49" s="59">
        <f t="shared" si="8"/>
        <v>753.41305594864889</v>
      </c>
      <c r="BI49" s="59">
        <f ca="1">AVERAGE(OFFSET($BH$3,0,0,'Données projet'!$E$11+1,1))-AVERAGE(OFFSET($H$3,0,0,'Données projet'!$E$11+1,1))</f>
        <v>339.00921630742886</v>
      </c>
      <c r="BJ49" s="59">
        <f t="shared" si="38"/>
        <v>314.95763895978303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17.059732179528339</v>
      </c>
      <c r="BQ49" s="21">
        <f>EXP(-LN(2)/25)*BQ48+(1-EXP(-LN(2)/25))/(LN(2)/25)*Calculateur!BL49*Calculateur!BN49*VLOOKUP('Données projet'!$B$11,Paramètres!$A$1:$I$89,3,0)*0.475*44/12</f>
        <v>2.2539431205655589</v>
      </c>
      <c r="BR49" s="21">
        <f>EXP(-LN(2)/2)*BR48+(1-EXP(-LN(2)/2))/(LN(2)/2)*BL49*BO49*VLOOKUP('Données projet'!$B$11,Paramètres!$A$1:$I$89,3,0)*0.475*44/12</f>
        <v>1.3469797305342428</v>
      </c>
      <c r="BS49" s="22">
        <f t="shared" si="9"/>
        <v>20.660655030628142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121.19999999999999</v>
      </c>
      <c r="BZ49" s="13">
        <f>BY49*VLOOKUP('Données projet'!$B$12,Paramètres!$A$1:$I$89,3,0)*VLOOKUP('Données projet'!$B$12,Paramètres!$A$1:$I$89,5,0)</f>
        <v>103.9896</v>
      </c>
      <c r="CA49" s="13">
        <f t="shared" si="39"/>
        <v>27.91028988913331</v>
      </c>
      <c r="CB49" s="20">
        <f t="shared" si="10"/>
        <v>229.72564155690716</v>
      </c>
      <c r="CC49" s="59">
        <f t="shared" si="11"/>
        <v>523.05897489024051</v>
      </c>
      <c r="CD49" s="59">
        <f ca="1">AVERAGE(OFFSET($CC$3,0,0,'Données projet'!$E$12+1,1))-AVERAGE(OFFSET($H$3,0,0,'Données projet'!$E$12+1,1))</f>
        <v>204.6927427024138</v>
      </c>
      <c r="CE49" s="59">
        <f t="shared" si="40"/>
        <v>115.74231133146816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5.9171133266622222</v>
      </c>
      <c r="CL49" s="21">
        <f>EXP(-LN(2)/25)*CL48+(1-EXP(-LN(2)/25))/(LN(2)/25)*Calculateur!CG49*Calculateur!CI49*VLOOKUP('Données projet'!$B$12,Paramètres!$A$1:$I$89,3,0)*0.475*44/12</f>
        <v>1.530503911310783</v>
      </c>
      <c r="CM49" s="21">
        <f>EXP(-LN(2)/2)*CM48+(1-EXP(-LN(2)/2))/(LN(2)/2)*CG49*CJ49*VLOOKUP('Données projet'!$B$12,Paramètres!$A$1:$I$89,3,0)*0.475*44/12</f>
        <v>1.6975445594811254</v>
      </c>
      <c r="CN49" s="22">
        <f t="shared" si="12"/>
        <v>9.145161797454131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204.15575418077316</v>
      </c>
      <c r="CZ49" s="59">
        <f t="shared" si="42"/>
        <v>473.73726605265045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57.076559538840158</v>
      </c>
      <c r="DG49" s="21">
        <f>EXP(-LN(2)/25)*DG48+(1-EXP(-LN(2)/25))/(LN(2)/25)*Calculateur!DB49*Calculateur!DD49*VLOOKUP('Données projet'!$B$13,Paramètres!$A$1:$I$89,3,0)*0.475*44/12</f>
        <v>29.459709675303923</v>
      </c>
      <c r="DH49" s="21">
        <f>EXP(-LN(2)/2)*DH48+(1-EXP(-LN(2)/2))/(LN(2)/2)*DB49*DE49*VLOOKUP('Données projet'!$B$13,Paramètres!$A$1:$I$89,3,0)*0.475*44/12</f>
        <v>2.1039861466170012E-2</v>
      </c>
      <c r="DI49" s="22">
        <f t="shared" si="15"/>
        <v>86.557309075610249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-1.7053025658242404E-13</v>
      </c>
      <c r="O50" s="13">
        <f>N50*VLOOKUP('Données projet'!$B$9,Paramètres!$A$1:$I$89,3,0)*VLOOKUP('Données projet'!$B$9,Paramètres!$A$1:$I$89,5,0)</f>
        <v>-1.0197709343628959E-13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216.83230520434313</v>
      </c>
      <c r="T50" s="59">
        <f t="shared" si="34"/>
        <v>275.41891707278205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124.52194136094067</v>
      </c>
      <c r="AA50" s="21">
        <f>EXP(-LN(2)/25)*AA49+(1-EXP(-LN(2)/25))/(LN(2)/25)*Calculateur!V50*Calculateur!X50*VLOOKUP('Données projet'!$B$9,Paramètres!$A$1:$I$89,3,0)*0.475*44/12</f>
        <v>23.890517468951259</v>
      </c>
      <c r="AB50" s="21">
        <f>EXP(-LN(2)/2)*AB49+(1-EXP(-LN(2)/2))/(LN(2)/2)*V50*Y50*VLOOKUP('Données projet'!$B$9,Paramètres!$A$1:$I$89,3,0)*0.475*44/12</f>
        <v>28.708696497443878</v>
      </c>
      <c r="AC50" s="22">
        <f t="shared" si="3"/>
        <v>177.1211553273358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155.54760000000005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633.62751757602996</v>
      </c>
      <c r="AN50" s="59">
        <f ca="1">AVERAGE(OFFSET($AM$3,0,0,'Données projet'!$E$10+1,1))-AVERAGE(OFFSET($H$3,0,0,'Données projet'!$E$10+1,1))</f>
        <v>292.42154837691379</v>
      </c>
      <c r="AO50" s="59">
        <f t="shared" si="36"/>
        <v>193.18009444354601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12.554615066416304</v>
      </c>
      <c r="AV50" s="21">
        <f>EXP(-LN(2)/25)*AV49+(1-EXP(-LN(2)/25))/(LN(2)/25)*Calculateur!AQ50*Calculateur!AS50*VLOOKUP('Données projet'!$B$10,Paramètres!$A$1:$I$89,3,0)*0.475*44/12</f>
        <v>1.6241349057213437</v>
      </c>
      <c r="AW50" s="21">
        <f>EXP(-LN(2)/2)*AW49+(1-EXP(-LN(2)/2))/(LN(2)/2)*AQ50*AT50*VLOOKUP('Données projet'!$B$10,Paramètres!$A$1:$I$89,3,0)*0.475*44/12</f>
        <v>0.85351749169338065</v>
      </c>
      <c r="AX50" s="21">
        <f t="shared" si="6"/>
        <v>15.032267463831028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231.19999999999987</v>
      </c>
      <c r="BE50" s="13">
        <f>BD50*VLOOKUP('Données projet'!$B$11,Paramètres!$A$1:$I$89,3,0)*VLOOKUP('Données projet'!$B$11,Paramètres!$A$1:$I$89,5,0)</f>
        <v>220.00991999999988</v>
      </c>
      <c r="BF50" s="13">
        <f t="shared" si="37"/>
        <v>54.117041777925152</v>
      </c>
      <c r="BG50" s="20">
        <f t="shared" si="7"/>
        <v>477.43779176321937</v>
      </c>
      <c r="BH50" s="59">
        <f t="shared" si="8"/>
        <v>770.77112509655262</v>
      </c>
      <c r="BI50" s="59">
        <f ca="1">AVERAGE(OFFSET($BH$3,0,0,'Données projet'!$E$11+1,1))-AVERAGE(OFFSET($H$3,0,0,'Données projet'!$E$11+1,1))</f>
        <v>339.00921630742886</v>
      </c>
      <c r="BJ50" s="59">
        <f t="shared" si="38"/>
        <v>314.95763895978303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16.725201236896968</v>
      </c>
      <c r="BQ50" s="21">
        <f>EXP(-LN(2)/25)*BQ49+(1-EXP(-LN(2)/25))/(LN(2)/25)*Calculateur!BL50*Calculateur!BN50*VLOOKUP('Données projet'!$B$11,Paramètres!$A$1:$I$89,3,0)*0.475*44/12</f>
        <v>2.1923089274039764</v>
      </c>
      <c r="BR50" s="21">
        <f>EXP(-LN(2)/2)*BR49+(1-EXP(-LN(2)/2))/(LN(2)/2)*BL50*BO50*VLOOKUP('Données projet'!$B$11,Paramètres!$A$1:$I$89,3,0)*0.475*44/12</f>
        <v>0.95245850158159162</v>
      </c>
      <c r="BS50" s="22">
        <f t="shared" si="9"/>
        <v>19.869968665882535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129.39999999999998</v>
      </c>
      <c r="BZ50" s="13">
        <f>BY50*VLOOKUP('Données projet'!$B$12,Paramètres!$A$1:$I$89,3,0)*VLOOKUP('Données projet'!$B$12,Paramètres!$A$1:$I$89,5,0)</f>
        <v>111.02519999999998</v>
      </c>
      <c r="CA50" s="13">
        <f t="shared" si="39"/>
        <v>29.572399121141618</v>
      </c>
      <c r="CB50" s="20">
        <f t="shared" si="10"/>
        <v>244.87415180265498</v>
      </c>
      <c r="CC50" s="59">
        <f t="shared" si="11"/>
        <v>538.20748513598824</v>
      </c>
      <c r="CD50" s="59">
        <f ca="1">AVERAGE(OFFSET($CC$3,0,0,'Données projet'!$E$12+1,1))-AVERAGE(OFFSET($H$3,0,0,'Données projet'!$E$12+1,1))</f>
        <v>204.6927427024138</v>
      </c>
      <c r="CE50" s="59">
        <f t="shared" si="40"/>
        <v>115.74231133146816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5.8010823434091376</v>
      </c>
      <c r="CL50" s="21">
        <f>EXP(-LN(2)/25)*CL49+(1-EXP(-LN(2)/25))/(LN(2)/25)*Calculateur!CG50*Calculateur!CI50*VLOOKUP('Données projet'!$B$12,Paramètres!$A$1:$I$89,3,0)*0.475*44/12</f>
        <v>1.488652201370287</v>
      </c>
      <c r="CM50" s="21">
        <f>EXP(-LN(2)/2)*CM49+(1-EXP(-LN(2)/2))/(LN(2)/2)*CG50*CJ50*VLOOKUP('Données projet'!$B$12,Paramètres!$A$1:$I$89,3,0)*0.475*44/12</f>
        <v>1.2003452693754344</v>
      </c>
      <c r="CN50" s="22">
        <f t="shared" si="12"/>
        <v>8.4900798141548588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204.15575418077316</v>
      </c>
      <c r="CZ50" s="59">
        <f t="shared" si="42"/>
        <v>473.73726605265045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55.957323019547296</v>
      </c>
      <c r="DG50" s="21">
        <f>EXP(-LN(2)/25)*DG49+(1-EXP(-LN(2)/25))/(LN(2)/25)*Calculateur!DB50*Calculateur!DD50*VLOOKUP('Données projet'!$B$13,Paramètres!$A$1:$I$89,3,0)*0.475*44/12</f>
        <v>28.654132365013936</v>
      </c>
      <c r="DH50" s="21">
        <f>EXP(-LN(2)/2)*DH49+(1-EXP(-LN(2)/2))/(LN(2)/2)*DB50*DE50*VLOOKUP('Données projet'!$B$13,Paramètres!$A$1:$I$89,3,0)*0.475*44/12</f>
        <v>1.4877428717954352E-2</v>
      </c>
      <c r="DI50" s="22">
        <f t="shared" si="15"/>
        <v>84.626332813279177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-1.7053025658242404E-13</v>
      </c>
      <c r="O51" s="13">
        <f>N51*VLOOKUP('Données projet'!$B$9,Paramètres!$A$1:$I$89,3,0)*VLOOKUP('Données projet'!$B$9,Paramètres!$A$1:$I$89,5,0)</f>
        <v>-1.0197709343628959E-13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216.83230520434313</v>
      </c>
      <c r="T51" s="59">
        <f t="shared" si="34"/>
        <v>275.41891707278205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122.08014204173733</v>
      </c>
      <c r="AA51" s="21">
        <f>EXP(-LN(2)/25)*AA50+(1-EXP(-LN(2)/25))/(LN(2)/25)*Calculateur!V51*Calculateur!X51*VLOOKUP('Données projet'!$B$9,Paramètres!$A$1:$I$89,3,0)*0.475*44/12</f>
        <v>23.237230012415075</v>
      </c>
      <c r="AB51" s="21">
        <f>EXP(-LN(2)/2)*AB50+(1-EXP(-LN(2)/2))/(LN(2)/2)*V51*Y51*VLOOKUP('Données projet'!$B$9,Paramètres!$A$1:$I$89,3,0)*0.475*44/12</f>
        <v>20.300113972369054</v>
      </c>
      <c r="AC51" s="22">
        <f t="shared" si="3"/>
        <v>165.61748602652145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163.86240000000004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651.37624482072556</v>
      </c>
      <c r="AN51" s="59">
        <f ca="1">AVERAGE(OFFSET($AM$3,0,0,'Données projet'!$E$10+1,1))-AVERAGE(OFFSET($H$3,0,0,'Données projet'!$E$10+1,1))</f>
        <v>292.42154837691379</v>
      </c>
      <c r="AO51" s="59">
        <f t="shared" si="36"/>
        <v>193.18009444354601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12.308426722522949</v>
      </c>
      <c r="AV51" s="21">
        <f>EXP(-LN(2)/25)*AV50+(1-EXP(-LN(2)/25))/(LN(2)/25)*Calculateur!AQ51*Calculateur!AS51*VLOOKUP('Données projet'!$B$10,Paramètres!$A$1:$I$89,3,0)*0.475*44/12</f>
        <v>1.5797228513148509</v>
      </c>
      <c r="AW51" s="21">
        <f>EXP(-LN(2)/2)*AW50+(1-EXP(-LN(2)/2))/(LN(2)/2)*AQ51*AT51*VLOOKUP('Données projet'!$B$10,Paramètres!$A$1:$I$89,3,0)*0.475*44/12</f>
        <v>0.60352800623772229</v>
      </c>
      <c r="AX51" s="21">
        <f t="shared" si="6"/>
        <v>14.491677580075523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239.79999999999987</v>
      </c>
      <c r="BE51" s="13">
        <f>BD51*VLOOKUP('Données projet'!$B$11,Paramètres!$A$1:$I$89,3,0)*VLOOKUP('Données projet'!$B$11,Paramètres!$A$1:$I$89,5,0)</f>
        <v>228.19367999999986</v>
      </c>
      <c r="BF51" s="13">
        <f t="shared" si="37"/>
        <v>55.891933871330544</v>
      </c>
      <c r="BG51" s="20">
        <f t="shared" si="7"/>
        <v>494.78244415923376</v>
      </c>
      <c r="BH51" s="59">
        <f t="shared" si="8"/>
        <v>788.11577749256708</v>
      </c>
      <c r="BI51" s="59">
        <f ca="1">AVERAGE(OFFSET($BH$3,0,0,'Données projet'!$E$11+1,1))-AVERAGE(OFFSET($H$3,0,0,'Données projet'!$E$11+1,1))</f>
        <v>339.00921630742886</v>
      </c>
      <c r="BJ51" s="59">
        <f t="shared" si="38"/>
        <v>314.95763895978303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16.39723024200687</v>
      </c>
      <c r="BQ51" s="21">
        <f>EXP(-LN(2)/25)*BQ50+(1-EXP(-LN(2)/25))/(LN(2)/25)*Calculateur!BL51*Calculateur!BN51*VLOOKUP('Données projet'!$B$11,Paramètres!$A$1:$I$89,3,0)*0.475*44/12</f>
        <v>2.132360124495599</v>
      </c>
      <c r="BR51" s="21">
        <f>EXP(-LN(2)/2)*BR50+(1-EXP(-LN(2)/2))/(LN(2)/2)*BL51*BO51*VLOOKUP('Données projet'!$B$11,Paramètres!$A$1:$I$89,3,0)*0.475*44/12</f>
        <v>0.67348986526712151</v>
      </c>
      <c r="BS51" s="22">
        <f t="shared" si="9"/>
        <v>19.20308023176959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137.59999999999997</v>
      </c>
      <c r="BZ51" s="13">
        <f>BY51*VLOOKUP('Données projet'!$B$12,Paramètres!$A$1:$I$89,3,0)*VLOOKUP('Données projet'!$B$12,Paramètres!$A$1:$I$89,5,0)</f>
        <v>118.06079999999999</v>
      </c>
      <c r="CA51" s="13">
        <f t="shared" si="39"/>
        <v>31.222284778272353</v>
      </c>
      <c r="CB51" s="20">
        <f t="shared" si="10"/>
        <v>260.00137265549091</v>
      </c>
      <c r="CC51" s="59">
        <f t="shared" si="11"/>
        <v>553.33470598882423</v>
      </c>
      <c r="CD51" s="59">
        <f ca="1">AVERAGE(OFFSET($CC$3,0,0,'Données projet'!$E$12+1,1))-AVERAGE(OFFSET($H$3,0,0,'Données projet'!$E$12+1,1))</f>
        <v>204.6927427024138</v>
      </c>
      <c r="CE51" s="59">
        <f t="shared" si="40"/>
        <v>115.74231133146816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5.6873266569657348</v>
      </c>
      <c r="CL51" s="21">
        <f>EXP(-LN(2)/25)*CL50+(1-EXP(-LN(2)/25))/(LN(2)/25)*Calculateur!CG51*Calculateur!CI51*VLOOKUP('Données projet'!$B$12,Paramètres!$A$1:$I$89,3,0)*0.475*44/12</f>
        <v>1.4479449286389996</v>
      </c>
      <c r="CM51" s="21">
        <f>EXP(-LN(2)/2)*CM50+(1-EXP(-LN(2)/2))/(LN(2)/2)*CG51*CJ51*VLOOKUP('Données projet'!$B$12,Paramètres!$A$1:$I$89,3,0)*0.475*44/12</f>
        <v>0.8487722797405628</v>
      </c>
      <c r="CN51" s="22">
        <f t="shared" si="12"/>
        <v>7.9840438653452965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204.15575418077316</v>
      </c>
      <c r="CZ51" s="59">
        <f t="shared" si="42"/>
        <v>473.73726605265045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54.860034045730899</v>
      </c>
      <c r="DG51" s="21">
        <f>EXP(-LN(2)/25)*DG50+(1-EXP(-LN(2)/25))/(LN(2)/25)*Calculateur!DB51*Calculateur!DD51*VLOOKUP('Données projet'!$B$13,Paramètres!$A$1:$I$89,3,0)*0.475*44/12</f>
        <v>27.8705836086373</v>
      </c>
      <c r="DH51" s="21">
        <f>EXP(-LN(2)/2)*DH50+(1-EXP(-LN(2)/2))/(LN(2)/2)*DB51*DE51*VLOOKUP('Données projet'!$B$13,Paramètres!$A$1:$I$89,3,0)*0.475*44/12</f>
        <v>1.0519930733085006E-2</v>
      </c>
      <c r="DI51" s="22">
        <f t="shared" si="15"/>
        <v>82.741137585101285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-1.7053025658242404E-13</v>
      </c>
      <c r="O52" s="13">
        <f>N52*VLOOKUP('Données projet'!$B$9,Paramètres!$A$1:$I$89,3,0)*VLOOKUP('Données projet'!$B$9,Paramètres!$A$1:$I$89,5,0)</f>
        <v>-1.0197709343628959E-13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216.83230520434313</v>
      </c>
      <c r="T52" s="59">
        <f t="shared" si="34"/>
        <v>275.41891707278205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119.68622491783304</v>
      </c>
      <c r="AA52" s="21">
        <f>EXP(-LN(2)/25)*AA51+(1-EXP(-LN(2)/25))/(LN(2)/25)*Calculateur!V52*Calculateur!X52*VLOOKUP('Données projet'!$B$9,Paramètres!$A$1:$I$89,3,0)*0.475*44/12</f>
        <v>22.601806735732769</v>
      </c>
      <c r="AB52" s="21">
        <f>EXP(-LN(2)/2)*AB51+(1-EXP(-LN(2)/2))/(LN(2)/2)*V52*Y52*VLOOKUP('Données projet'!$B$9,Paramètres!$A$1:$I$89,3,0)*0.475*44/12</f>
        <v>14.354348248721942</v>
      </c>
      <c r="AC52" s="22">
        <f t="shared" si="3"/>
        <v>156.64237990228776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669.10572320317215</v>
      </c>
      <c r="AN52" s="59">
        <f ca="1">AVERAGE(OFFSET($AM$3,0,0,'Données projet'!$E$10+1,1))-AVERAGE(OFFSET($H$3,0,0,'Données projet'!$E$10+1,1))</f>
        <v>292.42154837691379</v>
      </c>
      <c r="AO52" s="59">
        <f t="shared" si="36"/>
        <v>193.18009444354601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12.067065981893281</v>
      </c>
      <c r="AV52" s="21">
        <f>EXP(-LN(2)/25)*AV51+(1-EXP(-LN(2)/25))/(LN(2)/25)*Calculateur!AQ52*Calculateur!AS52*VLOOKUP('Données projet'!$B$10,Paramètres!$A$1:$I$89,3,0)*0.475*44/12</f>
        <v>1.5365252468716322</v>
      </c>
      <c r="AW52" s="21">
        <f>EXP(-LN(2)/2)*AW51+(1-EXP(-LN(2)/2))/(LN(2)/2)*AQ52*AT52*VLOOKUP('Données projet'!$B$10,Paramètres!$A$1:$I$89,3,0)*0.475*44/12</f>
        <v>0.42675874584669043</v>
      </c>
      <c r="AX52" s="21">
        <f t="shared" si="6"/>
        <v>14.030349974611603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248.39999999999986</v>
      </c>
      <c r="BE52" s="13">
        <f>BD52*VLOOKUP('Données projet'!$B$11,Paramètres!$A$1:$I$89,3,0)*VLOOKUP('Données projet'!$B$11,Paramètres!$A$1:$I$89,5,0)</f>
        <v>236.37743999999986</v>
      </c>
      <c r="BF52" s="13">
        <f t="shared" si="37"/>
        <v>57.659430484223769</v>
      </c>
      <c r="BG52" s="20">
        <f t="shared" si="7"/>
        <v>512.11421609335616</v>
      </c>
      <c r="BH52" s="59">
        <f t="shared" si="8"/>
        <v>805.44754942668942</v>
      </c>
      <c r="BI52" s="59">
        <f ca="1">AVERAGE(OFFSET($BH$3,0,0,'Données projet'!$E$11+1,1))-AVERAGE(OFFSET($H$3,0,0,'Données projet'!$E$11+1,1))</f>
        <v>339.00921630742886</v>
      </c>
      <c r="BJ52" s="59">
        <f t="shared" si="38"/>
        <v>314.95763895978303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16.075690558284013</v>
      </c>
      <c r="BQ52" s="21">
        <f>EXP(-LN(2)/25)*BQ51+(1-EXP(-LN(2)/25))/(LN(2)/25)*Calculateur!BL52*Calculateur!BN52*VLOOKUP('Données projet'!$B$11,Paramètres!$A$1:$I$89,3,0)*0.475*44/12</f>
        <v>2.0740506247553214</v>
      </c>
      <c r="BR52" s="21">
        <f>EXP(-LN(2)/2)*BR51+(1-EXP(-LN(2)/2))/(LN(2)/2)*BL52*BO52*VLOOKUP('Données projet'!$B$11,Paramètres!$A$1:$I$89,3,0)*0.475*44/12</f>
        <v>0.47622925079079592</v>
      </c>
      <c r="BS52" s="22">
        <f t="shared" si="9"/>
        <v>18.62597043383013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145.79999999999995</v>
      </c>
      <c r="BZ52" s="13">
        <f>BY52*VLOOKUP('Données projet'!$B$12,Paramètres!$A$1:$I$89,3,0)*VLOOKUP('Données projet'!$B$12,Paramètres!$A$1:$I$89,5,0)</f>
        <v>125.09639999999997</v>
      </c>
      <c r="CA52" s="13">
        <f t="shared" si="39"/>
        <v>32.860758265272182</v>
      </c>
      <c r="CB52" s="20">
        <f t="shared" si="10"/>
        <v>275.10871731201564</v>
      </c>
      <c r="CC52" s="59">
        <f t="shared" si="11"/>
        <v>568.4420506453489</v>
      </c>
      <c r="CD52" s="59">
        <f ca="1">AVERAGE(OFFSET($CC$3,0,0,'Données projet'!$E$12+1,1))-AVERAGE(OFFSET($H$3,0,0,'Données projet'!$E$12+1,1))</f>
        <v>204.6927427024138</v>
      </c>
      <c r="CE52" s="59">
        <f t="shared" si="40"/>
        <v>115.74231133146816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5.5758016501493692</v>
      </c>
      <c r="CL52" s="21">
        <f>EXP(-LN(2)/25)*CL51+(1-EXP(-LN(2)/25))/(LN(2)/25)*Calculateur!CG52*Calculateur!CI52*VLOOKUP('Données projet'!$B$12,Paramètres!$A$1:$I$89,3,0)*0.475*44/12</f>
        <v>1.4083507984212518</v>
      </c>
      <c r="CM52" s="21">
        <f>EXP(-LN(2)/2)*CM51+(1-EXP(-LN(2)/2))/(LN(2)/2)*CG52*CJ52*VLOOKUP('Données projet'!$B$12,Paramètres!$A$1:$I$89,3,0)*0.475*44/12</f>
        <v>0.60017263468771731</v>
      </c>
      <c r="CN52" s="22">
        <f t="shared" si="12"/>
        <v>7.5843250832583378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204.15575418077316</v>
      </c>
      <c r="CZ52" s="59">
        <f t="shared" si="42"/>
        <v>473.73726605265045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53.78426223941085</v>
      </c>
      <c r="DG52" s="21">
        <f>EXP(-LN(2)/25)*DG51+(1-EXP(-LN(2)/25))/(LN(2)/25)*Calculateur!DB52*Calculateur!DD52*VLOOKUP('Données projet'!$B$13,Paramètres!$A$1:$I$89,3,0)*0.475*44/12</f>
        <v>27.108461034208819</v>
      </c>
      <c r="DH52" s="21">
        <f>EXP(-LN(2)/2)*DH51+(1-EXP(-LN(2)/2))/(LN(2)/2)*DB52*DE52*VLOOKUP('Données projet'!$B$13,Paramètres!$A$1:$I$89,3,0)*0.475*44/12</f>
        <v>7.438714358977176E-3</v>
      </c>
      <c r="DI52" s="22">
        <f t="shared" si="15"/>
        <v>80.900161987978649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-1.7053025658242404E-13</v>
      </c>
      <c r="O53" s="13">
        <f>N53*VLOOKUP('Données projet'!$B$9,Paramètres!$A$1:$I$89,3,0)*VLOOKUP('Données projet'!$B$9,Paramètres!$A$1:$I$89,5,0)</f>
        <v>-1.0197709343628959E-13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216.83230520434313</v>
      </c>
      <c r="T53" s="59">
        <f t="shared" si="34"/>
        <v>275.41891707278205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117.33925104858325</v>
      </c>
      <c r="AA53" s="21">
        <f>EXP(-LN(2)/25)*AA52+(1-EXP(-LN(2)/25))/(LN(2)/25)*Calculateur!V53*Calculateur!X53*VLOOKUP('Données projet'!$B$9,Paramètres!$A$1:$I$89,3,0)*0.475*44/12</f>
        <v>21.983759141966797</v>
      </c>
      <c r="AB53" s="21">
        <f>EXP(-LN(2)/2)*AB52+(1-EXP(-LN(2)/2))/(LN(2)/2)*V53*Y53*VLOOKUP('Données projet'!$B$9,Paramètres!$A$1:$I$89,3,0)*0.475*44/12</f>
        <v>10.150056986184529</v>
      </c>
      <c r="AC53" s="22">
        <f t="shared" si="3"/>
        <v>149.47306717673456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180.49200000000002</v>
      </c>
      <c r="AK53" s="13">
        <f t="shared" si="35"/>
        <v>45.431629706642653</v>
      </c>
      <c r="AL53" s="20">
        <f t="shared" si="4"/>
        <v>393.4836550724026</v>
      </c>
      <c r="AM53" s="59">
        <f t="shared" si="5"/>
        <v>686.81698840573586</v>
      </c>
      <c r="AN53" s="59">
        <f ca="1">AVERAGE(OFFSET($AM$3,0,0,'Données projet'!$E$10+1,1))-AVERAGE(OFFSET($H$3,0,0,'Données projet'!$E$10+1,1))</f>
        <v>292.42154837691379</v>
      </c>
      <c r="AO53" s="59">
        <f t="shared" si="36"/>
        <v>193.18009444354601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0.25800000000000001</v>
      </c>
      <c r="AS53" s="16">
        <f>IF(ISNA(VLOOKUP(A53,'Données projet'!$A$61:$I$81,6,0)),0%,VLOOKUP(A53,'Données projet'!$A$61:$I$81,6,0)*VLOOKUP('Données projet'!$B$10,Paramètres!$A$1:$I$89,7,0))</f>
        <v>1.72E-2</v>
      </c>
      <c r="AT53" s="16">
        <f>IF(ISNA(VLOOKUP(A53,'Données projet'!$A$61:$I$81,7,0)),0%,VLOOKUP(A53,'Données projet'!$A$61:$I$81,7,0))</f>
        <v>0.06</v>
      </c>
      <c r="AU53" s="21">
        <f>EXP(-LN(2)/35)*AU52+(1-EXP(-LN(2)/35))/(LN(2)/35)*AQ53*AR53*VLOOKUP('Données projet'!$B$10,Paramètres!$A$1:$I$89,3,0)*0.475*44/12</f>
        <v>17.9037288337097</v>
      </c>
      <c r="AV53" s="21">
        <f>EXP(-LN(2)/25)*AV52+(1-EXP(-LN(2)/25))/(LN(2)/25)*Calculateur!AQ53*Calculateur!AS53*VLOOKUP('Données projet'!$B$10,Paramètres!$A$1:$I$89,3,0)*0.475*44/12</f>
        <v>1.897800736268366</v>
      </c>
      <c r="AW53" s="21">
        <f>EXP(-LN(2)/2)*AW52+(1-EXP(-LN(2)/2))/(LN(2)/2)*AQ53*AT53*VLOOKUP('Données projet'!$B$10,Paramètres!$A$1:$I$89,3,0)*0.475*44/12</f>
        <v>1.5072517302952897</v>
      </c>
      <c r="AX53" s="21">
        <f t="shared" si="6"/>
        <v>21.308781300273356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257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256.99999999999989</v>
      </c>
      <c r="BE53" s="13">
        <f>BD53*VLOOKUP('Données projet'!$B$11,Paramètres!$A$1:$I$89,3,0)*VLOOKUP('Données projet'!$B$11,Paramètres!$A$1:$I$89,5,0)</f>
        <v>244.5611999999999</v>
      </c>
      <c r="BF53" s="13">
        <f t="shared" si="37"/>
        <v>59.419817003915256</v>
      </c>
      <c r="BG53" s="20">
        <f t="shared" si="7"/>
        <v>529.43360461515215</v>
      </c>
      <c r="BH53" s="59">
        <f t="shared" si="8"/>
        <v>822.76693794848552</v>
      </c>
      <c r="BI53" s="59">
        <f ca="1">AVERAGE(OFFSET($BH$3,0,0,'Données projet'!$E$11+1,1))-AVERAGE(OFFSET($H$3,0,0,'Données projet'!$E$11+1,1))</f>
        <v>339.00921630742886</v>
      </c>
      <c r="BJ53" s="59">
        <f t="shared" si="38"/>
        <v>314.95763895978303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0.25800000000000001</v>
      </c>
      <c r="BN53" s="16">
        <f>IF(ISNA(VLOOKUP(A53,'Données projet'!$A$87:$I$107,6,0)),0%,VLOOKUP(A53,'Données projet'!$A$87:$I$107,6,0)*VLOOKUP('Données projet'!$B$11,Paramètres!$A$1:$I$89,7,0))</f>
        <v>1.72E-2</v>
      </c>
      <c r="BO53" s="16">
        <f>IF(ISNA(VLOOKUP(A53,'Données projet'!$A$87:$I$107,7,0)),0%,VLOOKUP(A53,'Données projet'!$A$87:$I$107,7,0))</f>
        <v>0.06</v>
      </c>
      <c r="BP53" s="21">
        <f>EXP(-LN(2)/35)*BP52+(1-EXP(-LN(2)/35))/(LN(2)/35)*BL53*BM53*VLOOKUP('Données projet'!$B$11,Paramètres!$A$1:$I$89,3,0)*0.475*44/12</f>
        <v>22.274227148347855</v>
      </c>
      <c r="BQ53" s="21">
        <f>EXP(-LN(2)/25)*BQ52+(1-EXP(-LN(2)/25))/(LN(2)/25)*Calculateur!BL53*Calculateur!BN53*VLOOKUP('Données projet'!$B$11,Paramètres!$A$1:$I$89,3,0)*0.475*44/12</f>
        <v>2.4498771932210297</v>
      </c>
      <c r="BR53" s="21">
        <f>EXP(-LN(2)/2)*BR52+(1-EXP(-LN(2)/2))/(LN(2)/2)*BL53*BO53*VLOOKUP('Données projet'!$B$11,Paramètres!$A$1:$I$89,3,0)*0.475*44/12</f>
        <v>1.6296636378249825</v>
      </c>
      <c r="BS53" s="22">
        <f t="shared" si="9"/>
        <v>26.353767979393869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154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153.99999999999994</v>
      </c>
      <c r="BZ53" s="13">
        <f>BY53*VLOOKUP('Données projet'!$B$12,Paramètres!$A$1:$I$89,3,0)*VLOOKUP('Données projet'!$B$12,Paramètres!$A$1:$I$89,5,0)</f>
        <v>132.13199999999998</v>
      </c>
      <c r="CA53" s="13">
        <f t="shared" si="39"/>
        <v>34.488534562859115</v>
      </c>
      <c r="CB53" s="20">
        <f t="shared" si="10"/>
        <v>290.19743103031288</v>
      </c>
      <c r="CC53" s="59">
        <f t="shared" si="11"/>
        <v>583.5307643636462</v>
      </c>
      <c r="CD53" s="59">
        <f ca="1">AVERAGE(OFFSET($CC$3,0,0,'Données projet'!$E$12+1,1))-AVERAGE(OFFSET($H$3,0,0,'Données projet'!$E$12+1,1))</f>
        <v>204.6927427024138</v>
      </c>
      <c r="CE53" s="59">
        <f t="shared" si="40"/>
        <v>115.74231133146816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0.21200000000000002</v>
      </c>
      <c r="CI53" s="16">
        <f>IF(ISNA(VLOOKUP(A53,'Données projet'!$A$113:$I$133,6,0)),0%,VLOOKUP(A53,'Données projet'!$A$113:$I$133,6,0)*VLOOKUP('Données projet'!$B$12,Paramètres!$A$1:$I$89,7,0))</f>
        <v>3.1800000000000002E-2</v>
      </c>
      <c r="CJ53" s="16">
        <f>IF(ISNA(VLOOKUP(A53,'Données projet'!$A$113:$I$133,7,0)),0%,VLOOKUP(A53,'Données projet'!$A$113:$I$133,7,0))</f>
        <v>0.14000000000000001</v>
      </c>
      <c r="CK53" s="21">
        <f>EXP(-LN(2)/35)*CK52+(1-EXP(-LN(2)/35))/(LN(2)/35)*CG53*CH53*VLOOKUP('Données projet'!$B$12,Paramètres!$A$1:$I$89,3,0)*0.475*44/12</f>
        <v>9.6891570239591722</v>
      </c>
      <c r="CL53" s="21">
        <f>EXP(-LN(2)/25)*CL52+(1-EXP(-LN(2)/25))/(LN(2)/25)*Calculateur!CG53*Calculateur!CI53*VLOOKUP('Données projet'!$B$12,Paramètres!$A$1:$I$89,3,0)*0.475*44/12</f>
        <v>2.0007494353076063</v>
      </c>
      <c r="CM53" s="21">
        <f>EXP(-LN(2)/2)*CM52+(1-EXP(-LN(2)/2))/(LN(2)/2)*CG53*CJ53*VLOOKUP('Données projet'!$B$12,Paramètres!$A$1:$I$89,3,0)*0.475*44/12</f>
        <v>2.8044516525006653</v>
      </c>
      <c r="CN53" s="22">
        <f t="shared" si="12"/>
        <v>14.494358111767443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204.15575418077316</v>
      </c>
      <c r="CZ53" s="59">
        <f t="shared" si="42"/>
        <v>473.73726605265045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52.729585662056728</v>
      </c>
      <c r="DG53" s="21">
        <f>EXP(-LN(2)/25)*DG52+(1-EXP(-LN(2)/25))/(LN(2)/25)*Calculateur!DB53*Calculateur!DD53*VLOOKUP('Données projet'!$B$13,Paramètres!$A$1:$I$89,3,0)*0.475*44/12</f>
        <v>26.367178741656371</v>
      </c>
      <c r="DH53" s="21">
        <f>EXP(-LN(2)/2)*DH52+(1-EXP(-LN(2)/2))/(LN(2)/2)*DB53*DE53*VLOOKUP('Données projet'!$B$13,Paramètres!$A$1:$I$89,3,0)*0.475*44/12</f>
        <v>5.2599653665425031E-3</v>
      </c>
      <c r="DI53" s="22">
        <f t="shared" si="15"/>
        <v>79.102024369079643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-1.7053025658242404E-13</v>
      </c>
      <c r="O54" s="13">
        <f>N54*VLOOKUP('Données projet'!$B$9,Paramètres!$A$1:$I$89,3,0)*VLOOKUP('Données projet'!$B$9,Paramètres!$A$1:$I$89,5,0)</f>
        <v>-1.0197709343628959E-13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216.83230520434313</v>
      </c>
      <c r="T54" s="59">
        <f t="shared" si="34"/>
        <v>275.41891707278205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115.03829990539674</v>
      </c>
      <c r="AA54" s="21">
        <f>EXP(-LN(2)/25)*AA53+(1-EXP(-LN(2)/25))/(LN(2)/25)*Calculateur!V54*Calculateur!X54*VLOOKUP('Données projet'!$B$9,Paramètres!$A$1:$I$89,3,0)*0.475*44/12</f>
        <v>21.382612092154066</v>
      </c>
      <c r="AB54" s="21">
        <f>EXP(-LN(2)/2)*AB53+(1-EXP(-LN(2)/2))/(LN(2)/2)*V54*Y54*VLOOKUP('Données projet'!$B$9,Paramètres!$A$1:$I$89,3,0)*0.475*44/12</f>
        <v>7.1771741243609721</v>
      </c>
      <c r="AC54" s="22">
        <f t="shared" si="3"/>
        <v>143.59808612191176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167.31</v>
      </c>
      <c r="AK54" s="13">
        <f t="shared" si="35"/>
        <v>42.486994942347515</v>
      </c>
      <c r="AL54" s="20">
        <f t="shared" si="4"/>
        <v>365.39643285792187</v>
      </c>
      <c r="AM54" s="59">
        <f t="shared" si="5"/>
        <v>658.72976619125518</v>
      </c>
      <c r="AN54" s="59">
        <f ca="1">AVERAGE(OFFSET($AM$3,0,0,'Données projet'!$E$10+1,1))-AVERAGE(OFFSET($H$3,0,0,'Données projet'!$E$10+1,1))</f>
        <v>292.42154837691379</v>
      </c>
      <c r="AO54" s="59">
        <f t="shared" si="36"/>
        <v>193.18009444354601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17.552647631476962</v>
      </c>
      <c r="AV54" s="21">
        <f>EXP(-LN(2)/25)*AV53+(1-EXP(-LN(2)/25))/(LN(2)/25)*Calculateur!AQ54*Calculateur!AS54*VLOOKUP('Données projet'!$B$10,Paramètres!$A$1:$I$89,3,0)*0.475*44/12</f>
        <v>1.8459052753341043</v>
      </c>
      <c r="AW54" s="21">
        <f>EXP(-LN(2)/2)*AW53+(1-EXP(-LN(2)/2))/(LN(2)/2)*AQ54*AT54*VLOOKUP('Données projet'!$B$10,Paramètres!$A$1:$I$89,3,0)*0.475*44/12</f>
        <v>1.0657879194469566</v>
      </c>
      <c r="AX54" s="21">
        <f t="shared" si="6"/>
        <v>20.464340826258024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8.1999999999999993</v>
      </c>
      <c r="BD54" s="12">
        <f>IF('Données projet'!$A$88&gt;35,BD53+BC54-BL53,IF(A54&lt;'Données projet'!$A$88,$BA$205^A54,IF(A54='Données projet'!$A$88,'Données projet'!$B$88,BD53+BC54-BL53)))</f>
        <v>241.19999999999987</v>
      </c>
      <c r="BE54" s="13">
        <f>BD54*VLOOKUP('Données projet'!$B$11,Paramètres!$A$1:$I$89,3,0)*VLOOKUP('Données projet'!$B$11,Paramètres!$A$1:$I$89,5,0)</f>
        <v>229.52591999999987</v>
      </c>
      <c r="BF54" s="13">
        <f t="shared" si="37"/>
        <v>56.180162044652285</v>
      </c>
      <c r="BG54" s="20">
        <f t="shared" si="7"/>
        <v>497.60475956110253</v>
      </c>
      <c r="BH54" s="59">
        <f t="shared" si="8"/>
        <v>790.93809289443584</v>
      </c>
      <c r="BI54" s="59">
        <f ca="1">AVERAGE(OFFSET($BH$3,0,0,'Données projet'!$E$11+1,1))-AVERAGE(OFFSET($H$3,0,0,'Données projet'!$E$11+1,1))</f>
        <v>339.00921630742886</v>
      </c>
      <c r="BJ54" s="59">
        <f t="shared" si="38"/>
        <v>314.95763895978303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21.837443139905815</v>
      </c>
      <c r="BQ54" s="21">
        <f>EXP(-LN(2)/25)*BQ53+(1-EXP(-LN(2)/25))/(LN(2)/25)*Calculateur!BL54*Calculateur!BN54*VLOOKUP('Données projet'!$B$11,Paramètres!$A$1:$I$89,3,0)*0.475*44/12</f>
        <v>2.3828851725389582</v>
      </c>
      <c r="BR54" s="21">
        <f>EXP(-LN(2)/2)*BR53+(1-EXP(-LN(2)/2))/(LN(2)/2)*BL54*BO54*VLOOKUP('Données projet'!$B$11,Paramètres!$A$1:$I$89,3,0)*0.475*44/12</f>
        <v>1.152346209359183</v>
      </c>
      <c r="BS54" s="22">
        <f t="shared" si="9"/>
        <v>25.372674521803958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8.6</v>
      </c>
      <c r="BY54" s="12">
        <f>IF('Données projet'!$A$114&gt;35,BY53+BX54-CG53,IF(A54&lt;'Données projet'!$A$114,$BV$205^A54,IF(A54='Données projet'!$A$114,'Données projet'!$B$114,BY53+BX54-CG53)))</f>
        <v>141.59999999999994</v>
      </c>
      <c r="BZ54" s="13">
        <f>BY54*VLOOKUP('Données projet'!$B$12,Paramètres!$A$1:$I$89,3,0)*VLOOKUP('Données projet'!$B$12,Paramètres!$A$1:$I$89,5,0)</f>
        <v>121.49279999999995</v>
      </c>
      <c r="CA54" s="13">
        <f t="shared" si="39"/>
        <v>32.022919460248382</v>
      </c>
      <c r="CB54" s="20">
        <f t="shared" si="10"/>
        <v>267.37321139326588</v>
      </c>
      <c r="CC54" s="59">
        <f t="shared" si="11"/>
        <v>560.70654472659919</v>
      </c>
      <c r="CD54" s="59">
        <f ca="1">AVERAGE(OFFSET($CC$3,0,0,'Données projet'!$E$12+1,1))-AVERAGE(OFFSET($H$3,0,0,'Données projet'!$E$12+1,1))</f>
        <v>204.6927427024138</v>
      </c>
      <c r="CE54" s="59">
        <f t="shared" si="40"/>
        <v>115.74231133146816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9.4991585645215721</v>
      </c>
      <c r="CL54" s="21">
        <f>EXP(-LN(2)/25)*CL53+(1-EXP(-LN(2)/25))/(LN(2)/25)*Calculateur!CG54*Calculateur!CI54*VLOOKUP('Données projet'!$B$12,Paramètres!$A$1:$I$89,3,0)*0.475*44/12</f>
        <v>1.9460388367842798</v>
      </c>
      <c r="CM54" s="21">
        <f>EXP(-LN(2)/2)*CM53+(1-EXP(-LN(2)/2))/(LN(2)/2)*CG54*CJ54*VLOOKUP('Données projet'!$B$12,Paramètres!$A$1:$I$89,3,0)*0.475*44/12</f>
        <v>1.9830467809930397</v>
      </c>
      <c r="CN54" s="22">
        <f t="shared" si="12"/>
        <v>13.42824418229889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204.15575418077316</v>
      </c>
      <c r="CZ54" s="59">
        <f t="shared" si="42"/>
        <v>473.73726605265045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51.69559064909533</v>
      </c>
      <c r="DG54" s="21">
        <f>EXP(-LN(2)/25)*DG53+(1-EXP(-LN(2)/25))/(LN(2)/25)*Calculateur!DB54*Calculateur!DD54*VLOOKUP('Données projet'!$B$13,Paramètres!$A$1:$I$89,3,0)*0.475*44/12</f>
        <v>25.646166852376112</v>
      </c>
      <c r="DH54" s="21">
        <f>EXP(-LN(2)/2)*DH53+(1-EXP(-LN(2)/2))/(LN(2)/2)*DB54*DE54*VLOOKUP('Données projet'!$B$13,Paramètres!$A$1:$I$89,3,0)*0.475*44/12</f>
        <v>3.719357179488588E-3</v>
      </c>
      <c r="DI54" s="22">
        <f t="shared" si="15"/>
        <v>77.34547685865094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-1.7053025658242404E-13</v>
      </c>
      <c r="O55" s="13">
        <f>N55*VLOOKUP('Données projet'!$B$9,Paramètres!$A$1:$I$89,3,0)*VLOOKUP('Données projet'!$B$9,Paramètres!$A$1:$I$89,5,0)</f>
        <v>-1.0197709343628959E-13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216.83230520434313</v>
      </c>
      <c r="T55" s="59">
        <f t="shared" si="34"/>
        <v>275.41891707278205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112.7824690106865</v>
      </c>
      <c r="AA55" s="21">
        <f>EXP(-LN(2)/25)*AA54+(1-EXP(-LN(2)/25))/(LN(2)/25)*Calculateur!V55*Calculateur!X55*VLOOKUP('Données projet'!$B$9,Paramètres!$A$1:$I$89,3,0)*0.475*44/12</f>
        <v>20.797903440031412</v>
      </c>
      <c r="AB55" s="21">
        <f>EXP(-LN(2)/2)*AB54+(1-EXP(-LN(2)/2))/(LN(2)/2)*V55*Y55*VLOOKUP('Données projet'!$B$9,Paramètres!$A$1:$I$89,3,0)*0.475*44/12</f>
        <v>5.0750284930922653</v>
      </c>
      <c r="AC55" s="22">
        <f t="shared" si="3"/>
        <v>138.65540094381018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175.422</v>
      </c>
      <c r="AK55" s="13">
        <f t="shared" si="35"/>
        <v>44.302143412304737</v>
      </c>
      <c r="AL55" s="20">
        <f t="shared" si="4"/>
        <v>382.68621644309741</v>
      </c>
      <c r="AM55" s="59">
        <f t="shared" si="5"/>
        <v>676.01954977643072</v>
      </c>
      <c r="AN55" s="59">
        <f ca="1">AVERAGE(OFFSET($AM$3,0,0,'Données projet'!$E$10+1,1))-AVERAGE(OFFSET($H$3,0,0,'Données projet'!$E$10+1,1))</f>
        <v>292.42154837691379</v>
      </c>
      <c r="AO55" s="59">
        <f t="shared" si="36"/>
        <v>193.18009444354601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17.208450917481617</v>
      </c>
      <c r="AV55" s="21">
        <f>EXP(-LN(2)/25)*AV54+(1-EXP(-LN(2)/25))/(LN(2)/25)*Calculateur!AQ55*Calculateur!AS55*VLOOKUP('Données projet'!$B$10,Paramètres!$A$1:$I$89,3,0)*0.475*44/12</f>
        <v>1.7954288985081537</v>
      </c>
      <c r="AW55" s="21">
        <f>EXP(-LN(2)/2)*AW54+(1-EXP(-LN(2)/2))/(LN(2)/2)*AQ55*AT55*VLOOKUP('Données projet'!$B$10,Paramètres!$A$1:$I$89,3,0)*0.475*44/12</f>
        <v>0.75362586514764496</v>
      </c>
      <c r="AX55" s="21">
        <f t="shared" si="6"/>
        <v>19.757505681137413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8.1999999999999993</v>
      </c>
      <c r="BD55" s="12">
        <f>IF('Données projet'!$A$88&gt;35,BD54+BC55-BL54,IF(A55&lt;'Données projet'!$A$88,$BA$205^A55,IF(A55='Données projet'!$A$88,'Données projet'!$B$88,BD54+BC55-BL54)))</f>
        <v>249.39999999999986</v>
      </c>
      <c r="BE55" s="13">
        <f>BD55*VLOOKUP('Données projet'!$B$11,Paramètres!$A$1:$I$89,3,0)*VLOOKUP('Données projet'!$B$11,Paramètres!$A$1:$I$89,5,0)</f>
        <v>237.32903999999985</v>
      </c>
      <c r="BF55" s="13">
        <f t="shared" si="37"/>
        <v>57.864486657971952</v>
      </c>
      <c r="BG55" s="20">
        <f t="shared" si="7"/>
        <v>514.12872559596747</v>
      </c>
      <c r="BH55" s="59">
        <f t="shared" si="8"/>
        <v>807.46205892930084</v>
      </c>
      <c r="BI55" s="59">
        <f ca="1">AVERAGE(OFFSET($BH$3,0,0,'Données projet'!$E$11+1,1))-AVERAGE(OFFSET($H$3,0,0,'Données projet'!$E$11+1,1))</f>
        <v>339.00921630742886</v>
      </c>
      <c r="BJ55" s="59">
        <f t="shared" si="38"/>
        <v>314.95763895978303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21.409224199457384</v>
      </c>
      <c r="BQ55" s="21">
        <f>EXP(-LN(2)/25)*BQ54+(1-EXP(-LN(2)/25))/(LN(2)/25)*Calculateur!BL55*Calculateur!BN55*VLOOKUP('Données projet'!$B$11,Paramètres!$A$1:$I$89,3,0)*0.475*44/12</f>
        <v>2.3177250521853954</v>
      </c>
      <c r="BR55" s="21">
        <f>EXP(-LN(2)/2)*BR54+(1-EXP(-LN(2)/2))/(LN(2)/2)*BL55*BO55*VLOOKUP('Données projet'!$B$11,Paramètres!$A$1:$I$89,3,0)*0.475*44/12</f>
        <v>0.81483181891249135</v>
      </c>
      <c r="BS55" s="22">
        <f t="shared" si="9"/>
        <v>24.54178107055527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8.6</v>
      </c>
      <c r="BY55" s="12">
        <f>IF('Données projet'!$A$114&gt;35,BY54+BX55-CG54,IF(A55&lt;'Données projet'!$A$114,$BV$205^A55,IF(A55='Données projet'!$A$114,'Données projet'!$B$114,BY54+BX55-CG54)))</f>
        <v>150.19999999999993</v>
      </c>
      <c r="BZ55" s="13">
        <f>BY55*VLOOKUP('Données projet'!$B$12,Paramètres!$A$1:$I$89,3,0)*VLOOKUP('Données projet'!$B$12,Paramètres!$A$1:$I$89,5,0)</f>
        <v>128.87159999999997</v>
      </c>
      <c r="CA55" s="13">
        <f t="shared" si="39"/>
        <v>33.735487075909091</v>
      </c>
      <c r="CB55" s="20">
        <f t="shared" si="10"/>
        <v>283.20734332387497</v>
      </c>
      <c r="CC55" s="59">
        <f t="shared" si="11"/>
        <v>576.54067665720822</v>
      </c>
      <c r="CD55" s="59">
        <f ca="1">AVERAGE(OFFSET($CC$3,0,0,'Données projet'!$E$12+1,1))-AVERAGE(OFFSET($H$3,0,0,'Données projet'!$E$12+1,1))</f>
        <v>204.6927427024138</v>
      </c>
      <c r="CE55" s="59">
        <f t="shared" si="40"/>
        <v>115.74231133146816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9.3128858589859274</v>
      </c>
      <c r="CL55" s="21">
        <f>EXP(-LN(2)/25)*CL54+(1-EXP(-LN(2)/25))/(LN(2)/25)*Calculateur!CG55*Calculateur!CI55*VLOOKUP('Données projet'!$B$12,Paramètres!$A$1:$I$89,3,0)*0.475*44/12</f>
        <v>1.8928243024546789</v>
      </c>
      <c r="CM55" s="21">
        <f>EXP(-LN(2)/2)*CM54+(1-EXP(-LN(2)/2))/(LN(2)/2)*CG55*CJ55*VLOOKUP('Données projet'!$B$12,Paramètres!$A$1:$I$89,3,0)*0.475*44/12</f>
        <v>1.4022258262503329</v>
      </c>
      <c r="CN55" s="22">
        <f t="shared" si="12"/>
        <v>12.60793598769094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204.15575418077316</v>
      </c>
      <c r="CZ55" s="59">
        <f t="shared" si="42"/>
        <v>473.73726605265045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50.681871647663421</v>
      </c>
      <c r="DG55" s="21">
        <f>EXP(-LN(2)/25)*DG54+(1-EXP(-LN(2)/25))/(LN(2)/25)*Calculateur!DB55*Calculateur!DD55*VLOOKUP('Données projet'!$B$13,Paramètres!$A$1:$I$89,3,0)*0.475*44/12</f>
        <v>24.944871071124588</v>
      </c>
      <c r="DH55" s="21">
        <f>EXP(-LN(2)/2)*DH54+(1-EXP(-LN(2)/2))/(LN(2)/2)*DB55*DE55*VLOOKUP('Données projet'!$B$13,Paramètres!$A$1:$I$89,3,0)*0.475*44/12</f>
        <v>2.6299826832712515E-3</v>
      </c>
      <c r="DI55" s="22">
        <f t="shared" si="15"/>
        <v>75.629372701471283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-1.7053025658242404E-13</v>
      </c>
      <c r="O56" s="13">
        <f>N56*VLOOKUP('Données projet'!$B$9,Paramètres!$A$1:$I$89,3,0)*VLOOKUP('Données projet'!$B$9,Paramètres!$A$1:$I$89,5,0)</f>
        <v>-1.0197709343628959E-13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216.83230520434313</v>
      </c>
      <c r="T56" s="59">
        <f t="shared" si="34"/>
        <v>275.41891707278205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110.57087358390054</v>
      </c>
      <c r="AA56" s="21">
        <f>EXP(-LN(2)/25)*AA55+(1-EXP(-LN(2)/25))/(LN(2)/25)*Calculateur!V56*Calculateur!X56*VLOOKUP('Données projet'!$B$9,Paramètres!$A$1:$I$89,3,0)*0.475*44/12</f>
        <v>20.229183676749546</v>
      </c>
      <c r="AB56" s="21">
        <f>EXP(-LN(2)/2)*AB55+(1-EXP(-LN(2)/2))/(LN(2)/2)*V56*Y56*VLOOKUP('Données projet'!$B$9,Paramètres!$A$1:$I$89,3,0)*0.475*44/12</f>
        <v>3.5885870621804865</v>
      </c>
      <c r="AC56" s="22">
        <f t="shared" si="3"/>
        <v>134.38864432283057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183.53400000000002</v>
      </c>
      <c r="AK56" s="13">
        <f t="shared" si="35"/>
        <v>46.107544136839593</v>
      </c>
      <c r="AL56" s="20">
        <f t="shared" si="4"/>
        <v>399.95902270499568</v>
      </c>
      <c r="AM56" s="59">
        <f t="shared" si="5"/>
        <v>693.29235603832899</v>
      </c>
      <c r="AN56" s="59">
        <f ca="1">AVERAGE(OFFSET($AM$3,0,0,'Données projet'!$E$10+1,1))-AVERAGE(OFFSET($H$3,0,0,'Données projet'!$E$10+1,1))</f>
        <v>292.42154837691379</v>
      </c>
      <c r="AO56" s="59">
        <f t="shared" si="36"/>
        <v>193.18009444354601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16.871003691108456</v>
      </c>
      <c r="AV56" s="21">
        <f>EXP(-LN(2)/25)*AV55+(1-EXP(-LN(2)/25))/(LN(2)/25)*Calculateur!AQ56*Calculateur!AS56*VLOOKUP('Données projet'!$B$10,Paramètres!$A$1:$I$89,3,0)*0.475*44/12</f>
        <v>1.746332800860946</v>
      </c>
      <c r="AW56" s="21">
        <f>EXP(-LN(2)/2)*AW55+(1-EXP(-LN(2)/2))/(LN(2)/2)*AQ56*AT56*VLOOKUP('Données projet'!$B$10,Paramètres!$A$1:$I$89,3,0)*0.475*44/12</f>
        <v>0.53289395972347842</v>
      </c>
      <c r="AX56" s="21">
        <f t="shared" si="6"/>
        <v>19.150230451692877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8.1999999999999993</v>
      </c>
      <c r="BD56" s="12">
        <f>IF('Données projet'!$A$88&gt;35,BD55+BC56-BL55,IF(A56&lt;'Données projet'!$A$88,$BA$205^A56,IF(A56='Données projet'!$A$88,'Données projet'!$B$88,BD55+BC56-BL55)))</f>
        <v>257.59999999999985</v>
      </c>
      <c r="BE56" s="13">
        <f>BD56*VLOOKUP('Données projet'!$B$11,Paramètres!$A$1:$I$89,3,0)*VLOOKUP('Données projet'!$B$11,Paramètres!$A$1:$I$89,5,0)</f>
        <v>245.13215999999986</v>
      </c>
      <c r="BF56" s="13">
        <f t="shared" si="37"/>
        <v>59.542376278413307</v>
      </c>
      <c r="BG56" s="20">
        <f t="shared" si="7"/>
        <v>530.64148401823616</v>
      </c>
      <c r="BH56" s="59">
        <f t="shared" si="8"/>
        <v>823.97481735156953</v>
      </c>
      <c r="BI56" s="59">
        <f ca="1">AVERAGE(OFFSET($BH$3,0,0,'Données projet'!$E$11+1,1))-AVERAGE(OFFSET($H$3,0,0,'Données projet'!$E$11+1,1))</f>
        <v>339.00921630742886</v>
      </c>
      <c r="BJ56" s="59">
        <f t="shared" si="38"/>
        <v>314.95763895978303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20.989402371243383</v>
      </c>
      <c r="BQ56" s="21">
        <f>EXP(-LN(2)/25)*BQ55+(1-EXP(-LN(2)/25))/(LN(2)/25)*Calculateur!BL56*Calculateur!BN56*VLOOKUP('Données projet'!$B$11,Paramètres!$A$1:$I$89,3,0)*0.475*44/12</f>
        <v>2.2543467387495224</v>
      </c>
      <c r="BR56" s="21">
        <f>EXP(-LN(2)/2)*BR55+(1-EXP(-LN(2)/2))/(LN(2)/2)*BL56*BO56*VLOOKUP('Données projet'!$B$11,Paramètres!$A$1:$I$89,3,0)*0.475*44/12</f>
        <v>0.5761731046795916</v>
      </c>
      <c r="BS56" s="22">
        <f t="shared" si="9"/>
        <v>23.819922214672495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8.6</v>
      </c>
      <c r="BY56" s="12">
        <f>IF('Données projet'!$A$114&gt;35,BY55+BX56-CG55,IF(A56&lt;'Données projet'!$A$114,$BV$205^A56,IF(A56='Données projet'!$A$114,'Données projet'!$B$114,BY55+BX56-CG55)))</f>
        <v>158.79999999999993</v>
      </c>
      <c r="BZ56" s="13">
        <f>BY56*VLOOKUP('Données projet'!$B$12,Paramètres!$A$1:$I$89,3,0)*VLOOKUP('Données projet'!$B$12,Paramètres!$A$1:$I$89,5,0)</f>
        <v>136.25039999999996</v>
      </c>
      <c r="CA56" s="13">
        <f t="shared" si="39"/>
        <v>35.436672304560737</v>
      </c>
      <c r="CB56" s="20">
        <f t="shared" si="10"/>
        <v>299.02165093044317</v>
      </c>
      <c r="CC56" s="59">
        <f t="shared" si="11"/>
        <v>592.35498426377649</v>
      </c>
      <c r="CD56" s="59">
        <f ca="1">AVERAGE(OFFSET($CC$3,0,0,'Données projet'!$E$12+1,1))-AVERAGE(OFFSET($H$3,0,0,'Données projet'!$E$12+1,1))</f>
        <v>204.6927427024138</v>
      </c>
      <c r="CE56" s="59">
        <f t="shared" si="40"/>
        <v>115.74231133146816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9.1302658475907048</v>
      </c>
      <c r="CL56" s="21">
        <f>EXP(-LN(2)/25)*CL55+(1-EXP(-LN(2)/25))/(LN(2)/25)*Calculateur!CG56*Calculateur!CI56*VLOOKUP('Données projet'!$B$12,Paramètres!$A$1:$I$89,3,0)*0.475*44/12</f>
        <v>1.8410649223647517</v>
      </c>
      <c r="CM56" s="21">
        <f>EXP(-LN(2)/2)*CM55+(1-EXP(-LN(2)/2))/(LN(2)/2)*CG56*CJ56*VLOOKUP('Données projet'!$B$12,Paramètres!$A$1:$I$89,3,0)*0.475*44/12</f>
        <v>0.99152339049652005</v>
      </c>
      <c r="CN56" s="22">
        <f t="shared" si="12"/>
        <v>11.962854160451975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204.15575418077316</v>
      </c>
      <c r="CZ56" s="59">
        <f t="shared" si="42"/>
        <v>473.73726605265045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49.688031057542055</v>
      </c>
      <c r="DG56" s="21">
        <f>EXP(-LN(2)/25)*DG55+(1-EXP(-LN(2)/25))/(LN(2)/25)*Calculateur!DB56*Calculateur!DD56*VLOOKUP('Données projet'!$B$13,Paramètres!$A$1:$I$89,3,0)*0.475*44/12</f>
        <v>24.262752259890927</v>
      </c>
      <c r="DH56" s="21">
        <f>EXP(-LN(2)/2)*DH55+(1-EXP(-LN(2)/2))/(LN(2)/2)*DB56*DE56*VLOOKUP('Données projet'!$B$13,Paramètres!$A$1:$I$89,3,0)*0.475*44/12</f>
        <v>1.859678589744294E-3</v>
      </c>
      <c r="DI56" s="22">
        <f t="shared" si="15"/>
        <v>73.952642996022718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-1.7053025658242404E-13</v>
      </c>
      <c r="O57" s="13">
        <f>N57*VLOOKUP('Données projet'!$B$9,Paramètres!$A$1:$I$89,3,0)*VLOOKUP('Données projet'!$B$9,Paramètres!$A$1:$I$89,5,0)</f>
        <v>-1.0197709343628959E-13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216.83230520434313</v>
      </c>
      <c r="T57" s="59">
        <f t="shared" si="34"/>
        <v>275.41891707278205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108.40264619449383</v>
      </c>
      <c r="AA57" s="21">
        <f>EXP(-LN(2)/25)*AA56+(1-EXP(-LN(2)/25))/(LN(2)/25)*Calculateur!V57*Calculateur!X57*VLOOKUP('Données projet'!$B$9,Paramètres!$A$1:$I$89,3,0)*0.475*44/12</f>
        <v>19.676015585302295</v>
      </c>
      <c r="AB57" s="21">
        <f>EXP(-LN(2)/2)*AB56+(1-EXP(-LN(2)/2))/(LN(2)/2)*V57*Y57*VLOOKUP('Données projet'!$B$9,Paramètres!$A$1:$I$89,3,0)*0.475*44/12</f>
        <v>2.5375142465461327</v>
      </c>
      <c r="AC57" s="22">
        <f t="shared" si="3"/>
        <v>130.61617602634223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191.64600000000002</v>
      </c>
      <c r="AK57" s="13">
        <f t="shared" si="35"/>
        <v>47.903677189291635</v>
      </c>
      <c r="AL57" s="20">
        <f t="shared" si="4"/>
        <v>417.21568777134962</v>
      </c>
      <c r="AM57" s="59">
        <f t="shared" si="5"/>
        <v>710.54902110468288</v>
      </c>
      <c r="AN57" s="59">
        <f ca="1">AVERAGE(OFFSET($AM$3,0,0,'Données projet'!$E$10+1,1))-AVERAGE(OFFSET($H$3,0,0,'Données projet'!$E$10+1,1))</f>
        <v>292.42154837691379</v>
      </c>
      <c r="AO57" s="59">
        <f t="shared" si="36"/>
        <v>193.18009444354601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16.540173599021987</v>
      </c>
      <c r="AV57" s="21">
        <f>EXP(-LN(2)/25)*AV56+(1-EXP(-LN(2)/25))/(LN(2)/25)*Calculateur!AQ57*Calculateur!AS57*VLOOKUP('Données projet'!$B$10,Paramètres!$A$1:$I$89,3,0)*0.475*44/12</f>
        <v>1.6985792385857528</v>
      </c>
      <c r="AW57" s="21">
        <f>EXP(-LN(2)/2)*AW56+(1-EXP(-LN(2)/2))/(LN(2)/2)*AQ57*AT57*VLOOKUP('Données projet'!$B$10,Paramètres!$A$1:$I$89,3,0)*0.475*44/12</f>
        <v>0.37681293257382253</v>
      </c>
      <c r="AX57" s="21">
        <f t="shared" si="6"/>
        <v>18.615565770181565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8.1999999999999993</v>
      </c>
      <c r="BD57" s="12">
        <f>IF('Données projet'!$A$88&gt;35,BD56+BC57-BL56,IF(A57&lt;'Données projet'!$A$88,$BA$205^A57,IF(A57='Données projet'!$A$88,'Données projet'!$B$88,BD56+BC57-BL56)))</f>
        <v>265.79999999999984</v>
      </c>
      <c r="BE57" s="13">
        <f>BD57*VLOOKUP('Données projet'!$B$11,Paramètres!$A$1:$I$89,3,0)*VLOOKUP('Données projet'!$B$11,Paramètres!$A$1:$I$89,5,0)</f>
        <v>252.93527999999984</v>
      </c>
      <c r="BF57" s="13">
        <f t="shared" si="37"/>
        <v>61.214059245158197</v>
      </c>
      <c r="BG57" s="20">
        <f t="shared" si="7"/>
        <v>547.14343251865023</v>
      </c>
      <c r="BH57" s="59">
        <f t="shared" si="8"/>
        <v>840.4767658519836</v>
      </c>
      <c r="BI57" s="59">
        <f ca="1">AVERAGE(OFFSET($BH$3,0,0,'Données projet'!$E$11+1,1))-AVERAGE(OFFSET($H$3,0,0,'Données projet'!$E$11+1,1))</f>
        <v>339.00921630742886</v>
      </c>
      <c r="BJ57" s="59">
        <f t="shared" si="38"/>
        <v>314.95763895978303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20.577812993014629</v>
      </c>
      <c r="BQ57" s="21">
        <f>EXP(-LN(2)/25)*BQ56+(1-EXP(-LN(2)/25))/(LN(2)/25)*Calculateur!BL57*Calculateur!BN57*VLOOKUP('Données projet'!$B$11,Paramètres!$A$1:$I$89,3,0)*0.475*44/12</f>
        <v>2.1927015086274739</v>
      </c>
      <c r="BR57" s="21">
        <f>EXP(-LN(2)/2)*BR56+(1-EXP(-LN(2)/2))/(LN(2)/2)*BL57*BO57*VLOOKUP('Données projet'!$B$11,Paramètres!$A$1:$I$89,3,0)*0.475*44/12</f>
        <v>0.40741590945624573</v>
      </c>
      <c r="BS57" s="22">
        <f t="shared" si="9"/>
        <v>23.177930411098352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8.6</v>
      </c>
      <c r="BY57" s="12">
        <f>IF('Données projet'!$A$114&gt;35,BY56+BX57-CG56,IF(A57&lt;'Données projet'!$A$114,$BV$205^A57,IF(A57='Données projet'!$A$114,'Données projet'!$B$114,BY56+BX57-CG56)))</f>
        <v>167.39999999999992</v>
      </c>
      <c r="BZ57" s="13">
        <f>BY57*VLOOKUP('Données projet'!$B$12,Paramètres!$A$1:$I$89,3,0)*VLOOKUP('Données projet'!$B$12,Paramètres!$A$1:$I$89,5,0)</f>
        <v>143.62919999999994</v>
      </c>
      <c r="CA57" s="13">
        <f t="shared" si="39"/>
        <v>37.127161849234348</v>
      </c>
      <c r="CB57" s="20">
        <f t="shared" si="10"/>
        <v>314.81733022074968</v>
      </c>
      <c r="CC57" s="59">
        <f t="shared" si="11"/>
        <v>608.15066355408294</v>
      </c>
      <c r="CD57" s="59">
        <f ca="1">AVERAGE(OFFSET($CC$3,0,0,'Données projet'!$E$12+1,1))-AVERAGE(OFFSET($H$3,0,0,'Données projet'!$E$12+1,1))</f>
        <v>204.6927427024138</v>
      </c>
      <c r="CE57" s="59">
        <f t="shared" si="40"/>
        <v>115.74231133146816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8.9512269032317331</v>
      </c>
      <c r="CL57" s="21">
        <f>EXP(-LN(2)/25)*CL56+(1-EXP(-LN(2)/25))/(LN(2)/25)*Calculateur!CG57*Calculateur!CI57*VLOOKUP('Données projet'!$B$12,Paramètres!$A$1:$I$89,3,0)*0.475*44/12</f>
        <v>1.790720905245291</v>
      </c>
      <c r="CM57" s="21">
        <f>EXP(-LN(2)/2)*CM56+(1-EXP(-LN(2)/2))/(LN(2)/2)*CG57*CJ57*VLOOKUP('Données projet'!$B$12,Paramètres!$A$1:$I$89,3,0)*0.475*44/12</f>
        <v>0.70111291312516655</v>
      </c>
      <c r="CN57" s="22">
        <f t="shared" si="12"/>
        <v>11.44306072160219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204.15575418077316</v>
      </c>
      <c r="CZ57" s="59">
        <f t="shared" si="42"/>
        <v>473.73726605265045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48.713679075210059</v>
      </c>
      <c r="DG57" s="21">
        <f>EXP(-LN(2)/25)*DG56+(1-EXP(-LN(2)/25))/(LN(2)/25)*Calculateur!DB57*Calculateur!DD57*VLOOKUP('Données projet'!$B$13,Paramètres!$A$1:$I$89,3,0)*0.475*44/12</f>
        <v>23.599286023421524</v>
      </c>
      <c r="DH57" s="21">
        <f>EXP(-LN(2)/2)*DH56+(1-EXP(-LN(2)/2))/(LN(2)/2)*DB57*DE57*VLOOKUP('Données projet'!$B$13,Paramètres!$A$1:$I$89,3,0)*0.475*44/12</f>
        <v>1.3149913416356258E-3</v>
      </c>
      <c r="DI57" s="22">
        <f t="shared" si="15"/>
        <v>72.314280089973209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-1.7053025658242404E-13</v>
      </c>
      <c r="O58" s="13">
        <f>N58*VLOOKUP('Données projet'!$B$9,Paramètres!$A$1:$I$89,3,0)*VLOOKUP('Données projet'!$B$9,Paramètres!$A$1:$I$89,5,0)</f>
        <v>-1.0197709343628959E-13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216.83230520434313</v>
      </c>
      <c r="T58" s="59">
        <f t="shared" si="34"/>
        <v>275.41891707278205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106.27693642170526</v>
      </c>
      <c r="AA58" s="21">
        <f>EXP(-LN(2)/25)*AA57+(1-EXP(-LN(2)/25))/(LN(2)/25)*Calculateur!V58*Calculateur!X58*VLOOKUP('Données projet'!$B$9,Paramètres!$A$1:$I$89,3,0)*0.475*44/12</f>
        <v>19.137973904405513</v>
      </c>
      <c r="AB58" s="21">
        <f>EXP(-LN(2)/2)*AB57+(1-EXP(-LN(2)/2))/(LN(2)/2)*V58*Y58*VLOOKUP('Données projet'!$B$9,Paramètres!$A$1:$I$89,3,0)*0.475*44/12</f>
        <v>1.7942935310902433</v>
      </c>
      <c r="AC58" s="22">
        <f t="shared" si="3"/>
        <v>127.20920385720102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199.75800000000004</v>
      </c>
      <c r="AK58" s="13">
        <f t="shared" si="35"/>
        <v>49.690979702964015</v>
      </c>
      <c r="AL58" s="20">
        <f t="shared" si="4"/>
        <v>434.45697298266236</v>
      </c>
      <c r="AM58" s="59">
        <f t="shared" si="5"/>
        <v>727.79030631599562</v>
      </c>
      <c r="AN58" s="59">
        <f ca="1">AVERAGE(OFFSET($AM$3,0,0,'Données projet'!$E$10+1,1))-AVERAGE(OFFSET($H$3,0,0,'Données projet'!$E$10+1,1))</f>
        <v>292.42154837691379</v>
      </c>
      <c r="AO58" s="59">
        <f t="shared" si="36"/>
        <v>193.18009444354601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0.34400000000000003</v>
      </c>
      <c r="AS58" s="16">
        <f>IF(ISNA(VLOOKUP(A58,'Données projet'!$A$61:$I$81,6,0)),0%,VLOOKUP(A58,'Données projet'!$A$61:$I$81,6,0)*VLOOKUP('Données projet'!$B$10,Paramètres!$A$1:$I$89,7,0))</f>
        <v>1.72E-2</v>
      </c>
      <c r="AT58" s="16">
        <f>IF(ISNA(VLOOKUP(A58,'Données projet'!$A$61:$I$81,7,0)),0%,VLOOKUP(A58,'Données projet'!$A$61:$I$81,7,0))</f>
        <v>0.06</v>
      </c>
      <c r="AU58" s="21">
        <f>EXP(-LN(2)/35)*AU57+(1-EXP(-LN(2)/35))/(LN(2)/35)*AQ58*AR58*VLOOKUP('Données projet'!$B$10,Paramètres!$A$1:$I$89,3,0)*0.475*44/12</f>
        <v>24.313551757305383</v>
      </c>
      <c r="AV58" s="21">
        <f>EXP(-LN(2)/25)*AV57+(1-EXP(-LN(2)/25))/(LN(2)/25)*Calculateur!AQ58*Calculateur!AS58*VLOOKUP('Données projet'!$B$10,Paramètres!$A$1:$I$89,3,0)*0.475*44/12</f>
        <v>2.055423353057015</v>
      </c>
      <c r="AW58" s="21">
        <f>EXP(-LN(2)/2)*AW57+(1-EXP(-LN(2)/2))/(LN(2)/2)*AQ58*AT58*VLOOKUP('Données projet'!$B$10,Paramètres!$A$1:$I$89,3,0)*0.475*44/12</f>
        <v>1.4719347070381676</v>
      </c>
      <c r="AX58" s="21">
        <f t="shared" si="6"/>
        <v>27.840909817400565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274</v>
      </c>
      <c r="BB58" s="12">
        <f>VLOOKUP(A58,'Données projet'!$A$87:$I$107,9,0)</f>
        <v>8.1999999999999993</v>
      </c>
      <c r="BC58" s="12">
        <f t="array" ref="BC58">INDEX(BB:BB,MIN(IF(ISNUMBER(BB58:BB254),ROW(BB58:BB254),"")))</f>
        <v>8.1999999999999993</v>
      </c>
      <c r="BD58" s="12">
        <f>IF('Données projet'!$A$88&gt;35,BD57+BC58-BL57,IF(A58&lt;'Données projet'!$A$88,$BA$205^A58,IF(A58='Données projet'!$A$88,'Données projet'!$B$88,BD57+BC58-BL57)))</f>
        <v>273.99999999999983</v>
      </c>
      <c r="BE58" s="13">
        <f>BD58*VLOOKUP('Données projet'!$B$11,Paramètres!$A$1:$I$89,3,0)*VLOOKUP('Données projet'!$B$11,Paramètres!$A$1:$I$89,5,0)</f>
        <v>260.73839999999984</v>
      </c>
      <c r="BF58" s="13">
        <f t="shared" si="37"/>
        <v>62.879749008354707</v>
      </c>
      <c r="BG58" s="20">
        <f t="shared" si="7"/>
        <v>563.63494285621744</v>
      </c>
      <c r="BH58" s="59">
        <f t="shared" si="8"/>
        <v>856.96827618955081</v>
      </c>
      <c r="BI58" s="59">
        <f ca="1">AVERAGE(OFFSET($BH$3,0,0,'Données projet'!$E$11+1,1))-AVERAGE(OFFSET($H$3,0,0,'Données projet'!$E$11+1,1))</f>
        <v>339.00921630742886</v>
      </c>
      <c r="BJ58" s="59">
        <f t="shared" si="38"/>
        <v>314.95763895978303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0.30099999999999999</v>
      </c>
      <c r="BN58" s="16">
        <f>IF(ISNA(VLOOKUP(A58,'Données projet'!$A$87:$I$107,6,0)),0%,VLOOKUP(A58,'Données projet'!$A$87:$I$107,6,0)*VLOOKUP('Données projet'!$B$11,Paramètres!$A$1:$I$89,7,0))</f>
        <v>1.72E-2</v>
      </c>
      <c r="BO58" s="16">
        <f>IF(ISNA(VLOOKUP(A58,'Données projet'!$A$87:$I$107,7,0)),0%,VLOOKUP(A58,'Données projet'!$A$87:$I$107,7,0))</f>
        <v>0.06</v>
      </c>
      <c r="BP58" s="21">
        <f>EXP(-LN(2)/35)*BP57+(1-EXP(-LN(2)/35))/(LN(2)/35)*BL58*BM58*VLOOKUP('Données projet'!$B$11,Paramètres!$A$1:$I$89,3,0)*0.475*44/12</f>
        <v>27.457052571379499</v>
      </c>
      <c r="BQ58" s="21">
        <f>EXP(-LN(2)/25)*BQ57+(1-EXP(-LN(2)/25))/(LN(2)/25)*Calculateur!BL58*Calculateur!BN58*VLOOKUP('Données projet'!$B$11,Paramètres!$A$1:$I$89,3,0)*0.475*44/12</f>
        <v>2.5472609961062354</v>
      </c>
      <c r="BR58" s="21">
        <f>EXP(-LN(2)/2)*BR57+(1-EXP(-LN(2)/2))/(LN(2)/2)*BL58*BO58*VLOOKUP('Données projet'!$B$11,Paramètres!$A$1:$I$89,3,0)*0.475*44/12</f>
        <v>1.5271336448149082</v>
      </c>
      <c r="BS58" s="22">
        <f t="shared" si="9"/>
        <v>31.531447212300641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176</v>
      </c>
      <c r="BW58" s="12">
        <f>VLOOKUP(A58,'Données projet'!$A$113:$I$133,9,0)</f>
        <v>8.6</v>
      </c>
      <c r="BX58" s="12">
        <f t="array" ref="BX58">INDEX(BW:BW,MIN(IF(ISNUMBER(BW58:BW254),ROW(BW58:BW254),"")))</f>
        <v>8.6</v>
      </c>
      <c r="BY58" s="12">
        <f>IF('Données projet'!$A$114&gt;35,BY57+BX58-CG57,IF(A58&lt;'Données projet'!$A$114,$BV$205^A58,IF(A58='Données projet'!$A$114,'Données projet'!$B$114,BY57+BX58-CG57)))</f>
        <v>175.99999999999991</v>
      </c>
      <c r="BZ58" s="13">
        <f>BY58*VLOOKUP('Données projet'!$B$12,Paramètres!$A$1:$I$89,3,0)*VLOOKUP('Données projet'!$B$12,Paramètres!$A$1:$I$89,5,0)</f>
        <v>151.00799999999992</v>
      </c>
      <c r="CA58" s="13">
        <f t="shared" si="39"/>
        <v>38.807567870348514</v>
      </c>
      <c r="CB58" s="20">
        <f t="shared" si="10"/>
        <v>330.5954473741902</v>
      </c>
      <c r="CC58" s="59">
        <f t="shared" si="11"/>
        <v>623.92878070752352</v>
      </c>
      <c r="CD58" s="59">
        <f ca="1">AVERAGE(OFFSET($CC$3,0,0,'Données projet'!$E$12+1,1))-AVERAGE(OFFSET($H$3,0,0,'Données projet'!$E$12+1,1))</f>
        <v>204.6927427024138</v>
      </c>
      <c r="CE58" s="59">
        <f t="shared" si="40"/>
        <v>115.74231133146816</v>
      </c>
      <c r="CF58" s="15">
        <f>IF(ISNA(VLOOKUP(A58,'Données projet'!$A$113:$I$133,3,0)),0,VLOOKUP(A58,'Données projet'!$A$113:$I$133,3,0))</f>
        <v>6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0.21200000000000002</v>
      </c>
      <c r="CI58" s="16">
        <f>IF(ISNA(VLOOKUP(A58,'Données projet'!$A$113:$I$133,6,0)),0%,VLOOKUP(A58,'Données projet'!$A$113:$I$133,6,0)*VLOOKUP('Données projet'!$B$12,Paramètres!$A$1:$I$89,7,0))</f>
        <v>3.1800000000000002E-2</v>
      </c>
      <c r="CJ58" s="16">
        <f>IF(ISNA(VLOOKUP(A58,'Données projet'!$A$113:$I$133,7,0)),0%,VLOOKUP(A58,'Données projet'!$A$113:$I$133,7,0))</f>
        <v>0.14000000000000001</v>
      </c>
      <c r="CK58" s="21">
        <f>EXP(-LN(2)/35)*CK57+(1-EXP(-LN(2)/35))/(LN(2)/35)*CG58*CH58*VLOOKUP('Données projet'!$B$12,Paramètres!$A$1:$I$89,3,0)*0.475*44/12</f>
        <v>12.998392246634705</v>
      </c>
      <c r="CL58" s="21">
        <f>EXP(-LN(2)/25)*CL57+(1-EXP(-LN(2)/25))/(LN(2)/25)*Calculateur!CG58*Calculateur!CI58*VLOOKUP('Données projet'!$B$12,Paramètres!$A$1:$I$89,3,0)*0.475*44/12</f>
        <v>2.3726636114525723</v>
      </c>
      <c r="CM58" s="21">
        <f>EXP(-LN(2)/2)*CM57+(1-EXP(-LN(2)/2))/(LN(2)/2)*CG58*CJ58*VLOOKUP('Données projet'!$B$12,Paramètres!$A$1:$I$89,3,0)*0.475*44/12</f>
        <v>2.8758272078786442</v>
      </c>
      <c r="CN58" s="22">
        <f t="shared" si="12"/>
        <v>18.246883065965921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204.15575418077316</v>
      </c>
      <c r="CZ58" s="59">
        <f t="shared" si="42"/>
        <v>473.73726605265045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47.758433540955572</v>
      </c>
      <c r="DG58" s="21">
        <f>EXP(-LN(2)/25)*DG57+(1-EXP(-LN(2)/25))/(LN(2)/25)*Calculateur!DB58*Calculateur!DD58*VLOOKUP('Données projet'!$B$13,Paramètres!$A$1:$I$89,3,0)*0.475*44/12</f>
        <v>22.953962306078548</v>
      </c>
      <c r="DH58" s="21">
        <f>EXP(-LN(2)/2)*DH57+(1-EXP(-LN(2)/2))/(LN(2)/2)*DB58*DE58*VLOOKUP('Données projet'!$B$13,Paramètres!$A$1:$I$89,3,0)*0.475*44/12</f>
        <v>9.29839294872147E-4</v>
      </c>
      <c r="DI58" s="22">
        <f t="shared" si="15"/>
        <v>70.713325686328986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-1.7053025658242404E-13</v>
      </c>
      <c r="O59" s="13">
        <f>N59*VLOOKUP('Données projet'!$B$9,Paramètres!$A$1:$I$89,3,0)*VLOOKUP('Données projet'!$B$9,Paramètres!$A$1:$I$89,5,0)</f>
        <v>-1.0197709343628959E-13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216.83230520434313</v>
      </c>
      <c r="T59" s="59">
        <f t="shared" si="34"/>
        <v>275.41891707278205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104.19291052100614</v>
      </c>
      <c r="AA59" s="21">
        <f>EXP(-LN(2)/25)*AA58+(1-EXP(-LN(2)/25))/(LN(2)/25)*Calculateur!V59*Calculateur!X59*VLOOKUP('Données projet'!$B$9,Paramètres!$A$1:$I$89,3,0)*0.475*44/12</f>
        <v>18.614645001567236</v>
      </c>
      <c r="AB59" s="21">
        <f>EXP(-LN(2)/2)*AB58+(1-EXP(-LN(2)/2))/(LN(2)/2)*V59*Y59*VLOOKUP('Données projet'!$B$9,Paramètres!$A$1:$I$89,3,0)*0.475*44/12</f>
        <v>1.2687571232730663</v>
      </c>
      <c r="AC59" s="22">
        <f t="shared" si="3"/>
        <v>124.07631264584644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186.1704</v>
      </c>
      <c r="AK59" s="13">
        <f t="shared" si="35"/>
        <v>46.692281933796018</v>
      </c>
      <c r="AL59" s="20">
        <f t="shared" si="4"/>
        <v>405.56917103469476</v>
      </c>
      <c r="AM59" s="59">
        <f t="shared" si="5"/>
        <v>698.90250436802808</v>
      </c>
      <c r="AN59" s="59">
        <f ca="1">AVERAGE(OFFSET($AM$3,0,0,'Données projet'!$E$10+1,1))-AVERAGE(OFFSET($H$3,0,0,'Données projet'!$E$10+1,1))</f>
        <v>292.42154837691379</v>
      </c>
      <c r="AO59" s="59">
        <f t="shared" si="36"/>
        <v>193.18009444354601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23.836777837146876</v>
      </c>
      <c r="AV59" s="21">
        <f>EXP(-LN(2)/25)*AV58+(1-EXP(-LN(2)/25))/(LN(2)/25)*Calculateur!AQ59*Calculateur!AS59*VLOOKUP('Données projet'!$B$10,Paramètres!$A$1:$I$89,3,0)*0.475*44/12</f>
        <v>1.9992176933776544</v>
      </c>
      <c r="AW59" s="21">
        <f>EXP(-LN(2)/2)*AW58+(1-EXP(-LN(2)/2))/(LN(2)/2)*AQ59*AT59*VLOOKUP('Données projet'!$B$10,Paramètres!$A$1:$I$89,3,0)*0.475*44/12</f>
        <v>1.0408150128105227</v>
      </c>
      <c r="AX59" s="21">
        <f t="shared" si="6"/>
        <v>26.876810543335054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258.59999999999985</v>
      </c>
      <c r="BE59" s="13">
        <f>BD59*VLOOKUP('Données projet'!$B$11,Paramètres!$A$1:$I$89,3,0)*VLOOKUP('Données projet'!$B$11,Paramètres!$A$1:$I$89,5,0)</f>
        <v>246.08375999999984</v>
      </c>
      <c r="BF59" s="13">
        <f t="shared" si="37"/>
        <v>59.74656794836347</v>
      </c>
      <c r="BG59" s="20">
        <f t="shared" si="7"/>
        <v>532.65448784339935</v>
      </c>
      <c r="BH59" s="59">
        <f t="shared" si="8"/>
        <v>825.98782117673272</v>
      </c>
      <c r="BI59" s="59">
        <f ca="1">AVERAGE(OFFSET($BH$3,0,0,'Données projet'!$E$11+1,1))-AVERAGE(OFFSET($H$3,0,0,'Données projet'!$E$11+1,1))</f>
        <v>339.00921630742886</v>
      </c>
      <c r="BJ59" s="59">
        <f t="shared" si="38"/>
        <v>314.95763895978303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26.918636517603172</v>
      </c>
      <c r="BQ59" s="21">
        <f>EXP(-LN(2)/25)*BQ58+(1-EXP(-LN(2)/25))/(LN(2)/25)*Calculateur!BL59*Calculateur!BN59*VLOOKUP('Données projet'!$B$11,Paramètres!$A$1:$I$89,3,0)*0.475*44/12</f>
        <v>2.4776060102130764</v>
      </c>
      <c r="BR59" s="21">
        <f>EXP(-LN(2)/2)*BR58+(1-EXP(-LN(2)/2))/(LN(2)/2)*BL59*BO59*VLOOKUP('Données projet'!$B$11,Paramètres!$A$1:$I$89,3,0)*0.475*44/12</f>
        <v>1.0798465560267501</v>
      </c>
      <c r="BS59" s="22">
        <f t="shared" si="9"/>
        <v>30.476089083843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8.4</v>
      </c>
      <c r="BY59" s="12">
        <f>IF('Données projet'!$A$114&gt;35,BY58+BX59-CG58,IF(A59&lt;'Données projet'!$A$114,$BV$205^A59,IF(A59='Données projet'!$A$114,'Données projet'!$B$114,BY58+BX59-CG58)))</f>
        <v>163.39999999999992</v>
      </c>
      <c r="BZ59" s="13">
        <f>BY59*VLOOKUP('Données projet'!$B$12,Paramètres!$A$1:$I$89,3,0)*VLOOKUP('Données projet'!$B$12,Paramètres!$A$1:$I$89,5,0)</f>
        <v>140.19719999999995</v>
      </c>
      <c r="CA59" s="13">
        <f t="shared" si="39"/>
        <v>36.34217754431797</v>
      </c>
      <c r="CB59" s="20">
        <f t="shared" si="10"/>
        <v>307.47274922302034</v>
      </c>
      <c r="CC59" s="59">
        <f t="shared" si="11"/>
        <v>600.80608255635366</v>
      </c>
      <c r="CD59" s="59">
        <f ca="1">AVERAGE(OFFSET($CC$3,0,0,'Données projet'!$E$12+1,1))-AVERAGE(OFFSET($H$3,0,0,'Données projet'!$E$12+1,1))</f>
        <v>204.6927427024138</v>
      </c>
      <c r="CE59" s="59">
        <f t="shared" si="40"/>
        <v>115.74231133146816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12.743501702914621</v>
      </c>
      <c r="CL59" s="21">
        <f>EXP(-LN(2)/25)*CL58+(1-EXP(-LN(2)/25))/(LN(2)/25)*Calculateur!CG59*Calculateur!CI59*VLOOKUP('Données projet'!$B$12,Paramètres!$A$1:$I$89,3,0)*0.475*44/12</f>
        <v>2.307783000224445</v>
      </c>
      <c r="CM59" s="21">
        <f>EXP(-LN(2)/2)*CM58+(1-EXP(-LN(2)/2))/(LN(2)/2)*CG59*CJ59*VLOOKUP('Données projet'!$B$12,Paramètres!$A$1:$I$89,3,0)*0.475*44/12</f>
        <v>2.0335169202117647</v>
      </c>
      <c r="CN59" s="22">
        <f t="shared" si="12"/>
        <v>17.084801623350831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204.15575418077316</v>
      </c>
      <c r="CZ59" s="59">
        <f t="shared" si="42"/>
        <v>473.73726605265045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46.821919788985568</v>
      </c>
      <c r="DG59" s="21">
        <f>EXP(-LN(2)/25)*DG58+(1-EXP(-LN(2)/25))/(LN(2)/25)*Calculateur!DB59*Calculateur!DD59*VLOOKUP('Données projet'!$B$13,Paramètres!$A$1:$I$89,3,0)*0.475*44/12</f>
        <v>22.326284999722414</v>
      </c>
      <c r="DH59" s="21">
        <f>EXP(-LN(2)/2)*DH58+(1-EXP(-LN(2)/2))/(LN(2)/2)*DB59*DE59*VLOOKUP('Données projet'!$B$13,Paramètres!$A$1:$I$89,3,0)*0.475*44/12</f>
        <v>6.5749567081781288E-4</v>
      </c>
      <c r="DI59" s="22">
        <f t="shared" si="15"/>
        <v>69.148862284378808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216.83230520434313</v>
      </c>
      <c r="T60" s="59">
        <f t="shared" si="34"/>
        <v>275.41891707278205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102.14975109708945</v>
      </c>
      <c r="AA60" s="21">
        <f>EXP(-LN(2)/25)*AA59+(1-EXP(-LN(2)/25))/(LN(2)/25)*Calculateur!V60*Calculateur!X60*VLOOKUP('Données projet'!$B$9,Paramètres!$A$1:$I$89,3,0)*0.475*44/12</f>
        <v>18.105626555097743</v>
      </c>
      <c r="AB60" s="21">
        <f>EXP(-LN(2)/2)*AB59+(1-EXP(-LN(2)/2))/(LN(2)/2)*V60*Y60*VLOOKUP('Données projet'!$B$9,Paramètres!$A$1:$I$89,3,0)*0.475*44/12</f>
        <v>0.89714676554512163</v>
      </c>
      <c r="AC60" s="22">
        <f t="shared" si="3"/>
        <v>121.15252441773231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193.8768</v>
      </c>
      <c r="AK60" s="13">
        <f t="shared" si="35"/>
        <v>48.396048099527611</v>
      </c>
      <c r="AL60" s="20">
        <f t="shared" si="4"/>
        <v>421.95854377334393</v>
      </c>
      <c r="AM60" s="59">
        <f t="shared" si="5"/>
        <v>715.29187710667725</v>
      </c>
      <c r="AN60" s="59">
        <f ca="1">AVERAGE(OFFSET($AM$3,0,0,'Données projet'!$E$10+1,1))-AVERAGE(OFFSET($H$3,0,0,'Données projet'!$E$10+1,1))</f>
        <v>292.42154837691379</v>
      </c>
      <c r="AO60" s="59">
        <f t="shared" si="36"/>
        <v>193.18009444354601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23.3693531627593</v>
      </c>
      <c r="AV60" s="21">
        <f>EXP(-LN(2)/25)*AV59+(1-EXP(-LN(2)/25))/(LN(2)/25)*Calculateur!AQ60*Calculateur!AS60*VLOOKUP('Données projet'!$B$10,Paramètres!$A$1:$I$89,3,0)*0.475*44/12</f>
        <v>1.9445489804179532</v>
      </c>
      <c r="AW60" s="21">
        <f>EXP(-LN(2)/2)*AW59+(1-EXP(-LN(2)/2))/(LN(2)/2)*AQ60*AT60*VLOOKUP('Données projet'!$B$10,Paramètres!$A$1:$I$89,3,0)*0.475*44/12</f>
        <v>0.73596735351908393</v>
      </c>
      <c r="AX60" s="21">
        <f t="shared" si="6"/>
        <v>26.049869496696335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266.19999999999987</v>
      </c>
      <c r="BE60" s="13">
        <f>BD60*VLOOKUP('Données projet'!$B$11,Paramètres!$A$1:$I$89,3,0)*VLOOKUP('Données projet'!$B$11,Paramètres!$A$1:$I$89,5,0)</f>
        <v>253.31591999999989</v>
      </c>
      <c r="BF60" s="13">
        <f t="shared" si="37"/>
        <v>61.295449776469411</v>
      </c>
      <c r="BG60" s="20">
        <f t="shared" si="7"/>
        <v>547.94813569401742</v>
      </c>
      <c r="BH60" s="59">
        <f t="shared" si="8"/>
        <v>841.28146902735079</v>
      </c>
      <c r="BI60" s="59">
        <f ca="1">AVERAGE(OFFSET($BH$3,0,0,'Données projet'!$E$11+1,1))-AVERAGE(OFFSET($H$3,0,0,'Données projet'!$E$11+1,1))</f>
        <v>339.00921630742886</v>
      </c>
      <c r="BJ60" s="59">
        <f t="shared" si="38"/>
        <v>314.95763895978303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26.390778474240033</v>
      </c>
      <c r="BQ60" s="21">
        <f>EXP(-LN(2)/25)*BQ59+(1-EXP(-LN(2)/25))/(LN(2)/25)*Calculateur!BL60*Calculateur!BN60*VLOOKUP('Données projet'!$B$11,Paramètres!$A$1:$I$89,3,0)*0.475*44/12</f>
        <v>2.4098557435721624</v>
      </c>
      <c r="BR60" s="21">
        <f>EXP(-LN(2)/2)*BR59+(1-EXP(-LN(2)/2))/(LN(2)/2)*BL60*BO60*VLOOKUP('Données projet'!$B$11,Paramètres!$A$1:$I$89,3,0)*0.475*44/12</f>
        <v>0.7635668224074541</v>
      </c>
      <c r="BS60" s="22">
        <f t="shared" si="9"/>
        <v>29.56420104021965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8.4</v>
      </c>
      <c r="BY60" s="12">
        <f>IF('Données projet'!$A$114&gt;35,BY59+BX60-CG59,IF(A60&lt;'Données projet'!$A$114,$BV$205^A60,IF(A60='Données projet'!$A$114,'Données projet'!$B$114,BY59+BX60-CG59)))</f>
        <v>171.79999999999993</v>
      </c>
      <c r="BZ60" s="13">
        <f>BY60*VLOOKUP('Données projet'!$B$12,Paramètres!$A$1:$I$89,3,0)*VLOOKUP('Données projet'!$B$12,Paramètres!$A$1:$I$89,5,0)</f>
        <v>147.40439999999995</v>
      </c>
      <c r="CA60" s="13">
        <f t="shared" si="39"/>
        <v>37.988128303043979</v>
      </c>
      <c r="CB60" s="20">
        <f t="shared" si="10"/>
        <v>322.89198679446821</v>
      </c>
      <c r="CC60" s="59">
        <f t="shared" si="11"/>
        <v>616.22532012780152</v>
      </c>
      <c r="CD60" s="59">
        <f ca="1">AVERAGE(OFFSET($CC$3,0,0,'Données projet'!$E$12+1,1))-AVERAGE(OFFSET($H$3,0,0,'Données projet'!$E$12+1,1))</f>
        <v>204.6927427024138</v>
      </c>
      <c r="CE60" s="59">
        <f t="shared" si="40"/>
        <v>115.74231133146816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12.493609407289007</v>
      </c>
      <c r="CL60" s="21">
        <f>EXP(-LN(2)/25)*CL59+(1-EXP(-LN(2)/25))/(LN(2)/25)*Calculateur!CG60*Calculateur!CI60*VLOOKUP('Données projet'!$B$12,Paramètres!$A$1:$I$89,3,0)*0.475*44/12</f>
        <v>2.2446765527222743</v>
      </c>
      <c r="CM60" s="21">
        <f>EXP(-LN(2)/2)*CM59+(1-EXP(-LN(2)/2))/(LN(2)/2)*CG60*CJ60*VLOOKUP('Données projet'!$B$12,Paramètres!$A$1:$I$89,3,0)*0.475*44/12</f>
        <v>1.4379136039393223</v>
      </c>
      <c r="CN60" s="22">
        <f t="shared" si="12"/>
        <v>16.176199563950604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204.15575418077316</v>
      </c>
      <c r="CZ60" s="59">
        <f t="shared" si="42"/>
        <v>473.73726605265045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45.903770500474707</v>
      </c>
      <c r="DG60" s="21">
        <f>EXP(-LN(2)/25)*DG59+(1-EXP(-LN(2)/25))/(LN(2)/25)*Calculateur!DB60*Calculateur!DD60*VLOOKUP('Données projet'!$B$13,Paramètres!$A$1:$I$89,3,0)*0.475*44/12</f>
        <v>21.715771562316704</v>
      </c>
      <c r="DH60" s="21">
        <f>EXP(-LN(2)/2)*DH59+(1-EXP(-LN(2)/2))/(LN(2)/2)*DB60*DE60*VLOOKUP('Données projet'!$B$13,Paramètres!$A$1:$I$89,3,0)*0.475*44/12</f>
        <v>4.649196474360735E-4</v>
      </c>
      <c r="DI60" s="22">
        <f t="shared" si="15"/>
        <v>67.620006982438852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216.83230520434313</v>
      </c>
      <c r="T61" s="59">
        <f t="shared" si="34"/>
        <v>275.41891707278205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100.14665678327157</v>
      </c>
      <c r="AA61" s="21">
        <f>EXP(-LN(2)/25)*AA60+(1-EXP(-LN(2)/25))/(LN(2)/25)*Calculateur!V61*Calculateur!X61*VLOOKUP('Données projet'!$B$9,Paramètres!$A$1:$I$89,3,0)*0.475*44/12</f>
        <v>17.610527244815074</v>
      </c>
      <c r="AB61" s="21">
        <f>EXP(-LN(2)/2)*AB60+(1-EXP(-LN(2)/2))/(LN(2)/2)*V61*Y61*VLOOKUP('Données projet'!$B$9,Paramètres!$A$1:$I$89,3,0)*0.475*44/12</f>
        <v>0.63437856163653317</v>
      </c>
      <c r="AC61" s="22">
        <f t="shared" si="3"/>
        <v>118.39156258972318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201.58320000000001</v>
      </c>
      <c r="AK61" s="13">
        <f t="shared" si="35"/>
        <v>50.091947337331924</v>
      </c>
      <c r="AL61" s="20">
        <f t="shared" si="4"/>
        <v>438.33421494585309</v>
      </c>
      <c r="AM61" s="59">
        <f t="shared" si="5"/>
        <v>731.66754827918635</v>
      </c>
      <c r="AN61" s="59">
        <f ca="1">AVERAGE(OFFSET($AM$3,0,0,'Données projet'!$E$10+1,1))-AVERAGE(OFFSET($H$3,0,0,'Données projet'!$E$10+1,1))</f>
        <v>292.42154837691379</v>
      </c>
      <c r="AO61" s="59">
        <f t="shared" si="36"/>
        <v>193.18009444354601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22.911094401135564</v>
      </c>
      <c r="AV61" s="21">
        <f>EXP(-LN(2)/25)*AV60+(1-EXP(-LN(2)/25))/(LN(2)/25)*Calculateur!AQ61*Calculateur!AS61*VLOOKUP('Données projet'!$B$10,Paramètres!$A$1:$I$89,3,0)*0.475*44/12</f>
        <v>1.8913751862890378</v>
      </c>
      <c r="AW61" s="21">
        <f>EXP(-LN(2)/2)*AW60+(1-EXP(-LN(2)/2))/(LN(2)/2)*AQ61*AT61*VLOOKUP('Données projet'!$B$10,Paramètres!$A$1:$I$89,3,0)*0.475*44/12</f>
        <v>0.52040750640526134</v>
      </c>
      <c r="AX61" s="21">
        <f t="shared" si="6"/>
        <v>25.322877093829867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273.7999999999999</v>
      </c>
      <c r="BE61" s="13">
        <f>BD61*VLOOKUP('Données projet'!$B$11,Paramètres!$A$1:$I$89,3,0)*VLOOKUP('Données projet'!$B$11,Paramètres!$A$1:$I$89,5,0)</f>
        <v>260.54807999999991</v>
      </c>
      <c r="BF61" s="13">
        <f t="shared" si="37"/>
        <v>62.83919214180397</v>
      </c>
      <c r="BG61" s="20">
        <f t="shared" si="7"/>
        <v>563.23283231364178</v>
      </c>
      <c r="BH61" s="59">
        <f t="shared" si="8"/>
        <v>856.56616564697515</v>
      </c>
      <c r="BI61" s="59">
        <f ca="1">AVERAGE(OFFSET($BH$3,0,0,'Données projet'!$E$11+1,1))-AVERAGE(OFFSET($H$3,0,0,'Données projet'!$E$11+1,1))</f>
        <v>339.00921630742886</v>
      </c>
      <c r="BJ61" s="59">
        <f t="shared" si="38"/>
        <v>314.95763895978303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25.87327140514563</v>
      </c>
      <c r="BQ61" s="21">
        <f>EXP(-LN(2)/25)*BQ60+(1-EXP(-LN(2)/25))/(LN(2)/25)*Calculateur!BL61*Calculateur!BN61*VLOOKUP('Données projet'!$B$11,Paramètres!$A$1:$I$89,3,0)*0.475*44/12</f>
        <v>2.3439581115353758</v>
      </c>
      <c r="BR61" s="21">
        <f>EXP(-LN(2)/2)*BR60+(1-EXP(-LN(2)/2))/(LN(2)/2)*BL61*BO61*VLOOKUP('Données projet'!$B$11,Paramètres!$A$1:$I$89,3,0)*0.475*44/12</f>
        <v>0.53992327801337503</v>
      </c>
      <c r="BS61" s="22">
        <f t="shared" si="9"/>
        <v>28.757152794694381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8.4</v>
      </c>
      <c r="BY61" s="12">
        <f>IF('Données projet'!$A$114&gt;35,BY60+BX61-CG60,IF(A61&lt;'Données projet'!$A$114,$BV$205^A61,IF(A61='Données projet'!$A$114,'Données projet'!$B$114,BY60+BX61-CG60)))</f>
        <v>180.19999999999993</v>
      </c>
      <c r="BZ61" s="13">
        <f>BY61*VLOOKUP('Données projet'!$B$12,Paramètres!$A$1:$I$89,3,0)*VLOOKUP('Données projet'!$B$12,Paramètres!$A$1:$I$89,5,0)</f>
        <v>154.61159999999995</v>
      </c>
      <c r="CA61" s="13">
        <f t="shared" si="39"/>
        <v>39.624734188365849</v>
      </c>
      <c r="CB61" s="20">
        <f t="shared" si="10"/>
        <v>338.29494871140372</v>
      </c>
      <c r="CC61" s="59">
        <f t="shared" si="11"/>
        <v>631.62828204473703</v>
      </c>
      <c r="CD61" s="59">
        <f ca="1">AVERAGE(OFFSET($CC$3,0,0,'Données projet'!$E$12+1,1))-AVERAGE(OFFSET($H$3,0,0,'Données projet'!$E$12+1,1))</f>
        <v>204.6927427024138</v>
      </c>
      <c r="CE61" s="59">
        <f t="shared" si="40"/>
        <v>115.74231133146816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12.24861734716136</v>
      </c>
      <c r="CL61" s="21">
        <f>EXP(-LN(2)/25)*CL60+(1-EXP(-LN(2)/25))/(LN(2)/25)*Calculateur!CG61*Calculateur!CI61*VLOOKUP('Données projet'!$B$12,Paramètres!$A$1:$I$89,3,0)*0.475*44/12</f>
        <v>2.1832957543456741</v>
      </c>
      <c r="CM61" s="21">
        <f>EXP(-LN(2)/2)*CM60+(1-EXP(-LN(2)/2))/(LN(2)/2)*CG61*CJ61*VLOOKUP('Données projet'!$B$12,Paramètres!$A$1:$I$89,3,0)*0.475*44/12</f>
        <v>1.0167584601058823</v>
      </c>
      <c r="CN61" s="22">
        <f t="shared" si="12"/>
        <v>15.448671561612917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204.15575418077316</v>
      </c>
      <c r="CZ61" s="59">
        <f t="shared" si="42"/>
        <v>473.73726605265045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45.003625559495781</v>
      </c>
      <c r="DG61" s="21">
        <f>EXP(-LN(2)/25)*DG60+(1-EXP(-LN(2)/25))/(LN(2)/25)*Calculateur!DB61*Calculateur!DD61*VLOOKUP('Données projet'!$B$13,Paramètres!$A$1:$I$89,3,0)*0.475*44/12</f>
        <v>21.12195264696236</v>
      </c>
      <c r="DH61" s="21">
        <f>EXP(-LN(2)/2)*DH60+(1-EXP(-LN(2)/2))/(LN(2)/2)*DB61*DE61*VLOOKUP('Données projet'!$B$13,Paramètres!$A$1:$I$89,3,0)*0.475*44/12</f>
        <v>3.2874783540890644E-4</v>
      </c>
      <c r="DI61" s="22">
        <f t="shared" si="15"/>
        <v>66.125906954293555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216.83230520434313</v>
      </c>
      <c r="T62" s="59">
        <f t="shared" si="34"/>
        <v>275.41891707278205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98.18284192718076</v>
      </c>
      <c r="AA62" s="21">
        <f>EXP(-LN(2)/25)*AA61+(1-EXP(-LN(2)/25))/(LN(2)/25)*Calculateur!V62*Calculateur!X62*VLOOKUP('Données projet'!$B$9,Paramètres!$A$1:$I$89,3,0)*0.475*44/12</f>
        <v>17.128966451208228</v>
      </c>
      <c r="AB62" s="21">
        <f>EXP(-LN(2)/2)*AB61+(1-EXP(-LN(2)/2))/(LN(2)/2)*V62*Y62*VLOOKUP('Données projet'!$B$9,Paramètres!$A$1:$I$89,3,0)*0.475*44/12</f>
        <v>0.44857338277256081</v>
      </c>
      <c r="AC62" s="22">
        <f t="shared" si="3"/>
        <v>115.76038176116155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209.28960000000001</v>
      </c>
      <c r="AK62" s="13">
        <f t="shared" si="35"/>
        <v>51.780314822292169</v>
      </c>
      <c r="AL62" s="20">
        <f t="shared" si="4"/>
        <v>454.69676831549214</v>
      </c>
      <c r="AM62" s="59">
        <f t="shared" si="5"/>
        <v>748.03010164882539</v>
      </c>
      <c r="AN62" s="59">
        <f ca="1">AVERAGE(OFFSET($AM$3,0,0,'Données projet'!$E$10+1,1))-AVERAGE(OFFSET($H$3,0,0,'Données projet'!$E$10+1,1))</f>
        <v>292.42154837691379</v>
      </c>
      <c r="AO62" s="59">
        <f t="shared" si="36"/>
        <v>193.18009444354601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22.461821814317023</v>
      </c>
      <c r="AV62" s="21">
        <f>EXP(-LN(2)/25)*AV61+(1-EXP(-LN(2)/25))/(LN(2)/25)*Calculateur!AQ62*Calculateur!AS62*VLOOKUP('Données projet'!$B$10,Paramètres!$A$1:$I$89,3,0)*0.475*44/12</f>
        <v>1.8396554323568657</v>
      </c>
      <c r="AW62" s="21">
        <f>EXP(-LN(2)/2)*AW61+(1-EXP(-LN(2)/2))/(LN(2)/2)*AQ62*AT62*VLOOKUP('Données projet'!$B$10,Paramètres!$A$1:$I$89,3,0)*0.475*44/12</f>
        <v>0.36798367675954197</v>
      </c>
      <c r="AX62" s="21">
        <f t="shared" si="6"/>
        <v>24.669460923433434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281.39999999999992</v>
      </c>
      <c r="BE62" s="13">
        <f>BD62*VLOOKUP('Données projet'!$B$11,Paramètres!$A$1:$I$89,3,0)*VLOOKUP('Données projet'!$B$11,Paramètres!$A$1:$I$89,5,0)</f>
        <v>267.78023999999994</v>
      </c>
      <c r="BF62" s="13">
        <f t="shared" si="37"/>
        <v>64.377954092757676</v>
      </c>
      <c r="BG62" s="20">
        <f t="shared" si="7"/>
        <v>578.50885471155289</v>
      </c>
      <c r="BH62" s="59">
        <f t="shared" si="8"/>
        <v>871.84218804488614</v>
      </c>
      <c r="BI62" s="59">
        <f ca="1">AVERAGE(OFFSET($BH$3,0,0,'Données projet'!$E$11+1,1))-AVERAGE(OFFSET($H$3,0,0,'Données projet'!$E$11+1,1))</f>
        <v>339.00921630742886</v>
      </c>
      <c r="BJ62" s="59">
        <f t="shared" si="38"/>
        <v>314.95763895978303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25.365912334028025</v>
      </c>
      <c r="BQ62" s="21">
        <f>EXP(-LN(2)/25)*BQ61+(1-EXP(-LN(2)/25))/(LN(2)/25)*Calculateur!BL62*Calculateur!BN62*VLOOKUP('Données projet'!$B$11,Paramètres!$A$1:$I$89,3,0)*0.475*44/12</f>
        <v>2.2798624537120409</v>
      </c>
      <c r="BR62" s="21">
        <f>EXP(-LN(2)/2)*BR61+(1-EXP(-LN(2)/2))/(LN(2)/2)*BL62*BO62*VLOOKUP('Données projet'!$B$11,Paramètres!$A$1:$I$89,3,0)*0.475*44/12</f>
        <v>0.38178341120372705</v>
      </c>
      <c r="BS62" s="22">
        <f t="shared" si="9"/>
        <v>28.027558198943794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8.4</v>
      </c>
      <c r="BY62" s="12">
        <f>IF('Données projet'!$A$114&gt;35,BY61+BX62-CG61,IF(A62&lt;'Données projet'!$A$114,$BV$205^A62,IF(A62='Données projet'!$A$114,'Données projet'!$B$114,BY61+BX62-CG61)))</f>
        <v>188.59999999999994</v>
      </c>
      <c r="BZ62" s="13">
        <f>BY62*VLOOKUP('Données projet'!$B$12,Paramètres!$A$1:$I$89,3,0)*VLOOKUP('Données projet'!$B$12,Paramètres!$A$1:$I$89,5,0)</f>
        <v>161.81879999999995</v>
      </c>
      <c r="CA62" s="13">
        <f t="shared" si="39"/>
        <v>41.252480557795202</v>
      </c>
      <c r="CB62" s="20">
        <f t="shared" si="10"/>
        <v>353.68248030482658</v>
      </c>
      <c r="CC62" s="59">
        <f t="shared" si="11"/>
        <v>647.0158136381599</v>
      </c>
      <c r="CD62" s="59">
        <f ca="1">AVERAGE(OFFSET($CC$3,0,0,'Données projet'!$E$12+1,1))-AVERAGE(OFFSET($H$3,0,0,'Données projet'!$E$12+1,1))</f>
        <v>204.6927427024138</v>
      </c>
      <c r="CE62" s="59">
        <f t="shared" si="40"/>
        <v>115.74231133146816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12.008429431902416</v>
      </c>
      <c r="CL62" s="21">
        <f>EXP(-LN(2)/25)*CL61+(1-EXP(-LN(2)/25))/(LN(2)/25)*Calculateur!CG62*Calculateur!CI62*VLOOKUP('Données projet'!$B$12,Paramètres!$A$1:$I$89,3,0)*0.475*44/12</f>
        <v>2.123593417128558</v>
      </c>
      <c r="CM62" s="21">
        <f>EXP(-LN(2)/2)*CM61+(1-EXP(-LN(2)/2))/(LN(2)/2)*CG62*CJ62*VLOOKUP('Données projet'!$B$12,Paramètres!$A$1:$I$89,3,0)*0.475*44/12</f>
        <v>0.71895680196966116</v>
      </c>
      <c r="CN62" s="22">
        <f t="shared" si="12"/>
        <v>14.850979651000635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204.15575418077316</v>
      </c>
      <c r="CZ62" s="59">
        <f t="shared" si="42"/>
        <v>473.73726605265045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44.121131911775244</v>
      </c>
      <c r="DG62" s="21">
        <f>EXP(-LN(2)/25)*DG61+(1-EXP(-LN(2)/25))/(LN(2)/25)*Calculateur!DB62*Calculateur!DD62*VLOOKUP('Données projet'!$B$13,Paramètres!$A$1:$I$89,3,0)*0.475*44/12</f>
        <v>20.54437174107596</v>
      </c>
      <c r="DH62" s="21">
        <f>EXP(-LN(2)/2)*DH61+(1-EXP(-LN(2)/2))/(LN(2)/2)*DB62*DE62*VLOOKUP('Données projet'!$B$13,Paramètres!$A$1:$I$89,3,0)*0.475*44/12</f>
        <v>2.3245982371803675E-4</v>
      </c>
      <c r="DI62" s="22">
        <f t="shared" si="15"/>
        <v>64.665736112674921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216.83230520434313</v>
      </c>
      <c r="T63" s="59">
        <f t="shared" si="34"/>
        <v>275.41891707278205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96.257536282609109</v>
      </c>
      <c r="AA63" s="21">
        <f>EXP(-LN(2)/25)*AA62+(1-EXP(-LN(2)/25))/(LN(2)/25)*Calculateur!V63*Calculateur!X63*VLOOKUP('Données projet'!$B$9,Paramètres!$A$1:$I$89,3,0)*0.475*44/12</f>
        <v>16.660573962826742</v>
      </c>
      <c r="AB63" s="21">
        <f>EXP(-LN(2)/2)*AB62+(1-EXP(-LN(2)/2))/(LN(2)/2)*V63*Y63*VLOOKUP('Données projet'!$B$9,Paramètres!$A$1:$I$89,3,0)*0.475*44/12</f>
        <v>0.31718928081826658</v>
      </c>
      <c r="AC63" s="22">
        <f t="shared" si="3"/>
        <v>113.23529952625412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216.99600000000001</v>
      </c>
      <c r="AK63" s="13">
        <f t="shared" si="35"/>
        <v>53.461459647386917</v>
      </c>
      <c r="AL63" s="20">
        <f t="shared" si="4"/>
        <v>471.04674221919896</v>
      </c>
      <c r="AM63" s="59">
        <f t="shared" si="5"/>
        <v>764.38007555253228</v>
      </c>
      <c r="AN63" s="59">
        <f ca="1">AVERAGE(OFFSET($AM$3,0,0,'Données projet'!$E$10+1,1))-AVERAGE(OFFSET($H$3,0,0,'Données projet'!$E$10+1,1))</f>
        <v>292.42154837691379</v>
      </c>
      <c r="AO63" s="59">
        <f t="shared" si="36"/>
        <v>193.18009444354601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0.34400000000000003</v>
      </c>
      <c r="AS63" s="16">
        <f>IF(ISNA(VLOOKUP(A63,'Données projet'!$A$61:$I$81,6,0)),0%,VLOOKUP(A63,'Données projet'!$A$61:$I$81,6,0)*VLOOKUP('Données projet'!$B$10,Paramètres!$A$1:$I$89,7,0))</f>
        <v>1.72E-2</v>
      </c>
      <c r="AT63" s="16">
        <f>IF(ISNA(VLOOKUP(A63,'Données projet'!$A$61:$I$81,7,0)),0%,VLOOKUP(A63,'Données projet'!$A$61:$I$81,7,0))</f>
        <v>0.06</v>
      </c>
      <c r="AU63" s="21">
        <f>EXP(-LN(2)/35)*AU62+(1-EXP(-LN(2)/35))/(LN(2)/35)*AQ63*AR63*VLOOKUP('Données projet'!$B$10,Paramètres!$A$1:$I$89,3,0)*0.475*44/12</f>
        <v>30.119080062947255</v>
      </c>
      <c r="AV63" s="21">
        <f>EXP(-LN(2)/25)*AV62+(1-EXP(-LN(2)/25))/(LN(2)/25)*Calculateur!AQ63*Calculateur!AS63*VLOOKUP('Données projet'!$B$10,Paramètres!$A$1:$I$89,3,0)*0.475*44/12</f>
        <v>2.1926418108905819</v>
      </c>
      <c r="AW63" s="21">
        <f>EXP(-LN(2)/2)*AW62+(1-EXP(-LN(2)/2))/(LN(2)/2)*AQ63*AT63*VLOOKUP('Données projet'!$B$10,Paramètres!$A$1:$I$89,3,0)*0.475*44/12</f>
        <v>1.4656914803790591</v>
      </c>
      <c r="AX63" s="21">
        <f t="shared" si="6"/>
        <v>33.777413354216897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289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288.99999999999994</v>
      </c>
      <c r="BE63" s="13">
        <f>BD63*VLOOKUP('Données projet'!$B$11,Paramètres!$A$1:$I$89,3,0)*VLOOKUP('Données projet'!$B$11,Paramètres!$A$1:$I$89,5,0)</f>
        <v>275.01239999999996</v>
      </c>
      <c r="BF63" s="13">
        <f t="shared" si="37"/>
        <v>65.911885597558978</v>
      </c>
      <c r="BG63" s="20">
        <f t="shared" si="7"/>
        <v>593.77646408241515</v>
      </c>
      <c r="BH63" s="59">
        <f t="shared" si="8"/>
        <v>887.10979741574852</v>
      </c>
      <c r="BI63" s="59">
        <f ca="1">AVERAGE(OFFSET($BH$3,0,0,'Données projet'!$E$11+1,1))-AVERAGE(OFFSET($H$3,0,0,'Données projet'!$E$11+1,1))</f>
        <v>339.00921630742886</v>
      </c>
      <c r="BJ63" s="59">
        <f t="shared" si="38"/>
        <v>314.95763895978303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23</v>
      </c>
      <c r="BM63" s="16">
        <f>IF(ISNA(VLOOKUP(A63,'Données projet'!$A$87:$I$107,5,0)),0%,VLOOKUP(A63,'Données projet'!$A$87:$I$107,5,0)*VLOOKUP('Données projet'!$B$11,Paramètres!$A$1:$I$89,7,0))</f>
        <v>0.30099999999999999</v>
      </c>
      <c r="BN63" s="16">
        <f>IF(ISNA(VLOOKUP(A63,'Données projet'!$A$87:$I$107,6,0)),0%,VLOOKUP(A63,'Données projet'!$A$87:$I$107,6,0)*VLOOKUP('Données projet'!$B$11,Paramètres!$A$1:$I$89,7,0))</f>
        <v>1.72E-2</v>
      </c>
      <c r="BO63" s="16">
        <f>IF(ISNA(VLOOKUP(A63,'Données projet'!$A$87:$I$107,7,0)),0%,VLOOKUP(A63,'Données projet'!$A$87:$I$107,7,0))</f>
        <v>0.06</v>
      </c>
      <c r="BP63" s="21">
        <f>EXP(-LN(2)/35)*BP62+(1-EXP(-LN(2)/35))/(LN(2)/35)*BL63*BM63*VLOOKUP('Données projet'!$B$11,Paramètres!$A$1:$I$89,3,0)*0.475*44/12</f>
        <v>32.151260204767851</v>
      </c>
      <c r="BQ63" s="21">
        <f>EXP(-LN(2)/25)*BQ62+(1-EXP(-LN(2)/25))/(LN(2)/25)*Calculateur!BL63*Calculateur!BN63*VLOOKUP('Données projet'!$B$11,Paramètres!$A$1:$I$89,3,0)*0.475*44/12</f>
        <v>2.6320385205638699</v>
      </c>
      <c r="BR63" s="21">
        <f>EXP(-LN(2)/2)*BR62+(1-EXP(-LN(2)/2))/(LN(2)/2)*BL63*BO63*VLOOKUP('Données projet'!$B$11,Paramètres!$A$1:$I$89,3,0)*0.475*44/12</f>
        <v>1.5090087314817999</v>
      </c>
      <c r="BS63" s="22">
        <f t="shared" si="9"/>
        <v>36.292307456813518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197</v>
      </c>
      <c r="BW63" s="12">
        <f>VLOOKUP(A63,'Données projet'!$A$113:$I$133,9,0)</f>
        <v>8.4</v>
      </c>
      <c r="BX63" s="12">
        <f t="array" ref="BX63">INDEX(BW:BW,MIN(IF(ISNUMBER(BW63:BW259),ROW(BW63:BW259),"")))</f>
        <v>8.4</v>
      </c>
      <c r="BY63" s="12">
        <f>IF('Données projet'!$A$114&gt;35,BY62+BX63-CG62,IF(A63&lt;'Données projet'!$A$114,$BV$205^A63,IF(A63='Données projet'!$A$114,'Données projet'!$B$114,BY62+BX63-CG62)))</f>
        <v>196.99999999999994</v>
      </c>
      <c r="BZ63" s="13">
        <f>BY63*VLOOKUP('Données projet'!$B$12,Paramètres!$A$1:$I$89,3,0)*VLOOKUP('Données projet'!$B$12,Paramètres!$A$1:$I$89,5,0)</f>
        <v>169.02599999999998</v>
      </c>
      <c r="CA63" s="13">
        <f t="shared" si="39"/>
        <v>42.871807090122402</v>
      </c>
      <c r="CB63" s="20">
        <f t="shared" si="10"/>
        <v>369.05534734862982</v>
      </c>
      <c r="CC63" s="59">
        <f t="shared" si="11"/>
        <v>662.38868068196314</v>
      </c>
      <c r="CD63" s="59">
        <f ca="1">AVERAGE(OFFSET($CC$3,0,0,'Données projet'!$E$12+1,1))-AVERAGE(OFFSET($H$3,0,0,'Données projet'!$E$12+1,1))</f>
        <v>204.6927427024138</v>
      </c>
      <c r="CE63" s="59">
        <f t="shared" si="40"/>
        <v>115.74231133146816</v>
      </c>
      <c r="CF63" s="15">
        <f>IF(ISNA(VLOOKUP(A63,'Données projet'!$A$113:$I$133,3,0)),0,VLOOKUP(A63,'Données projet'!$A$113:$I$133,3,0))</f>
        <v>7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0.318</v>
      </c>
      <c r="CI63" s="16">
        <f>IF(ISNA(VLOOKUP(A63,'Données projet'!$A$113:$I$133,6,0)),0%,VLOOKUP(A63,'Données projet'!$A$113:$I$133,6,0)*VLOOKUP('Données projet'!$B$12,Paramètres!$A$1:$I$89,7,0))</f>
        <v>2.12E-2</v>
      </c>
      <c r="CJ63" s="16">
        <f>IF(ISNA(VLOOKUP(A63,'Données projet'!$A$113:$I$133,7,0)),0%,VLOOKUP(A63,'Données projet'!$A$113:$I$133,7,0))</f>
        <v>0.06</v>
      </c>
      <c r="CK63" s="21">
        <f>EXP(-LN(2)/35)*CK62+(1-EXP(-LN(2)/35))/(LN(2)/35)*CG63*CH63*VLOOKUP('Données projet'!$B$12,Paramètres!$A$1:$I$89,3,0)*0.475*44/12</f>
        <v>18.10699162006059</v>
      </c>
      <c r="CL63" s="21">
        <f>EXP(-LN(2)/25)*CL62+(1-EXP(-LN(2)/25))/(LN(2)/25)*Calculateur!CG63*Calculateur!CI63*VLOOKUP('Données projet'!$B$12,Paramètres!$A$1:$I$89,3,0)*0.475*44/12</f>
        <v>2.4861303524830087</v>
      </c>
      <c r="CM63" s="21">
        <f>EXP(-LN(2)/2)*CM62+(1-EXP(-LN(2)/2))/(LN(2)/2)*CG63*CJ63*VLOOKUP('Données projet'!$B$12,Paramètres!$A$1:$I$89,3,0)*0.475*44/12</f>
        <v>1.5284073068945343</v>
      </c>
      <c r="CN63" s="22">
        <f t="shared" si="12"/>
        <v>22.121529279438136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204.15575418077316</v>
      </c>
      <c r="CZ63" s="59">
        <f t="shared" si="42"/>
        <v>473.73726605265045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43.255943426218536</v>
      </c>
      <c r="DG63" s="21">
        <f>EXP(-LN(2)/25)*DG62+(1-EXP(-LN(2)/25))/(LN(2)/25)*Calculateur!DB63*Calculateur!DD63*VLOOKUP('Données projet'!$B$13,Paramètres!$A$1:$I$89,3,0)*0.475*44/12</f>
        <v>19.982584815434681</v>
      </c>
      <c r="DH63" s="21">
        <f>EXP(-LN(2)/2)*DH62+(1-EXP(-LN(2)/2))/(LN(2)/2)*DB63*DE63*VLOOKUP('Données projet'!$B$13,Paramètres!$A$1:$I$89,3,0)*0.475*44/12</f>
        <v>1.6437391770445322E-4</v>
      </c>
      <c r="DI63" s="22">
        <f t="shared" si="15"/>
        <v>63.238692615570919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216.83230520434313</v>
      </c>
      <c r="T64" s="59">
        <f t="shared" si="34"/>
        <v>275.41891707278205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94.369984707407014</v>
      </c>
      <c r="AA64" s="21">
        <f>EXP(-LN(2)/25)*AA63+(1-EXP(-LN(2)/25))/(LN(2)/25)*Calculateur!V64*Calculateur!X64*VLOOKUP('Données projet'!$B$9,Paramètres!$A$1:$I$89,3,0)*0.475*44/12</f>
        <v>16.204989691671738</v>
      </c>
      <c r="AB64" s="21">
        <f>EXP(-LN(2)/2)*AB63+(1-EXP(-LN(2)/2))/(LN(2)/2)*V64*Y64*VLOOKUP('Données projet'!$B$9,Paramètres!$A$1:$I$89,3,0)*0.475*44/12</f>
        <v>0.22428669138628041</v>
      </c>
      <c r="AC64" s="22">
        <f t="shared" si="3"/>
        <v>110.79926109046504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203.00279999999995</v>
      </c>
      <c r="AK64" s="13">
        <f t="shared" si="35"/>
        <v>50.403518824343074</v>
      </c>
      <c r="AL64" s="20">
        <f t="shared" si="4"/>
        <v>441.3493386190641</v>
      </c>
      <c r="AM64" s="59">
        <f t="shared" si="5"/>
        <v>734.68267195239741</v>
      </c>
      <c r="AN64" s="59">
        <f ca="1">AVERAGE(OFFSET($AM$3,0,0,'Données projet'!$E$10+1,1))-AVERAGE(OFFSET($H$3,0,0,'Données projet'!$E$10+1,1))</f>
        <v>292.42154837691379</v>
      </c>
      <c r="AO64" s="59">
        <f t="shared" si="36"/>
        <v>193.18009444354601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29.528463273737728</v>
      </c>
      <c r="AV64" s="21">
        <f>EXP(-LN(2)/25)*AV63+(1-EXP(-LN(2)/25))/(LN(2)/25)*Calculateur!AQ64*Calculateur!AS64*VLOOKUP('Données projet'!$B$10,Paramètres!$A$1:$I$89,3,0)*0.475*44/12</f>
        <v>2.1326839052657576</v>
      </c>
      <c r="AW64" s="21">
        <f>EXP(-LN(2)/2)*AW63+(1-EXP(-LN(2)/2))/(LN(2)/2)*AQ64*AT64*VLOOKUP('Données projet'!$B$10,Paramètres!$A$1:$I$89,3,0)*0.475*44/12</f>
        <v>1.0364003849033823</v>
      </c>
      <c r="AX64" s="21">
        <f t="shared" si="6"/>
        <v>32.697547563906866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273.19999999999993</v>
      </c>
      <c r="BE64" s="13">
        <f>BD64*VLOOKUP('Données projet'!$B$11,Paramètres!$A$1:$I$89,3,0)*VLOOKUP('Données projet'!$B$11,Paramètres!$A$1:$I$89,5,0)</f>
        <v>259.97711999999996</v>
      </c>
      <c r="BF64" s="13">
        <f t="shared" si="37"/>
        <v>62.717500839785117</v>
      </c>
      <c r="BG64" s="20">
        <f t="shared" si="7"/>
        <v>562.02646462929238</v>
      </c>
      <c r="BH64" s="59">
        <f t="shared" si="8"/>
        <v>855.35979796262563</v>
      </c>
      <c r="BI64" s="59">
        <f ca="1">AVERAGE(OFFSET($BH$3,0,0,'Données projet'!$E$11+1,1))-AVERAGE(OFFSET($H$3,0,0,'Données projet'!$E$11+1,1))</f>
        <v>339.00921630742886</v>
      </c>
      <c r="BJ64" s="59">
        <f t="shared" si="38"/>
        <v>314.95763895978303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31.520793602484719</v>
      </c>
      <c r="BQ64" s="21">
        <f>EXP(-LN(2)/25)*BQ63+(1-EXP(-LN(2)/25))/(LN(2)/25)*Calculateur!BL64*Calculateur!BN64*VLOOKUP('Données projet'!$B$11,Paramètres!$A$1:$I$89,3,0)*0.475*44/12</f>
        <v>2.5600652888061606</v>
      </c>
      <c r="BR64" s="21">
        <f>EXP(-LN(2)/2)*BR63+(1-EXP(-LN(2)/2))/(LN(2)/2)*BL64*BO64*VLOOKUP('Données projet'!$B$11,Paramètres!$A$1:$I$89,3,0)*0.475*44/12</f>
        <v>1.0670303069004907</v>
      </c>
      <c r="BS64" s="22">
        <f t="shared" si="9"/>
        <v>35.147889198191372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8.1999999999999993</v>
      </c>
      <c r="BY64" s="12">
        <f>IF('Données projet'!$A$114&gt;35,BY63+BX64-CG63,IF(A64&lt;'Données projet'!$A$114,$BV$205^A64,IF(A64='Données projet'!$A$114,'Données projet'!$B$114,BY63+BX64-CG63)))</f>
        <v>184.19999999999993</v>
      </c>
      <c r="BZ64" s="13">
        <f>BY64*VLOOKUP('Données projet'!$B$12,Paramètres!$A$1:$I$89,3,0)*VLOOKUP('Données projet'!$B$12,Paramètres!$A$1:$I$89,5,0)</f>
        <v>158.04359999999997</v>
      </c>
      <c r="CA64" s="13">
        <f t="shared" si="39"/>
        <v>40.400928460855198</v>
      </c>
      <c r="CB64" s="20">
        <f t="shared" si="10"/>
        <v>345.62422040265614</v>
      </c>
      <c r="CC64" s="59">
        <f t="shared" si="11"/>
        <v>638.95755373598945</v>
      </c>
      <c r="CD64" s="59">
        <f ca="1">AVERAGE(OFFSET($CC$3,0,0,'Données projet'!$E$12+1,1))-AVERAGE(OFFSET($H$3,0,0,'Données projet'!$E$12+1,1))</f>
        <v>204.6927427024138</v>
      </c>
      <c r="CE64" s="59">
        <f t="shared" si="40"/>
        <v>115.74231133146816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17.75192455856557</v>
      </c>
      <c r="CL64" s="21">
        <f>EXP(-LN(2)/25)*CL63+(1-EXP(-LN(2)/25))/(LN(2)/25)*Calculateur!CG64*Calculateur!CI64*VLOOKUP('Données projet'!$B$12,Paramètres!$A$1:$I$89,3,0)*0.475*44/12</f>
        <v>2.4181469872544477</v>
      </c>
      <c r="CM64" s="21">
        <f>EXP(-LN(2)/2)*CM63+(1-EXP(-LN(2)/2))/(LN(2)/2)*CG64*CJ64*VLOOKUP('Données projet'!$B$12,Paramètres!$A$1:$I$89,3,0)*0.475*44/12</f>
        <v>1.0807471711201939</v>
      </c>
      <c r="CN64" s="22">
        <f t="shared" si="12"/>
        <v>21.250818716940213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204.15575418077316</v>
      </c>
      <c r="CZ64" s="59">
        <f t="shared" si="42"/>
        <v>473.73726605265045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42.407720759150727</v>
      </c>
      <c r="DG64" s="21">
        <f>EXP(-LN(2)/25)*DG63+(1-EXP(-LN(2)/25))/(LN(2)/25)*Calculateur!DB64*Calculateur!DD64*VLOOKUP('Données projet'!$B$13,Paramètres!$A$1:$I$89,3,0)*0.475*44/12</f>
        <v>19.436159982818154</v>
      </c>
      <c r="DH64" s="21">
        <f>EXP(-LN(2)/2)*DH63+(1-EXP(-LN(2)/2))/(LN(2)/2)*DB64*DE64*VLOOKUP('Données projet'!$B$13,Paramètres!$A$1:$I$89,3,0)*0.475*44/12</f>
        <v>1.1622991185901838E-4</v>
      </c>
      <c r="DI64" s="22">
        <f t="shared" si="15"/>
        <v>61.843996971880742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216.83230520434313</v>
      </c>
      <c r="T65" s="59">
        <f t="shared" si="34"/>
        <v>275.41891707278205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92.519446867301852</v>
      </c>
      <c r="AA65" s="21">
        <f>EXP(-LN(2)/25)*AA64+(1-EXP(-LN(2)/25))/(LN(2)/25)*Calculateur!V65*Calculateur!X65*VLOOKUP('Données projet'!$B$9,Paramètres!$A$1:$I$89,3,0)*0.475*44/12</f>
        <v>15.761863396369604</v>
      </c>
      <c r="AB65" s="21">
        <f>EXP(-LN(2)/2)*AB64+(1-EXP(-LN(2)/2))/(LN(2)/2)*V65*Y65*VLOOKUP('Données projet'!$B$9,Paramètres!$A$1:$I$89,3,0)*0.475*44/12</f>
        <v>0.15859464040913329</v>
      </c>
      <c r="AC65" s="22">
        <f t="shared" si="3"/>
        <v>108.43990490408059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210.30359999999996</v>
      </c>
      <c r="AK65" s="13">
        <f t="shared" si="35"/>
        <v>52.001924357524459</v>
      </c>
      <c r="AL65" s="20">
        <f t="shared" si="4"/>
        <v>456.84878825602163</v>
      </c>
      <c r="AM65" s="59">
        <f t="shared" si="5"/>
        <v>750.18212158935489</v>
      </c>
      <c r="AN65" s="59">
        <f ca="1">AVERAGE(OFFSET($AM$3,0,0,'Données projet'!$E$10+1,1))-AVERAGE(OFFSET($H$3,0,0,'Données projet'!$E$10+1,1))</f>
        <v>292.42154837691379</v>
      </c>
      <c r="AO65" s="59">
        <f t="shared" si="36"/>
        <v>193.18009444354601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28.94942811952393</v>
      </c>
      <c r="AV65" s="21">
        <f>EXP(-LN(2)/25)*AV64+(1-EXP(-LN(2)/25))/(LN(2)/25)*Calculateur!AQ65*Calculateur!AS65*VLOOKUP('Données projet'!$B$10,Paramètres!$A$1:$I$89,3,0)*0.475*44/12</f>
        <v>2.0743655517232931</v>
      </c>
      <c r="AW65" s="21">
        <f>EXP(-LN(2)/2)*AW64+(1-EXP(-LN(2)/2))/(LN(2)/2)*AQ65*AT65*VLOOKUP('Données projet'!$B$10,Paramètres!$A$1:$I$89,3,0)*0.475*44/12</f>
        <v>0.73284574018952964</v>
      </c>
      <c r="AX65" s="21">
        <f t="shared" si="6"/>
        <v>31.756639411436751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280.39999999999992</v>
      </c>
      <c r="BE65" s="13">
        <f>BD65*VLOOKUP('Données projet'!$B$11,Paramètres!$A$1:$I$89,3,0)*VLOOKUP('Données projet'!$B$11,Paramètres!$A$1:$I$89,5,0)</f>
        <v>266.82863999999995</v>
      </c>
      <c r="BF65" s="13">
        <f t="shared" si="37"/>
        <v>64.175764537605787</v>
      </c>
      <c r="BG65" s="20">
        <f t="shared" si="7"/>
        <v>576.49933790299667</v>
      </c>
      <c r="BH65" s="59">
        <f t="shared" si="8"/>
        <v>869.83267123633004</v>
      </c>
      <c r="BI65" s="59">
        <f ca="1">AVERAGE(OFFSET($BH$3,0,0,'Données projet'!$E$11+1,1))-AVERAGE(OFFSET($H$3,0,0,'Données projet'!$E$11+1,1))</f>
        <v>339.00921630742886</v>
      </c>
      <c r="BJ65" s="59">
        <f t="shared" si="38"/>
        <v>314.95763895978303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30.902690065725704</v>
      </c>
      <c r="BQ65" s="21">
        <f>EXP(-LN(2)/25)*BQ64+(1-EXP(-LN(2)/25))/(LN(2)/25)*Calculateur!BL65*Calculateur!BN65*VLOOKUP('Données projet'!$B$11,Paramètres!$A$1:$I$89,3,0)*0.475*44/12</f>
        <v>2.4900601688557735</v>
      </c>
      <c r="BR65" s="21">
        <f>EXP(-LN(2)/2)*BR64+(1-EXP(-LN(2)/2))/(LN(2)/2)*BL65*BO65*VLOOKUP('Données projet'!$B$11,Paramètres!$A$1:$I$89,3,0)*0.475*44/12</f>
        <v>0.75450436574089996</v>
      </c>
      <c r="BS65" s="22">
        <f t="shared" si="9"/>
        <v>34.147254600322377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8.1999999999999993</v>
      </c>
      <c r="BY65" s="12">
        <f>IF('Données projet'!$A$114&gt;35,BY64+BX65-CG64,IF(A65&lt;'Données projet'!$A$114,$BV$205^A65,IF(A65='Données projet'!$A$114,'Données projet'!$B$114,BY64+BX65-CG64)))</f>
        <v>192.39999999999992</v>
      </c>
      <c r="BZ65" s="13">
        <f>BY65*VLOOKUP('Données projet'!$B$12,Paramètres!$A$1:$I$89,3,0)*VLOOKUP('Données projet'!$B$12,Paramètres!$A$1:$I$89,5,0)</f>
        <v>165.07919999999996</v>
      </c>
      <c r="CA65" s="13">
        <f t="shared" si="39"/>
        <v>41.986051122111817</v>
      </c>
      <c r="CB65" s="20">
        <f t="shared" si="10"/>
        <v>360.6386457043447</v>
      </c>
      <c r="CC65" s="59">
        <f t="shared" si="11"/>
        <v>653.97197903767801</v>
      </c>
      <c r="CD65" s="59">
        <f ca="1">AVERAGE(OFFSET($CC$3,0,0,'Données projet'!$E$12+1,1))-AVERAGE(OFFSET($H$3,0,0,'Données projet'!$E$12+1,1))</f>
        <v>204.6927427024138</v>
      </c>
      <c r="CE65" s="59">
        <f t="shared" si="40"/>
        <v>115.74231133146816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17.403820145576944</v>
      </c>
      <c r="CL65" s="21">
        <f>EXP(-LN(2)/25)*CL64+(1-EXP(-LN(2)/25))/(LN(2)/25)*Calculateur!CG65*Calculateur!CI65*VLOOKUP('Données projet'!$B$12,Paramètres!$A$1:$I$89,3,0)*0.475*44/12</f>
        <v>2.3520226307231513</v>
      </c>
      <c r="CM65" s="21">
        <f>EXP(-LN(2)/2)*CM64+(1-EXP(-LN(2)/2))/(LN(2)/2)*CG65*CJ65*VLOOKUP('Données projet'!$B$12,Paramètres!$A$1:$I$89,3,0)*0.475*44/12</f>
        <v>0.76420365344726726</v>
      </c>
      <c r="CN65" s="22">
        <f t="shared" si="12"/>
        <v>20.520046429747364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204.15575418077316</v>
      </c>
      <c r="CZ65" s="59">
        <f t="shared" si="42"/>
        <v>473.73726605265045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41.576131221219377</v>
      </c>
      <c r="DG65" s="21">
        <f>EXP(-LN(2)/25)*DG64+(1-EXP(-LN(2)/25))/(LN(2)/25)*Calculateur!DB65*Calculateur!DD65*VLOOKUP('Données projet'!$B$13,Paramètres!$A$1:$I$89,3,0)*0.475*44/12</f>
        <v>18.904677165984761</v>
      </c>
      <c r="DH65" s="21">
        <f>EXP(-LN(2)/2)*DH64+(1-EXP(-LN(2)/2))/(LN(2)/2)*DB65*DE65*VLOOKUP('Données projet'!$B$13,Paramètres!$A$1:$I$89,3,0)*0.475*44/12</f>
        <v>8.2186958852226611E-5</v>
      </c>
      <c r="DI65" s="22">
        <f t="shared" si="15"/>
        <v>60.480890574162984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216.83230520434313</v>
      </c>
      <c r="T66" s="59">
        <f t="shared" si="34"/>
        <v>275.41891707278205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90.70519694552452</v>
      </c>
      <c r="AA66" s="21">
        <f>EXP(-LN(2)/25)*AA65+(1-EXP(-LN(2)/25))/(LN(2)/25)*Calculateur!V66*Calculateur!X66*VLOOKUP('Données projet'!$B$9,Paramètres!$A$1:$I$89,3,0)*0.475*44/12</f>
        <v>15.330854412915505</v>
      </c>
      <c r="AB66" s="21">
        <f>EXP(-LN(2)/2)*AB65+(1-EXP(-LN(2)/2))/(LN(2)/2)*V66*Y66*VLOOKUP('Données projet'!$B$9,Paramètres!$A$1:$I$89,3,0)*0.475*44/12</f>
        <v>0.1121433456931402</v>
      </c>
      <c r="AC66" s="22">
        <f t="shared" si="3"/>
        <v>106.14819470413316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217.60439999999994</v>
      </c>
      <c r="AK66" s="13">
        <f t="shared" si="35"/>
        <v>53.593882578706356</v>
      </c>
      <c r="AL66" s="20">
        <f t="shared" si="4"/>
        <v>472.33700882458015</v>
      </c>
      <c r="AM66" s="59">
        <f t="shared" si="5"/>
        <v>765.67034215791341</v>
      </c>
      <c r="AN66" s="59">
        <f ca="1">AVERAGE(OFFSET($AM$3,0,0,'Données projet'!$E$10+1,1))-AVERAGE(OFFSET($H$3,0,0,'Données projet'!$E$10+1,1))</f>
        <v>292.42154837691379</v>
      </c>
      <c r="AO66" s="59">
        <f t="shared" si="36"/>
        <v>193.18009444354601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28.381747491507696</v>
      </c>
      <c r="AV66" s="21">
        <f>EXP(-LN(2)/25)*AV65+(1-EXP(-LN(2)/25))/(LN(2)/25)*Calculateur!AQ66*Calculateur!AS66*VLOOKUP('Données projet'!$B$10,Paramètres!$A$1:$I$89,3,0)*0.475*44/12</f>
        <v>2.0176419166252764</v>
      </c>
      <c r="AW66" s="21">
        <f>EXP(-LN(2)/2)*AW65+(1-EXP(-LN(2)/2))/(LN(2)/2)*AQ66*AT66*VLOOKUP('Données projet'!$B$10,Paramètres!$A$1:$I$89,3,0)*0.475*44/12</f>
        <v>0.51820019245169124</v>
      </c>
      <c r="AX66" s="21">
        <f t="shared" si="6"/>
        <v>30.917589600584662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287.59999999999991</v>
      </c>
      <c r="BE66" s="13">
        <f>BD66*VLOOKUP('Données projet'!$B$11,Paramètres!$A$1:$I$89,3,0)*VLOOKUP('Données projet'!$B$11,Paramètres!$A$1:$I$89,5,0)</f>
        <v>273.68015999999994</v>
      </c>
      <c r="BF66" s="13">
        <f t="shared" si="37"/>
        <v>65.629675672026437</v>
      </c>
      <c r="BG66" s="20">
        <f t="shared" si="7"/>
        <v>590.96463046211261</v>
      </c>
      <c r="BH66" s="59">
        <f t="shared" si="8"/>
        <v>884.29796379544587</v>
      </c>
      <c r="BI66" s="59">
        <f ca="1">AVERAGE(OFFSET($BH$3,0,0,'Données projet'!$E$11+1,1))-AVERAGE(OFFSET($H$3,0,0,'Données projet'!$E$11+1,1))</f>
        <v>339.00921630742886</v>
      </c>
      <c r="BJ66" s="59">
        <f t="shared" si="38"/>
        <v>314.95763895978303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30.296707162316601</v>
      </c>
      <c r="BQ66" s="21">
        <f>EXP(-LN(2)/25)*BQ65+(1-EXP(-LN(2)/25))/(LN(2)/25)*Calculateur!BL66*Calculateur!BN66*VLOOKUP('Données projet'!$B$11,Paramètres!$A$1:$I$89,3,0)*0.475*44/12</f>
        <v>2.4219693425918392</v>
      </c>
      <c r="BR66" s="21">
        <f>EXP(-LN(2)/2)*BR65+(1-EXP(-LN(2)/2))/(LN(2)/2)*BL66*BO66*VLOOKUP('Données projet'!$B$11,Paramètres!$A$1:$I$89,3,0)*0.475*44/12</f>
        <v>0.53351515345024536</v>
      </c>
      <c r="BS66" s="22">
        <f t="shared" si="9"/>
        <v>33.252191658358683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8.1999999999999993</v>
      </c>
      <c r="BY66" s="12">
        <f>IF('Données projet'!$A$114&gt;35,BY65+BX66-CG65,IF(A66&lt;'Données projet'!$A$114,$BV$205^A66,IF(A66='Données projet'!$A$114,'Données projet'!$B$114,BY65+BX66-CG65)))</f>
        <v>200.59999999999991</v>
      </c>
      <c r="BZ66" s="13">
        <f>BY66*VLOOKUP('Données projet'!$B$12,Paramètres!$A$1:$I$89,3,0)*VLOOKUP('Données projet'!$B$12,Paramètres!$A$1:$I$89,5,0)</f>
        <v>172.11479999999995</v>
      </c>
      <c r="CA66" s="13">
        <f t="shared" si="39"/>
        <v>43.563327089597564</v>
      </c>
      <c r="CB66" s="20">
        <f t="shared" si="10"/>
        <v>375.63940468104903</v>
      </c>
      <c r="CC66" s="59">
        <f t="shared" si="11"/>
        <v>668.97273801438234</v>
      </c>
      <c r="CD66" s="59">
        <f ca="1">AVERAGE(OFFSET($CC$3,0,0,'Données projet'!$E$12+1,1))-AVERAGE(OFFSET($H$3,0,0,'Données projet'!$E$12+1,1))</f>
        <v>204.6927427024138</v>
      </c>
      <c r="CE66" s="59">
        <f t="shared" si="40"/>
        <v>115.74231133146816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17.062541847804297</v>
      </c>
      <c r="CL66" s="21">
        <f>EXP(-LN(2)/25)*CL65+(1-EXP(-LN(2)/25))/(LN(2)/25)*Calculateur!CG66*Calculateur!CI66*VLOOKUP('Données projet'!$B$12,Paramètres!$A$1:$I$89,3,0)*0.475*44/12</f>
        <v>2.2877064481985321</v>
      </c>
      <c r="CM66" s="21">
        <f>EXP(-LN(2)/2)*CM65+(1-EXP(-LN(2)/2))/(LN(2)/2)*CG66*CJ66*VLOOKUP('Données projet'!$B$12,Paramètres!$A$1:$I$89,3,0)*0.475*44/12</f>
        <v>0.54037358556009707</v>
      </c>
      <c r="CN66" s="22">
        <f t="shared" si="12"/>
        <v>19.890621881562925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204.15575418077316</v>
      </c>
      <c r="CZ66" s="59">
        <f t="shared" si="42"/>
        <v>473.73726605265045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40.76084864690732</v>
      </c>
      <c r="DG66" s="21">
        <f>EXP(-LN(2)/25)*DG65+(1-EXP(-LN(2)/25))/(LN(2)/25)*Calculateur!DB66*Calculateur!DD66*VLOOKUP('Données projet'!$B$13,Paramètres!$A$1:$I$89,3,0)*0.475*44/12</f>
        <v>18.387727774727143</v>
      </c>
      <c r="DH66" s="21">
        <f>EXP(-LN(2)/2)*DH65+(1-EXP(-LN(2)/2))/(LN(2)/2)*DB66*DE66*VLOOKUP('Données projet'!$B$13,Paramètres!$A$1:$I$89,3,0)*0.475*44/12</f>
        <v>5.8114955929509188E-5</v>
      </c>
      <c r="DI66" s="22">
        <f t="shared" si="15"/>
        <v>59.148634536590386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216.83230520434313</v>
      </c>
      <c r="T67" s="59">
        <f t="shared" si="34"/>
        <v>275.41891707278205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88.926523358130055</v>
      </c>
      <c r="AA67" s="21">
        <f>EXP(-LN(2)/25)*AA66+(1-EXP(-LN(2)/25))/(LN(2)/25)*Calculateur!V67*Calculateur!X67*VLOOKUP('Données projet'!$B$9,Paramètres!$A$1:$I$89,3,0)*0.475*44/12</f>
        <v>14.911631392779736</v>
      </c>
      <c r="AB67" s="21">
        <f>EXP(-LN(2)/2)*AB66+(1-EXP(-LN(2)/2))/(LN(2)/2)*V67*Y67*VLOOKUP('Données projet'!$B$9,Paramètres!$A$1:$I$89,3,0)*0.475*44/12</f>
        <v>7.9297320204566646E-2</v>
      </c>
      <c r="AC67" s="22">
        <f t="shared" si="3"/>
        <v>103.91745207111435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224.90519999999995</v>
      </c>
      <c r="AK67" s="13">
        <f t="shared" si="35"/>
        <v>55.17963460003309</v>
      </c>
      <c r="AL67" s="20">
        <f t="shared" si="4"/>
        <v>487.81442026172425</v>
      </c>
      <c r="AM67" s="59">
        <f t="shared" si="5"/>
        <v>781.14775359505757</v>
      </c>
      <c r="AN67" s="59">
        <f ca="1">AVERAGE(OFFSET($AM$3,0,0,'Données projet'!$E$10+1,1))-AVERAGE(OFFSET($H$3,0,0,'Données projet'!$E$10+1,1))</f>
        <v>292.42154837691379</v>
      </c>
      <c r="AO67" s="59">
        <f t="shared" si="36"/>
        <v>193.18009444354601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27.825198734355865</v>
      </c>
      <c r="AV67" s="21">
        <f>EXP(-LN(2)/25)*AV66+(1-EXP(-LN(2)/25))/(LN(2)/25)*Calculateur!AQ67*Calculateur!AS67*VLOOKUP('Données projet'!$B$10,Paramètres!$A$1:$I$89,3,0)*0.475*44/12</f>
        <v>1.9624693923119811</v>
      </c>
      <c r="AW67" s="21">
        <f>EXP(-LN(2)/2)*AW66+(1-EXP(-LN(2)/2))/(LN(2)/2)*AQ67*AT67*VLOOKUP('Données projet'!$B$10,Paramètres!$A$1:$I$89,3,0)*0.475*44/12</f>
        <v>0.36642287009476487</v>
      </c>
      <c r="AX67" s="21">
        <f t="shared" si="6"/>
        <v>30.154090996762612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294.7999999999999</v>
      </c>
      <c r="BE67" s="13">
        <f>BD67*VLOOKUP('Données projet'!$B$11,Paramètres!$A$1:$I$89,3,0)*VLOOKUP('Données projet'!$B$11,Paramètres!$A$1:$I$89,5,0)</f>
        <v>280.53167999999994</v>
      </c>
      <c r="BF67" s="13">
        <f t="shared" si="37"/>
        <v>67.079355740650215</v>
      </c>
      <c r="BG67" s="20">
        <f t="shared" si="7"/>
        <v>605.42255391496565</v>
      </c>
      <c r="BH67" s="59">
        <f t="shared" si="8"/>
        <v>898.7558872482989</v>
      </c>
      <c r="BI67" s="59">
        <f ca="1">AVERAGE(OFFSET($BH$3,0,0,'Données projet'!$E$11+1,1))-AVERAGE(OFFSET($H$3,0,0,'Données projet'!$E$11+1,1))</f>
        <v>339.00921630742886</v>
      </c>
      <c r="BJ67" s="59">
        <f t="shared" si="38"/>
        <v>314.95763895978303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29.702607214030277</v>
      </c>
      <c r="BQ67" s="21">
        <f>EXP(-LN(2)/25)*BQ66+(1-EXP(-LN(2)/25))/(LN(2)/25)*Calculateur!BL67*Calculateur!BN67*VLOOKUP('Données projet'!$B$11,Paramètres!$A$1:$I$89,3,0)*0.475*44/12</f>
        <v>2.355740463552833</v>
      </c>
      <c r="BR67" s="21">
        <f>EXP(-LN(2)/2)*BR66+(1-EXP(-LN(2)/2))/(LN(2)/2)*BL67*BO67*VLOOKUP('Données projet'!$B$11,Paramètres!$A$1:$I$89,3,0)*0.475*44/12</f>
        <v>0.37725218287044998</v>
      </c>
      <c r="BS67" s="22">
        <f t="shared" si="9"/>
        <v>32.435599860453557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8.1999999999999993</v>
      </c>
      <c r="BY67" s="12">
        <f>IF('Données projet'!$A$114&gt;35,BY66+BX67-CG66,IF(A67&lt;'Données projet'!$A$114,$BV$205^A67,IF(A67='Données projet'!$A$114,'Données projet'!$B$114,BY66+BX67-CG66)))</f>
        <v>208.7999999999999</v>
      </c>
      <c r="BZ67" s="13">
        <f>BY67*VLOOKUP('Données projet'!$B$12,Paramètres!$A$1:$I$89,3,0)*VLOOKUP('Données projet'!$B$12,Paramètres!$A$1:$I$89,5,0)</f>
        <v>179.15039999999993</v>
      </c>
      <c r="CA67" s="13">
        <f t="shared" si="39"/>
        <v>45.133113803437304</v>
      </c>
      <c r="CB67" s="20">
        <f t="shared" si="10"/>
        <v>390.62711987431982</v>
      </c>
      <c r="CC67" s="59">
        <f t="shared" si="11"/>
        <v>683.96045320765313</v>
      </c>
      <c r="CD67" s="59">
        <f ca="1">AVERAGE(OFFSET($CC$3,0,0,'Données projet'!$E$12+1,1))-AVERAGE(OFFSET($H$3,0,0,'Données projet'!$E$12+1,1))</f>
        <v>204.6927427024138</v>
      </c>
      <c r="CE67" s="59">
        <f t="shared" si="40"/>
        <v>115.74231133146816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16.727955809291764</v>
      </c>
      <c r="CL67" s="21">
        <f>EXP(-LN(2)/25)*CL66+(1-EXP(-LN(2)/25))/(LN(2)/25)*Calculateur!CG67*Calculateur!CI67*VLOOKUP('Données projet'!$B$12,Paramètres!$A$1:$I$89,3,0)*0.475*44/12</f>
        <v>2.2251489950672898</v>
      </c>
      <c r="CM67" s="21">
        <f>EXP(-LN(2)/2)*CM66+(1-EXP(-LN(2)/2))/(LN(2)/2)*CG67*CJ67*VLOOKUP('Données projet'!$B$12,Paramètres!$A$1:$I$89,3,0)*0.475*44/12</f>
        <v>0.38210182672363369</v>
      </c>
      <c r="CN67" s="22">
        <f t="shared" si="12"/>
        <v>19.335206631082688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204.15575418077316</v>
      </c>
      <c r="CZ67" s="59">
        <f t="shared" si="42"/>
        <v>473.73726605265045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39.961553266604255</v>
      </c>
      <c r="DG67" s="21">
        <f>EXP(-LN(2)/25)*DG66+(1-EXP(-LN(2)/25))/(LN(2)/25)*Calculateur!DB67*Calculateur!DD67*VLOOKUP('Données projet'!$B$13,Paramètres!$A$1:$I$89,3,0)*0.475*44/12</f>
        <v>17.884914391758652</v>
      </c>
      <c r="DH67" s="21">
        <f>EXP(-LN(2)/2)*DH66+(1-EXP(-LN(2)/2))/(LN(2)/2)*DB67*DE67*VLOOKUP('Données projet'!$B$13,Paramètres!$A$1:$I$89,3,0)*0.475*44/12</f>
        <v>4.1093479426113305E-5</v>
      </c>
      <c r="DI67" s="22">
        <f t="shared" si="15"/>
        <v>57.846508751842336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216.83230520434313</v>
      </c>
      <c r="T68" s="59">
        <f t="shared" si="34"/>
        <v>275.41891707278205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87.182728474900642</v>
      </c>
      <c r="AA68" s="21">
        <f>EXP(-LN(2)/25)*AA67+(1-EXP(-LN(2)/25))/(LN(2)/25)*Calculateur!V68*Calculateur!X68*VLOOKUP('Données projet'!$B$9,Paramètres!$A$1:$I$89,3,0)*0.475*44/12</f>
        <v>14.503872048175561</v>
      </c>
      <c r="AB68" s="21">
        <f>EXP(-LN(2)/2)*AB67+(1-EXP(-LN(2)/2))/(LN(2)/2)*V68*Y68*VLOOKUP('Données projet'!$B$9,Paramètres!$A$1:$I$89,3,0)*0.475*44/12</f>
        <v>5.6071672846570102E-2</v>
      </c>
      <c r="AC68" s="22">
        <f t="shared" ref="AC68:AC131" si="57">SUM(Z68:AB68)</f>
        <v>101.74267219592278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232.2059999999999</v>
      </c>
      <c r="AK68" s="13">
        <f t="shared" si="35"/>
        <v>56.759404991217522</v>
      </c>
      <c r="AL68" s="20">
        <f t="shared" ref="AL68:AL131" si="58">(AJ68+AK68)*0.475*44/12</f>
        <v>503.281413693037</v>
      </c>
      <c r="AM68" s="59">
        <f t="shared" ref="AM68:AM131" si="59">AL68+(AD68+AE68)*44/12</f>
        <v>796.61474702637031</v>
      </c>
      <c r="AN68" s="59">
        <f ca="1">AVERAGE(OFFSET($AM$3,0,0,'Données projet'!$E$10+1,1))-AVERAGE(OFFSET($H$3,0,0,'Données projet'!$E$10+1,1))</f>
        <v>292.42154837691379</v>
      </c>
      <c r="AO68" s="59">
        <f t="shared" si="36"/>
        <v>193.18009444354601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0.34400000000000003</v>
      </c>
      <c r="AS68" s="16">
        <f>IF(ISNA(VLOOKUP(A68,'Données projet'!$A$61:$I$81,6,0)),0%,VLOOKUP(A68,'Données projet'!$A$61:$I$81,6,0)*VLOOKUP('Données projet'!$B$10,Paramètres!$A$1:$I$89,7,0))</f>
        <v>1.72E-2</v>
      </c>
      <c r="AT68" s="16">
        <f>IF(ISNA(VLOOKUP(A68,'Données projet'!$A$61:$I$81,7,0)),0%,VLOOKUP(A68,'Données projet'!$A$61:$I$81,7,0))</f>
        <v>0.06</v>
      </c>
      <c r="AU68" s="21">
        <f>EXP(-LN(2)/35)*AU67+(1-EXP(-LN(2)/35))/(LN(2)/35)*AQ68*AR68*VLOOKUP('Données projet'!$B$10,Paramètres!$A$1:$I$89,3,0)*0.475*44/12</f>
        <v>35.377284432921037</v>
      </c>
      <c r="AV68" s="21">
        <f>EXP(-LN(2)/25)*AV67+(1-EXP(-LN(2)/25))/(LN(2)/25)*Calculateur!AQ68*Calculateur!AS68*VLOOKUP('Données projet'!$B$10,Paramètres!$A$1:$I$89,3,0)*0.475*44/12</f>
        <v>2.3120974166522195</v>
      </c>
      <c r="AW68" s="21">
        <f>EXP(-LN(2)/2)*AW67+(1-EXP(-LN(2)/2))/(LN(2)/2)*AQ68*AT68*VLOOKUP('Données projet'!$B$10,Paramètres!$A$1:$I$89,3,0)*0.475*44/12</f>
        <v>1.464587823402274</v>
      </c>
      <c r="AX68" s="21">
        <f t="shared" ref="AX68:AX131" si="60">SUM(AU68:AW68)</f>
        <v>39.153969672975535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302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301.99999999999989</v>
      </c>
      <c r="BE68" s="13">
        <f>BD68*VLOOKUP('Données projet'!$B$11,Paramètres!$A$1:$I$89,3,0)*VLOOKUP('Données projet'!$B$11,Paramètres!$A$1:$I$89,5,0)</f>
        <v>287.38319999999987</v>
      </c>
      <c r="BF68" s="13">
        <f t="shared" si="37"/>
        <v>68.524919967962703</v>
      </c>
      <c r="BG68" s="20">
        <f t="shared" ref="BG68:BG131" si="61">(BE68+BF68)*0.475*44/12</f>
        <v>619.87330894420143</v>
      </c>
      <c r="BH68" s="59">
        <f t="shared" ref="BH68:BH131" si="62">BG68+(AY68+AZ68)*44/12</f>
        <v>913.20664227753468</v>
      </c>
      <c r="BI68" s="59">
        <f ca="1">AVERAGE(OFFSET($BH$3,0,0,'Données projet'!$E$11+1,1))-AVERAGE(OFFSET($H$3,0,0,'Données projet'!$E$11+1,1))</f>
        <v>339.00921630742886</v>
      </c>
      <c r="BJ68" s="59">
        <f t="shared" si="38"/>
        <v>314.95763895978303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23</v>
      </c>
      <c r="BM68" s="16">
        <f>IF(ISNA(VLOOKUP(A68,'Données projet'!$A$87:$I$107,5,0)),0%,VLOOKUP(A68,'Données projet'!$A$87:$I$107,5,0)*VLOOKUP('Données projet'!$B$11,Paramètres!$A$1:$I$89,7,0))</f>
        <v>0.30099999999999999</v>
      </c>
      <c r="BN68" s="16">
        <f>IF(ISNA(VLOOKUP(A68,'Données projet'!$A$87:$I$107,6,0)),0%,VLOOKUP(A68,'Données projet'!$A$87:$I$107,6,0)*VLOOKUP('Données projet'!$B$11,Paramètres!$A$1:$I$89,7,0))</f>
        <v>1.72E-2</v>
      </c>
      <c r="BO68" s="16">
        <f>IF(ISNA(VLOOKUP(A68,'Données projet'!$A$87:$I$107,7,0)),0%,VLOOKUP(A68,'Données projet'!$A$87:$I$107,7,0))</f>
        <v>0.06</v>
      </c>
      <c r="BP68" s="21">
        <f>EXP(-LN(2)/35)*BP67+(1-EXP(-LN(2)/35))/(LN(2)/35)*BL68*BM68*VLOOKUP('Données projet'!$B$11,Paramètres!$A$1:$I$89,3,0)*0.475*44/12</f>
        <v>36.402915143295957</v>
      </c>
      <c r="BQ68" s="21">
        <f>EXP(-LN(2)/25)*BQ67+(1-EXP(-LN(2)/25))/(LN(2)/25)*Calculateur!BL68*Calculateur!BN68*VLOOKUP('Données projet'!$B$11,Paramètres!$A$1:$I$89,3,0)*0.475*44/12</f>
        <v>2.7058416422353142</v>
      </c>
      <c r="BR68" s="21">
        <f>EXP(-LN(2)/2)*BR67+(1-EXP(-LN(2)/2))/(LN(2)/2)*BL68*BO68*VLOOKUP('Données projet'!$B$11,Paramètres!$A$1:$I$89,3,0)*0.475*44/12</f>
        <v>1.5058046692002351</v>
      </c>
      <c r="BS68" s="22">
        <f t="shared" ref="BS68:BS131" si="63">SUM(BP68:BR68)</f>
        <v>40.614561454731508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217</v>
      </c>
      <c r="BW68" s="12">
        <f>VLOOKUP(A68,'Données projet'!$A$113:$I$133,9,0)</f>
        <v>8.1999999999999993</v>
      </c>
      <c r="BX68" s="12">
        <f t="array" ref="BX68">INDEX(BW:BW,MIN(IF(ISNUMBER(BW68:BW264),ROW(BW68:BW264),"")))</f>
        <v>8.1999999999999993</v>
      </c>
      <c r="BY68" s="12">
        <f>IF('Données projet'!$A$114&gt;35,BY67+BX68-CG67,IF(A68&lt;'Données projet'!$A$114,$BV$205^A68,IF(A68='Données projet'!$A$114,'Données projet'!$B$114,BY67+BX68-CG67)))</f>
        <v>216.99999999999989</v>
      </c>
      <c r="BZ68" s="13">
        <f>BY68*VLOOKUP('Données projet'!$B$12,Paramètres!$A$1:$I$89,3,0)*VLOOKUP('Données projet'!$B$12,Paramètres!$A$1:$I$89,5,0)</f>
        <v>186.18599999999992</v>
      </c>
      <c r="CA68" s="13">
        <f t="shared" si="39"/>
        <v>46.695739039470418</v>
      </c>
      <c r="CB68" s="20">
        <f t="shared" ref="CB68:CB131" si="64">(BZ68+CA68)*0.475*44/12</f>
        <v>405.60236216041085</v>
      </c>
      <c r="CC68" s="59">
        <f t="shared" ref="CC68:CC131" si="65">CB68+(BT68+BU68)*44/12</f>
        <v>698.93569549374411</v>
      </c>
      <c r="CD68" s="59">
        <f ca="1">AVERAGE(OFFSET($CC$3,0,0,'Données projet'!$E$12+1,1))-AVERAGE(OFFSET($H$3,0,0,'Données projet'!$E$12+1,1))</f>
        <v>204.6927427024138</v>
      </c>
      <c r="CE68" s="59">
        <f t="shared" si="40"/>
        <v>115.74231133146816</v>
      </c>
      <c r="CF68" s="15">
        <f>IF(ISNA(VLOOKUP(A68,'Données projet'!$A$113:$I$133,3,0)),0,VLOOKUP(A68,'Données projet'!$A$113:$I$133,3,0))</f>
        <v>8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0.318</v>
      </c>
      <c r="CI68" s="16">
        <f>IF(ISNA(VLOOKUP(A68,'Données projet'!$A$113:$I$133,6,0)),0%,VLOOKUP(A68,'Données projet'!$A$113:$I$133,6,0)*VLOOKUP('Données projet'!$B$12,Paramètres!$A$1:$I$89,7,0))</f>
        <v>2.12E-2</v>
      </c>
      <c r="CJ68" s="16">
        <f>IF(ISNA(VLOOKUP(A68,'Données projet'!$A$113:$I$133,7,0)),0%,VLOOKUP(A68,'Données projet'!$A$113:$I$133,7,0))</f>
        <v>0.06</v>
      </c>
      <c r="CK68" s="21">
        <f>EXP(-LN(2)/35)*CK67+(1-EXP(-LN(2)/35))/(LN(2)/35)*CG68*CH68*VLOOKUP('Données projet'!$B$12,Paramètres!$A$1:$I$89,3,0)*0.475*44/12</f>
        <v>22.733970963816184</v>
      </c>
      <c r="CL68" s="21">
        <f>EXP(-LN(2)/25)*CL67+(1-EXP(-LN(2)/25))/(LN(2)/25)*Calculateur!CG68*Calculateur!CI68*VLOOKUP('Données projet'!$B$12,Paramètres!$A$1:$I$89,3,0)*0.475*44/12</f>
        <v>2.5849088878024302</v>
      </c>
      <c r="CM68" s="21">
        <f>EXP(-LN(2)/2)*CM67+(1-EXP(-LN(2)/2))/(LN(2)/2)*CG68*CJ68*VLOOKUP('Données projet'!$B$12,Paramètres!$A$1:$I$89,3,0)*0.475*44/12</f>
        <v>1.2902148696216418</v>
      </c>
      <c r="CN68" s="22">
        <f t="shared" ref="CN68:CN131" si="66">SUM(CK68:CM68)</f>
        <v>26.609094721240258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204.15575418077316</v>
      </c>
      <c r="CZ68" s="59">
        <f t="shared" si="42"/>
        <v>473.73726605265045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39.17793158118689</v>
      </c>
      <c r="DG68" s="21">
        <f>EXP(-LN(2)/25)*DG67+(1-EXP(-LN(2)/25))/(LN(2)/25)*Calculateur!DB68*Calculateur!DD68*VLOOKUP('Données projet'!$B$13,Paramètres!$A$1:$I$89,3,0)*0.475*44/12</f>
        <v>17.395850467189241</v>
      </c>
      <c r="DH68" s="21">
        <f>EXP(-LN(2)/2)*DH67+(1-EXP(-LN(2)/2))/(LN(2)/2)*DB68*DE68*VLOOKUP('Données projet'!$B$13,Paramètres!$A$1:$I$89,3,0)*0.475*44/12</f>
        <v>2.9057477964754594E-5</v>
      </c>
      <c r="DI68" s="22">
        <f t="shared" ref="DI68:DI131" si="69">SUM(DF68:DH68)</f>
        <v>56.573811105854098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216.83230520434313</v>
      </c>
      <c r="T69" s="59">
        <f t="shared" ref="T69:T132" si="88">$T$3</f>
        <v>275.41891707278205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85.473128345721491</v>
      </c>
      <c r="AA69" s="21">
        <f>EXP(-LN(2)/25)*AA68+(1-EXP(-LN(2)/25))/(LN(2)/25)*Calculateur!V69*Calculateur!X69*VLOOKUP('Données projet'!$B$9,Paramètres!$A$1:$I$89,3,0)*0.475*44/12</f>
        <v>14.107262904292718</v>
      </c>
      <c r="AB69" s="21">
        <f>EXP(-LN(2)/2)*AB68+(1-EXP(-LN(2)/2))/(LN(2)/2)*V69*Y69*VLOOKUP('Données projet'!$B$9,Paramètres!$A$1:$I$89,3,0)*0.475*44/12</f>
        <v>3.9648660102283323E-2</v>
      </c>
      <c r="AC69" s="22">
        <f t="shared" si="57"/>
        <v>99.620039910116489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766.10041433772585</v>
      </c>
      <c r="AN69" s="59">
        <f ca="1">AVERAGE(OFFSET($AM$3,0,0,'Données projet'!$E$10+1,1))-AVERAGE(OFFSET($H$3,0,0,'Données projet'!$E$10+1,1))</f>
        <v>292.42154837691379</v>
      </c>
      <c r="AO69" s="59">
        <f t="shared" ref="AO69:AO132" si="90">$AO$3</f>
        <v>193.18009444354601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34.683557463204309</v>
      </c>
      <c r="AV69" s="21">
        <f>EXP(-LN(2)/25)*AV68+(1-EXP(-LN(2)/25))/(LN(2)/25)*Calculateur!AQ69*Calculateur!AS69*VLOOKUP('Données projet'!$B$10,Paramètres!$A$1:$I$89,3,0)*0.475*44/12</f>
        <v>2.2488729912059457</v>
      </c>
      <c r="AW69" s="21">
        <f>EXP(-LN(2)/2)*AW68+(1-EXP(-LN(2)/2))/(LN(2)/2)*AQ69*AT69*VLOOKUP('Données projet'!$B$10,Paramètres!$A$1:$I$89,3,0)*0.475*44/12</f>
        <v>1.0356199815709937</v>
      </c>
      <c r="AX69" s="21">
        <f t="shared" si="60"/>
        <v>37.968050435981247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285.7999999999999</v>
      </c>
      <c r="BE69" s="13">
        <f>BD69*VLOOKUP('Données projet'!$B$11,Paramètres!$A$1:$I$89,3,0)*VLOOKUP('Données projet'!$B$11,Paramètres!$A$1:$I$89,5,0)</f>
        <v>271.9672799999999</v>
      </c>
      <c r="BF69" s="13">
        <f t="shared" ref="BF69:BF132" si="91">EXP(-1.0587+0.8836*LN(BE69)+0.284)</f>
        <v>65.266599185852357</v>
      </c>
      <c r="BG69" s="20">
        <f t="shared" si="61"/>
        <v>587.34900624869272</v>
      </c>
      <c r="BH69" s="59">
        <f t="shared" si="62"/>
        <v>880.68233958202609</v>
      </c>
      <c r="BI69" s="59">
        <f ca="1">AVERAGE(OFFSET($BH$3,0,0,'Données projet'!$E$11+1,1))-AVERAGE(OFFSET($H$3,0,0,'Données projet'!$E$11+1,1))</f>
        <v>339.00921630742886</v>
      </c>
      <c r="BJ69" s="59">
        <f t="shared" ref="BJ69:BJ132" si="92">$BJ$3</f>
        <v>314.95763895978303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35.689076180921738</v>
      </c>
      <c r="BQ69" s="21">
        <f>EXP(-LN(2)/25)*BQ68+(1-EXP(-LN(2)/25))/(LN(2)/25)*Calculateur!BL69*Calculateur!BN69*VLOOKUP('Données projet'!$B$11,Paramètres!$A$1:$I$89,3,0)*0.475*44/12</f>
        <v>2.6318502602343616</v>
      </c>
      <c r="BR69" s="21">
        <f>EXP(-LN(2)/2)*BR68+(1-EXP(-LN(2)/2))/(LN(2)/2)*BL69*BO69*VLOOKUP('Données projet'!$B$11,Paramètres!$A$1:$I$89,3,0)*0.475*44/12</f>
        <v>1.0647646927338523</v>
      </c>
      <c r="BS69" s="22">
        <f t="shared" si="63"/>
        <v>39.385691133889949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8.1999999999999993</v>
      </c>
      <c r="BY69" s="12">
        <f>IF('Données projet'!$A$114&gt;35,BY68+BX69-CG68,IF(A69&lt;'Données projet'!$A$114,$BV$205^A69,IF(A69='Données projet'!$A$114,'Données projet'!$B$114,BY68+BX69-CG68)))</f>
        <v>204.19999999999987</v>
      </c>
      <c r="BZ69" s="13">
        <f>BY69*VLOOKUP('Données projet'!$B$12,Paramètres!$A$1:$I$89,3,0)*VLOOKUP('Données projet'!$B$12,Paramètres!$A$1:$I$89,5,0)</f>
        <v>175.20359999999991</v>
      </c>
      <c r="CA69" s="13">
        <f t="shared" ref="CA69:CA132" si="93">EXP(-1.0587+0.8836*LN(BZ69)+0.284)</f>
        <v>44.253403975818124</v>
      </c>
      <c r="CB69" s="20">
        <f t="shared" si="64"/>
        <v>382.22094859121631</v>
      </c>
      <c r="CC69" s="59">
        <f t="shared" si="65"/>
        <v>675.55428192454963</v>
      </c>
      <c r="CD69" s="59">
        <f ca="1">AVERAGE(OFFSET($CC$3,0,0,'Données projet'!$E$12+1,1))-AVERAGE(OFFSET($H$3,0,0,'Données projet'!$E$12+1,1))</f>
        <v>204.6927427024138</v>
      </c>
      <c r="CE69" s="59">
        <f t="shared" ref="CE69:CE132" si="94">$CE$3</f>
        <v>115.74231133146816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22.288171659568846</v>
      </c>
      <c r="CL69" s="21">
        <f>EXP(-LN(2)/25)*CL68+(1-EXP(-LN(2)/25))/(LN(2)/25)*Calculateur!CG69*Calculateur!CI69*VLOOKUP('Données projet'!$B$12,Paramètres!$A$1:$I$89,3,0)*0.475*44/12</f>
        <v>2.5142244183310223</v>
      </c>
      <c r="CM69" s="21">
        <f>EXP(-LN(2)/2)*CM68+(1-EXP(-LN(2)/2))/(LN(2)/2)*CG69*CJ69*VLOOKUP('Données projet'!$B$12,Paramètres!$A$1:$I$89,3,0)*0.475*44/12</f>
        <v>0.91231968349718029</v>
      </c>
      <c r="CN69" s="22">
        <f t="shared" si="66"/>
        <v>25.714715761397049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204.15575418077316</v>
      </c>
      <c r="CZ69" s="59">
        <f t="shared" ref="CZ69:CZ132" si="96">$CZ$3</f>
        <v>473.73726605265045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38.409676239058527</v>
      </c>
      <c r="DG69" s="21">
        <f>EXP(-LN(2)/25)*DG68+(1-EXP(-LN(2)/25))/(LN(2)/25)*Calculateur!DB69*Calculateur!DD69*VLOOKUP('Données projet'!$B$13,Paramètres!$A$1:$I$89,3,0)*0.475*44/12</f>
        <v>16.920160021355933</v>
      </c>
      <c r="DH69" s="21">
        <f>EXP(-LN(2)/2)*DH68+(1-EXP(-LN(2)/2))/(LN(2)/2)*DB69*DE69*VLOOKUP('Données projet'!$B$13,Paramètres!$A$1:$I$89,3,0)*0.475*44/12</f>
        <v>2.0546739713056653E-5</v>
      </c>
      <c r="DI69" s="22">
        <f t="shared" si="69"/>
        <v>55.329856807154172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216.83230520434313</v>
      </c>
      <c r="T70" s="59">
        <f t="shared" si="88"/>
        <v>275.41891707278205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83.797052432322431</v>
      </c>
      <c r="AA70" s="21">
        <f>EXP(-LN(2)/25)*AA69+(1-EXP(-LN(2)/25))/(LN(2)/25)*Calculateur!V70*Calculateur!X70*VLOOKUP('Données projet'!$B$9,Paramètres!$A$1:$I$89,3,0)*0.475*44/12</f>
        <v>13.72149905830612</v>
      </c>
      <c r="AB70" s="21">
        <f>EXP(-LN(2)/2)*AB69+(1-EXP(-LN(2)/2))/(LN(2)/2)*V70*Y70*VLOOKUP('Données projet'!$B$9,Paramètres!$A$1:$I$89,3,0)*0.475*44/12</f>
        <v>2.8035836423285051E-2</v>
      </c>
      <c r="AC70" s="22">
        <f t="shared" si="57"/>
        <v>97.546587327051839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224.70239999999995</v>
      </c>
      <c r="AK70" s="13">
        <f t="shared" si="89"/>
        <v>55.135667706678262</v>
      </c>
      <c r="AL70" s="20">
        <f t="shared" si="58"/>
        <v>487.38463458913128</v>
      </c>
      <c r="AM70" s="59">
        <f t="shared" si="59"/>
        <v>780.7179679224646</v>
      </c>
      <c r="AN70" s="59">
        <f ca="1">AVERAGE(OFFSET($AM$3,0,0,'Données projet'!$E$10+1,1))-AVERAGE(OFFSET($H$3,0,0,'Données projet'!$E$10+1,1))</f>
        <v>292.42154837691379</v>
      </c>
      <c r="AO70" s="59">
        <f t="shared" si="90"/>
        <v>193.18009444354601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34.003434056232052</v>
      </c>
      <c r="AV70" s="21">
        <f>EXP(-LN(2)/25)*AV69+(1-EXP(-LN(2)/25))/(LN(2)/25)*Calculateur!AQ70*Calculateur!AS70*VLOOKUP('Données projet'!$B$10,Paramètres!$A$1:$I$89,3,0)*0.475*44/12</f>
        <v>2.1873774409983282</v>
      </c>
      <c r="AW70" s="21">
        <f>EXP(-LN(2)/2)*AW69+(1-EXP(-LN(2)/2))/(LN(2)/2)*AQ70*AT70*VLOOKUP('Données projet'!$B$10,Paramètres!$A$1:$I$89,3,0)*0.475*44/12</f>
        <v>0.732293911701137</v>
      </c>
      <c r="AX70" s="21">
        <f t="shared" si="60"/>
        <v>36.923105408931512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292.59999999999991</v>
      </c>
      <c r="BE70" s="13">
        <f>BD70*VLOOKUP('Données projet'!$B$11,Paramètres!$A$1:$I$89,3,0)*VLOOKUP('Données projet'!$B$11,Paramètres!$A$1:$I$89,5,0)</f>
        <v>278.43815999999993</v>
      </c>
      <c r="BF70" s="13">
        <f t="shared" si="91"/>
        <v>66.636839817348402</v>
      </c>
      <c r="BG70" s="20">
        <f t="shared" si="61"/>
        <v>601.00562468188161</v>
      </c>
      <c r="BH70" s="59">
        <f t="shared" si="62"/>
        <v>894.33895801521498</v>
      </c>
      <c r="BI70" s="59">
        <f ca="1">AVERAGE(OFFSET($BH$3,0,0,'Données projet'!$E$11+1,1))-AVERAGE(OFFSET($H$3,0,0,'Données projet'!$E$11+1,1))</f>
        <v>339.00921630742886</v>
      </c>
      <c r="BJ70" s="59">
        <f t="shared" si="92"/>
        <v>314.95763895978303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34.989235165200903</v>
      </c>
      <c r="BQ70" s="21">
        <f>EXP(-LN(2)/25)*BQ69+(1-EXP(-LN(2)/25))/(LN(2)/25)*Calculateur!BL70*Calculateur!BN70*VLOOKUP('Données projet'!$B$11,Paramètres!$A$1:$I$89,3,0)*0.475*44/12</f>
        <v>2.5598821764652628</v>
      </c>
      <c r="BR70" s="21">
        <f>EXP(-LN(2)/2)*BR69+(1-EXP(-LN(2)/2))/(LN(2)/2)*BL70*BO70*VLOOKUP('Données projet'!$B$11,Paramètres!$A$1:$I$89,3,0)*0.475*44/12</f>
        <v>0.75290233460011768</v>
      </c>
      <c r="BS70" s="22">
        <f t="shared" si="63"/>
        <v>38.302019676266283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8.1999999999999993</v>
      </c>
      <c r="BY70" s="12">
        <f>IF('Données projet'!$A$114&gt;35,BY69+BX70-CG69,IF(A70&lt;'Données projet'!$A$114,$BV$205^A70,IF(A70='Données projet'!$A$114,'Données projet'!$B$114,BY69+BX70-CG69)))</f>
        <v>212.39999999999986</v>
      </c>
      <c r="BZ70" s="13">
        <f>BY70*VLOOKUP('Données projet'!$B$12,Paramètres!$A$1:$I$89,3,0)*VLOOKUP('Données projet'!$B$12,Paramètres!$A$1:$I$89,5,0)</f>
        <v>182.2391999999999</v>
      </c>
      <c r="CA70" s="13">
        <f t="shared" si="93"/>
        <v>45.820007883742726</v>
      </c>
      <c r="CB70" s="20">
        <f t="shared" si="64"/>
        <v>397.20312039751838</v>
      </c>
      <c r="CC70" s="59">
        <f t="shared" si="65"/>
        <v>690.53645373085169</v>
      </c>
      <c r="CD70" s="59">
        <f ca="1">AVERAGE(OFFSET($CC$3,0,0,'Données projet'!$E$12+1,1))-AVERAGE(OFFSET($H$3,0,0,'Données projet'!$E$12+1,1))</f>
        <v>204.6927427024138</v>
      </c>
      <c r="CE70" s="59">
        <f t="shared" si="94"/>
        <v>115.74231133146816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21.851114207767072</v>
      </c>
      <c r="CL70" s="21">
        <f>EXP(-LN(2)/25)*CL69+(1-EXP(-LN(2)/25))/(LN(2)/25)*Calculateur!CG70*Calculateur!CI70*VLOOKUP('Données projet'!$B$12,Paramètres!$A$1:$I$89,3,0)*0.475*44/12</f>
        <v>2.4454728193944448</v>
      </c>
      <c r="CM70" s="21">
        <f>EXP(-LN(2)/2)*CM69+(1-EXP(-LN(2)/2))/(LN(2)/2)*CG70*CJ70*VLOOKUP('Données projet'!$B$12,Paramètres!$A$1:$I$89,3,0)*0.475*44/12</f>
        <v>0.645107434810821</v>
      </c>
      <c r="CN70" s="22">
        <f t="shared" si="66"/>
        <v>24.94169446197234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204.15575418077316</v>
      </c>
      <c r="CZ70" s="59">
        <f t="shared" si="96"/>
        <v>473.73726605265045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37.656485915599809</v>
      </c>
      <c r="DG70" s="21">
        <f>EXP(-LN(2)/25)*DG69+(1-EXP(-LN(2)/25))/(LN(2)/25)*Calculateur!DB70*Calculateur!DD70*VLOOKUP('Données projet'!$B$13,Paramètres!$A$1:$I$89,3,0)*0.475*44/12</f>
        <v>16.45747735577941</v>
      </c>
      <c r="DH70" s="21">
        <f>EXP(-LN(2)/2)*DH69+(1-EXP(-LN(2)/2))/(LN(2)/2)*DB70*DE70*VLOOKUP('Données projet'!$B$13,Paramètres!$A$1:$I$89,3,0)*0.475*44/12</f>
        <v>1.4528738982377297E-5</v>
      </c>
      <c r="DI70" s="22">
        <f t="shared" si="69"/>
        <v>54.113977800118199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216.83230520434313</v>
      </c>
      <c r="T71" s="59">
        <f t="shared" si="88"/>
        <v>275.41891707278205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82.153843345279768</v>
      </c>
      <c r="AA71" s="21">
        <f>EXP(-LN(2)/25)*AA70+(1-EXP(-LN(2)/25))/(LN(2)/25)*Calculateur!V71*Calculateur!X71*VLOOKUP('Données projet'!$B$9,Paramètres!$A$1:$I$89,3,0)*0.475*44/12</f>
        <v>13.346283944974465</v>
      </c>
      <c r="AB71" s="21">
        <f>EXP(-LN(2)/2)*AB70+(1-EXP(-LN(2)/2))/(LN(2)/2)*V71*Y71*VLOOKUP('Données projet'!$B$9,Paramètres!$A$1:$I$89,3,0)*0.475*44/12</f>
        <v>1.9824330051141661E-2</v>
      </c>
      <c r="AC71" s="22">
        <f t="shared" si="57"/>
        <v>95.519951620305363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231.59759999999997</v>
      </c>
      <c r="AK71" s="13">
        <f t="shared" si="89"/>
        <v>56.627980714948151</v>
      </c>
      <c r="AL71" s="20">
        <f t="shared" si="58"/>
        <v>501.99288641186791</v>
      </c>
      <c r="AM71" s="59">
        <f t="shared" si="59"/>
        <v>795.32621974520123</v>
      </c>
      <c r="AN71" s="59">
        <f ca="1">AVERAGE(OFFSET($AM$3,0,0,'Données projet'!$E$10+1,1))-AVERAGE(OFFSET($H$3,0,0,'Données projet'!$E$10+1,1))</f>
        <v>292.42154837691379</v>
      </c>
      <c r="AO71" s="59">
        <f t="shared" si="90"/>
        <v>193.18009444354601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33.336647454436203</v>
      </c>
      <c r="AV71" s="21">
        <f>EXP(-LN(2)/25)*AV70+(1-EXP(-LN(2)/25))/(LN(2)/25)*Calculateur!AQ71*Calculateur!AS71*VLOOKUP('Données projet'!$B$10,Paramètres!$A$1:$I$89,3,0)*0.475*44/12</f>
        <v>2.1275634898450484</v>
      </c>
      <c r="AW71" s="21">
        <f>EXP(-LN(2)/2)*AW70+(1-EXP(-LN(2)/2))/(LN(2)/2)*AQ71*AT71*VLOOKUP('Données projet'!$B$10,Paramètres!$A$1:$I$89,3,0)*0.475*44/12</f>
        <v>0.51780999078549683</v>
      </c>
      <c r="AX71" s="21">
        <f t="shared" si="60"/>
        <v>35.982020935066743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299.39999999999992</v>
      </c>
      <c r="BE71" s="13">
        <f>BD71*VLOOKUP('Données projet'!$B$11,Paramètres!$A$1:$I$89,3,0)*VLOOKUP('Données projet'!$B$11,Paramètres!$A$1:$I$89,5,0)</f>
        <v>284.90903999999995</v>
      </c>
      <c r="BF71" s="13">
        <f t="shared" si="91"/>
        <v>68.003378431455985</v>
      </c>
      <c r="BG71" s="20">
        <f t="shared" si="61"/>
        <v>614.65579543478577</v>
      </c>
      <c r="BH71" s="59">
        <f t="shared" si="62"/>
        <v>907.98912876811914</v>
      </c>
      <c r="BI71" s="59">
        <f ca="1">AVERAGE(OFFSET($BH$3,0,0,'Données projet'!$E$11+1,1))-AVERAGE(OFFSET($H$3,0,0,'Données projet'!$E$11+1,1))</f>
        <v>339.00921630742886</v>
      </c>
      <c r="BJ71" s="59">
        <f t="shared" si="92"/>
        <v>314.95763895978303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34.303117604937484</v>
      </c>
      <c r="BQ71" s="21">
        <f>EXP(-LN(2)/25)*BQ70+(1-EXP(-LN(2)/25))/(LN(2)/25)*Calculateur!BL71*Calculateur!BN71*VLOOKUP('Données projet'!$B$11,Paramètres!$A$1:$I$89,3,0)*0.475*44/12</f>
        <v>2.4898820637314674</v>
      </c>
      <c r="BR71" s="21">
        <f>EXP(-LN(2)/2)*BR70+(1-EXP(-LN(2)/2))/(LN(2)/2)*BL71*BO71*VLOOKUP('Données projet'!$B$11,Paramètres!$A$1:$I$89,3,0)*0.475*44/12</f>
        <v>0.53238234636692627</v>
      </c>
      <c r="BS71" s="22">
        <f t="shared" si="63"/>
        <v>37.325382015035871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8.1999999999999993</v>
      </c>
      <c r="BY71" s="12">
        <f>IF('Données projet'!$A$114&gt;35,BY70+BX71-CG70,IF(A71&lt;'Données projet'!$A$114,$BV$205^A71,IF(A71='Données projet'!$A$114,'Données projet'!$B$114,BY70+BX71-CG70)))</f>
        <v>220.59999999999985</v>
      </c>
      <c r="BZ71" s="13">
        <f>BY71*VLOOKUP('Données projet'!$B$12,Paramètres!$A$1:$I$89,3,0)*VLOOKUP('Données projet'!$B$12,Paramètres!$A$1:$I$89,5,0)</f>
        <v>189.27479999999989</v>
      </c>
      <c r="CA71" s="13">
        <f t="shared" si="93"/>
        <v>47.3795857610261</v>
      </c>
      <c r="CB71" s="20">
        <f t="shared" si="64"/>
        <v>412.17305520045358</v>
      </c>
      <c r="CC71" s="59">
        <f t="shared" si="65"/>
        <v>705.50638853378689</v>
      </c>
      <c r="CD71" s="59">
        <f ca="1">AVERAGE(OFFSET($CC$3,0,0,'Données projet'!$E$12+1,1))-AVERAGE(OFFSET($H$3,0,0,'Données projet'!$E$12+1,1))</f>
        <v>204.6927427024138</v>
      </c>
      <c r="CE71" s="59">
        <f t="shared" si="94"/>
        <v>115.74231133146816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21.42262718601641</v>
      </c>
      <c r="CL71" s="21">
        <f>EXP(-LN(2)/25)*CL70+(1-EXP(-LN(2)/25))/(LN(2)/25)*Calculateur!CG71*Calculateur!CI71*VLOOKUP('Données projet'!$B$12,Paramètres!$A$1:$I$89,3,0)*0.475*44/12</f>
        <v>2.3786012365462774</v>
      </c>
      <c r="CM71" s="21">
        <f>EXP(-LN(2)/2)*CM70+(1-EXP(-LN(2)/2))/(LN(2)/2)*CG71*CJ71*VLOOKUP('Données projet'!$B$12,Paramètres!$A$1:$I$89,3,0)*0.475*44/12</f>
        <v>0.4561598417485902</v>
      </c>
      <c r="CN71" s="22">
        <f t="shared" si="66"/>
        <v>24.257388264311277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204.15575418077316</v>
      </c>
      <c r="CZ71" s="59">
        <f t="shared" si="96"/>
        <v>473.73726605265045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36.918065194983384</v>
      </c>
      <c r="DG71" s="21">
        <f>EXP(-LN(2)/25)*DG70+(1-EXP(-LN(2)/25))/(LN(2)/25)*Calculateur!DB71*Calculateur!DD71*VLOOKUP('Données projet'!$B$13,Paramètres!$A$1:$I$89,3,0)*0.475*44/12</f>
        <v>16.007446772024501</v>
      </c>
      <c r="DH71" s="21">
        <f>EXP(-LN(2)/2)*DH70+(1-EXP(-LN(2)/2))/(LN(2)/2)*DB71*DE71*VLOOKUP('Données projet'!$B$13,Paramètres!$A$1:$I$89,3,0)*0.475*44/12</f>
        <v>1.0273369856528326E-5</v>
      </c>
      <c r="DI71" s="22">
        <f t="shared" si="69"/>
        <v>52.925522240377745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216.83230520434313</v>
      </c>
      <c r="T72" s="59">
        <f t="shared" si="88"/>
        <v>275.41891707278205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80.542856586175432</v>
      </c>
      <c r="AA72" s="21">
        <f>EXP(-LN(2)/25)*AA71+(1-EXP(-LN(2)/25))/(LN(2)/25)*Calculateur!V72*Calculateur!X72*VLOOKUP('Données projet'!$B$9,Paramètres!$A$1:$I$89,3,0)*0.475*44/12</f>
        <v>12.981329108648568</v>
      </c>
      <c r="AB72" s="21">
        <f>EXP(-LN(2)/2)*AB71+(1-EXP(-LN(2)/2))/(LN(2)/2)*V72*Y72*VLOOKUP('Données projet'!$B$9,Paramètres!$A$1:$I$89,3,0)*0.475*44/12</f>
        <v>1.4017918211642525E-2</v>
      </c>
      <c r="AC72" s="22">
        <f t="shared" si="57"/>
        <v>93.538203613035634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809.92547853368751</v>
      </c>
      <c r="AN72" s="59">
        <f ca="1">AVERAGE(OFFSET($AM$3,0,0,'Données projet'!$E$10+1,1))-AVERAGE(OFFSET($H$3,0,0,'Données projet'!$E$10+1,1))</f>
        <v>292.42154837691379</v>
      </c>
      <c r="AO72" s="59">
        <f t="shared" si="90"/>
        <v>193.18009444354601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32.682936131201906</v>
      </c>
      <c r="AV72" s="21">
        <f>EXP(-LN(2)/25)*AV71+(1-EXP(-LN(2)/25))/(LN(2)/25)*Calculateur!AQ72*Calculateur!AS72*VLOOKUP('Données projet'!$B$10,Paramètres!$A$1:$I$89,3,0)*0.475*44/12</f>
        <v>2.0693851543315342</v>
      </c>
      <c r="AW72" s="21">
        <f>EXP(-LN(2)/2)*AW71+(1-EXP(-LN(2)/2))/(LN(2)/2)*AQ72*AT72*VLOOKUP('Données projet'!$B$10,Paramètres!$A$1:$I$89,3,0)*0.475*44/12</f>
        <v>0.3661469558505685</v>
      </c>
      <c r="AX72" s="21">
        <f t="shared" si="60"/>
        <v>35.118468241384008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306.19999999999993</v>
      </c>
      <c r="BE72" s="13">
        <f>BD72*VLOOKUP('Données projet'!$B$11,Paramètres!$A$1:$I$89,3,0)*VLOOKUP('Données projet'!$B$11,Paramètres!$A$1:$I$89,5,0)</f>
        <v>291.37991999999991</v>
      </c>
      <c r="BF72" s="13">
        <f t="shared" si="91"/>
        <v>69.366308788027794</v>
      </c>
      <c r="BG72" s="20">
        <f t="shared" si="61"/>
        <v>628.29968180581488</v>
      </c>
      <c r="BH72" s="59">
        <f t="shared" si="62"/>
        <v>921.63301513914826</v>
      </c>
      <c r="BI72" s="59">
        <f ca="1">AVERAGE(OFFSET($BH$3,0,0,'Données projet'!$E$11+1,1))-AVERAGE(OFFSET($H$3,0,0,'Données projet'!$E$11+1,1))</f>
        <v>339.00921630742886</v>
      </c>
      <c r="BJ72" s="59">
        <f t="shared" si="92"/>
        <v>314.95763895978303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33.630454391540439</v>
      </c>
      <c r="BQ72" s="21">
        <f>EXP(-LN(2)/25)*BQ71+(1-EXP(-LN(2)/25))/(LN(2)/25)*Calculateur!BL72*Calculateur!BN72*VLOOKUP('Données projet'!$B$11,Paramètres!$A$1:$I$89,3,0)*0.475*44/12</f>
        <v>2.4217961077615233</v>
      </c>
      <c r="BR72" s="21">
        <f>EXP(-LN(2)/2)*BR71+(1-EXP(-LN(2)/2))/(LN(2)/2)*BL72*BO72*VLOOKUP('Données projet'!$B$11,Paramètres!$A$1:$I$89,3,0)*0.475*44/12</f>
        <v>0.3764511673000589</v>
      </c>
      <c r="BS72" s="22">
        <f t="shared" si="63"/>
        <v>36.428701666602024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8.1999999999999993</v>
      </c>
      <c r="BY72" s="12">
        <f>IF('Données projet'!$A$114&gt;35,BY71+BX72-CG71,IF(A72&lt;'Données projet'!$A$114,$BV$205^A72,IF(A72='Données projet'!$A$114,'Données projet'!$B$114,BY71+BX72-CG71)))</f>
        <v>228.79999999999984</v>
      </c>
      <c r="BZ72" s="13">
        <f>BY72*VLOOKUP('Données projet'!$B$12,Paramètres!$A$1:$I$89,3,0)*VLOOKUP('Données projet'!$B$12,Paramètres!$A$1:$I$89,5,0)</f>
        <v>196.31039999999987</v>
      </c>
      <c r="CA72" s="13">
        <f t="shared" si="93"/>
        <v>48.932428681108931</v>
      </c>
      <c r="CB72" s="20">
        <f t="shared" si="64"/>
        <v>427.13125995293109</v>
      </c>
      <c r="CC72" s="59">
        <f t="shared" si="65"/>
        <v>720.4645932862644</v>
      </c>
      <c r="CD72" s="59">
        <f ca="1">AVERAGE(OFFSET($CC$3,0,0,'Données projet'!$E$12+1,1))-AVERAGE(OFFSET($H$3,0,0,'Données projet'!$E$12+1,1))</f>
        <v>204.6927427024138</v>
      </c>
      <c r="CE72" s="59">
        <f t="shared" si="94"/>
        <v>115.74231133146816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21.002542533410999</v>
      </c>
      <c r="CL72" s="21">
        <f>EXP(-LN(2)/25)*CL71+(1-EXP(-LN(2)/25))/(LN(2)/25)*Calculateur!CG72*Calculateur!CI72*VLOOKUP('Données projet'!$B$12,Paramètres!$A$1:$I$89,3,0)*0.475*44/12</f>
        <v>2.3135582606477167</v>
      </c>
      <c r="CM72" s="21">
        <f>EXP(-LN(2)/2)*CM71+(1-EXP(-LN(2)/2))/(LN(2)/2)*CG72*CJ72*VLOOKUP('Données projet'!$B$12,Paramètres!$A$1:$I$89,3,0)*0.475*44/12</f>
        <v>0.32255371740541056</v>
      </c>
      <c r="CN72" s="22">
        <f t="shared" si="66"/>
        <v>23.638654511464125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204.15575418077316</v>
      </c>
      <c r="CZ72" s="59">
        <f t="shared" si="96"/>
        <v>473.73726605265045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36.194124454306085</v>
      </c>
      <c r="DG72" s="21">
        <f>EXP(-LN(2)/25)*DG71+(1-EXP(-LN(2)/25))/(LN(2)/25)*Calculateur!DB72*Calculateur!DD72*VLOOKUP('Données projet'!$B$13,Paramètres!$A$1:$I$89,3,0)*0.475*44/12</f>
        <v>15.56972229824845</v>
      </c>
      <c r="DH72" s="21">
        <f>EXP(-LN(2)/2)*DH71+(1-EXP(-LN(2)/2))/(LN(2)/2)*DB72*DE72*VLOOKUP('Données projet'!$B$13,Paramètres!$A$1:$I$89,3,0)*0.475*44/12</f>
        <v>7.2643694911886485E-6</v>
      </c>
      <c r="DI72" s="22">
        <f t="shared" si="69"/>
        <v>51.763854016924029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216.83230520434313</v>
      </c>
      <c r="T73" s="59">
        <f t="shared" si="88"/>
        <v>275.41891707278205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78.963460294812236</v>
      </c>
      <c r="AA73" s="21">
        <f>EXP(-LN(2)/25)*AA72+(1-EXP(-LN(2)/25))/(LN(2)/25)*Calculateur!V73*Calculateur!X73*VLOOKUP('Données projet'!$B$9,Paramètres!$A$1:$I$89,3,0)*0.475*44/12</f>
        <v>12.626353981514145</v>
      </c>
      <c r="AB73" s="21">
        <f>EXP(-LN(2)/2)*AB72+(1-EXP(-LN(2)/2))/(LN(2)/2)*V73*Y73*VLOOKUP('Données projet'!$B$9,Paramètres!$A$1:$I$89,3,0)*0.475*44/12</f>
        <v>9.9121650255708307E-3</v>
      </c>
      <c r="AC73" s="22">
        <f t="shared" si="57"/>
        <v>91.599726441351947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245.38799999999998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824.51603414890155</v>
      </c>
      <c r="AN73" s="59">
        <f ca="1">AVERAGE(OFFSET($AM$3,0,0,'Données projet'!$E$10+1,1))-AVERAGE(OFFSET($H$3,0,0,'Données projet'!$E$10+1,1))</f>
        <v>292.42154837691379</v>
      </c>
      <c r="AO73" s="59">
        <f t="shared" si="90"/>
        <v>193.18009444354601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0.34400000000000003</v>
      </c>
      <c r="AS73" s="16">
        <f>IF(ISNA(VLOOKUP(A73,'Données projet'!$A$61:$I$81,6,0)),0%,VLOOKUP(A73,'Données projet'!$A$61:$I$81,6,0)*VLOOKUP('Données projet'!$B$10,Paramètres!$A$1:$I$89,7,0))</f>
        <v>1.72E-2</v>
      </c>
      <c r="AT73" s="16">
        <f>IF(ISNA(VLOOKUP(A73,'Données projet'!$A$61:$I$81,7,0)),0%,VLOOKUP(A73,'Données projet'!$A$61:$I$81,7,0))</f>
        <v>0.06</v>
      </c>
      <c r="AU73" s="21">
        <f>EXP(-LN(2)/35)*AU72+(1-EXP(-LN(2)/35))/(LN(2)/35)*AQ73*AR73*VLOOKUP('Données projet'!$B$10,Paramètres!$A$1:$I$89,3,0)*0.475*44/12</f>
        <v>40.139764562342179</v>
      </c>
      <c r="AV73" s="21">
        <f>EXP(-LN(2)/25)*AV72+(1-EXP(-LN(2)/25))/(LN(2)/25)*Calculateur!AQ73*Calculateur!AS73*VLOOKUP('Données projet'!$B$10,Paramètres!$A$1:$I$89,3,0)*0.475*44/12</f>
        <v>2.416089561536892</v>
      </c>
      <c r="AW73" s="21">
        <f>EXP(-LN(2)/2)*AW72+(1-EXP(-LN(2)/2))/(LN(2)/2)*AQ73*AT73*VLOOKUP('Données projet'!$B$10,Paramètres!$A$1:$I$89,3,0)*0.475*44/12</f>
        <v>1.4643927225691769</v>
      </c>
      <c r="AX73" s="21">
        <f t="shared" si="60"/>
        <v>44.020246846448252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313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312.99999999999994</v>
      </c>
      <c r="BE73" s="13">
        <f>BD73*VLOOKUP('Données projet'!$B$11,Paramètres!$A$1:$I$89,3,0)*VLOOKUP('Données projet'!$B$11,Paramètres!$A$1:$I$89,5,0)</f>
        <v>297.85079999999994</v>
      </c>
      <c r="BF73" s="13">
        <f t="shared" si="91"/>
        <v>70.725720244769349</v>
      </c>
      <c r="BG73" s="20">
        <f t="shared" si="61"/>
        <v>641.93743942630658</v>
      </c>
      <c r="BH73" s="59">
        <f t="shared" si="62"/>
        <v>935.27077275963984</v>
      </c>
      <c r="BI73" s="59">
        <f ca="1">AVERAGE(OFFSET($BH$3,0,0,'Données projet'!$E$11+1,1))-AVERAGE(OFFSET($H$3,0,0,'Données projet'!$E$11+1,1))</f>
        <v>339.00921630742886</v>
      </c>
      <c r="BJ73" s="59">
        <f t="shared" si="92"/>
        <v>314.95763895978303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22</v>
      </c>
      <c r="BM73" s="16">
        <f>IF(ISNA(VLOOKUP(A73,'Données projet'!$A$87:$I$107,5,0)),0%,VLOOKUP(A73,'Données projet'!$A$87:$I$107,5,0)*VLOOKUP('Données projet'!$B$11,Paramètres!$A$1:$I$89,7,0))</f>
        <v>0.34400000000000003</v>
      </c>
      <c r="BN73" s="16">
        <f>IF(ISNA(VLOOKUP(A73,'Données projet'!$A$87:$I$107,6,0)),0%,VLOOKUP(A73,'Données projet'!$A$87:$I$107,6,0)*VLOOKUP('Données projet'!$B$11,Paramètres!$A$1:$I$89,7,0))</f>
        <v>1.72E-2</v>
      </c>
      <c r="BO73" s="16">
        <f>IF(ISNA(VLOOKUP(A73,'Données projet'!$A$87:$I$107,7,0)),0%,VLOOKUP(A73,'Données projet'!$A$87:$I$107,7,0))</f>
        <v>0.06</v>
      </c>
      <c r="BP73" s="21">
        <f>EXP(-LN(2)/35)*BP72+(1-EXP(-LN(2)/35))/(LN(2)/35)*BL73*BM73*VLOOKUP('Données projet'!$B$11,Paramètres!$A$1:$I$89,3,0)*0.475*44/12</f>
        <v>40.932257453895851</v>
      </c>
      <c r="BQ73" s="21">
        <f>EXP(-LN(2)/25)*BQ72+(1-EXP(-LN(2)/25))/(LN(2)/25)*Calculateur!BL73*Calculateur!BN73*VLOOKUP('Données projet'!$B$11,Paramètres!$A$1:$I$89,3,0)*0.475*44/12</f>
        <v>2.7520684250515184</v>
      </c>
      <c r="BR73" s="21">
        <f>EXP(-LN(2)/2)*BR72+(1-EXP(-LN(2)/2))/(LN(2)/2)*BL73*BO73*VLOOKUP('Données projet'!$B$11,Paramètres!$A$1:$I$89,3,0)*0.475*44/12</f>
        <v>1.4513666529422664</v>
      </c>
      <c r="BS73" s="22">
        <f t="shared" si="63"/>
        <v>45.135692531889639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237</v>
      </c>
      <c r="BW73" s="12">
        <f>VLOOKUP(A73,'Données projet'!$A$113:$I$133,9,0)</f>
        <v>8.1999999999999993</v>
      </c>
      <c r="BX73" s="12">
        <f t="array" ref="BX73">INDEX(BW:BW,MIN(IF(ISNUMBER(BW73:BW269),ROW(BW73:BW269),"")))</f>
        <v>8.1999999999999993</v>
      </c>
      <c r="BY73" s="12">
        <f>IF('Données projet'!$A$114&gt;35,BY72+BX73-CG72,IF(A73&lt;'Données projet'!$A$114,$BV$205^A73,IF(A73='Données projet'!$A$114,'Données projet'!$B$114,BY72+BX73-CG72)))</f>
        <v>236.99999999999983</v>
      </c>
      <c r="BZ73" s="13">
        <f>BY73*VLOOKUP('Données projet'!$B$12,Paramètres!$A$1:$I$89,3,0)*VLOOKUP('Données projet'!$B$12,Paramètres!$A$1:$I$89,5,0)</f>
        <v>203.34599999999986</v>
      </c>
      <c r="CA73" s="13">
        <f t="shared" si="93"/>
        <v>50.47880567110942</v>
      </c>
      <c r="CB73" s="20">
        <f t="shared" si="64"/>
        <v>442.07820321051531</v>
      </c>
      <c r="CC73" s="59">
        <f t="shared" si="65"/>
        <v>735.41153654384857</v>
      </c>
      <c r="CD73" s="59">
        <f ca="1">AVERAGE(OFFSET($CC$3,0,0,'Données projet'!$E$12+1,1))-AVERAGE(OFFSET($H$3,0,0,'Données projet'!$E$12+1,1))</f>
        <v>204.6927427024138</v>
      </c>
      <c r="CE73" s="59">
        <f t="shared" si="94"/>
        <v>115.74231133146816</v>
      </c>
      <c r="CF73" s="15">
        <f>IF(ISNA(VLOOKUP(A73,'Données projet'!$A$113:$I$133,3,0)),0,VLOOKUP(A73,'Données projet'!$A$113:$I$133,3,0))</f>
        <v>9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0.371</v>
      </c>
      <c r="CI73" s="16">
        <f>IF(ISNA(VLOOKUP(A73,'Données projet'!$A$113:$I$133,6,0)),0%,VLOOKUP(A73,'Données projet'!$A$113:$I$133,6,0)*VLOOKUP('Données projet'!$B$12,Paramètres!$A$1:$I$89,7,0))</f>
        <v>2.12E-2</v>
      </c>
      <c r="CJ73" s="16">
        <f>IF(ISNA(VLOOKUP(A73,'Données projet'!$A$113:$I$133,7,0)),0%,VLOOKUP(A73,'Données projet'!$A$113:$I$133,7,0))</f>
        <v>0.06</v>
      </c>
      <c r="CK73" s="21">
        <f>EXP(-LN(2)/35)*CK72+(1-EXP(-LN(2)/35))/(LN(2)/35)*CG73*CH73*VLOOKUP('Données projet'!$B$12,Paramètres!$A$1:$I$89,3,0)*0.475*44/12</f>
        <v>27.980409010332405</v>
      </c>
      <c r="CL73" s="21">
        <f>EXP(-LN(2)/25)*CL72+(1-EXP(-LN(2)/25))/(LN(2)/25)*Calculateur!CG73*Calculateur!CI73*VLOOKUP('Données projet'!$B$12,Paramètres!$A$1:$I$89,3,0)*0.475*44/12</f>
        <v>2.6709005973663191</v>
      </c>
      <c r="CM73" s="21">
        <f>EXP(-LN(2)/2)*CM72+(1-EXP(-LN(2)/2))/(LN(2)/2)*CG73*CJ73*VLOOKUP('Données projet'!$B$12,Paramètres!$A$1:$I$89,3,0)*0.475*44/12</f>
        <v>1.2481079977158884</v>
      </c>
      <c r="CN73" s="22">
        <f t="shared" si="66"/>
        <v>31.899417605414612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204.15575418077316</v>
      </c>
      <c r="CZ73" s="59">
        <f t="shared" si="96"/>
        <v>473.73726605265045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35.484379749993209</v>
      </c>
      <c r="DG73" s="21">
        <f>EXP(-LN(2)/25)*DG72+(1-EXP(-LN(2)/25))/(LN(2)/25)*Calculateur!DB73*Calculateur!DD73*VLOOKUP('Données projet'!$B$13,Paramètres!$A$1:$I$89,3,0)*0.475*44/12</f>
        <v>15.143967423226735</v>
      </c>
      <c r="DH73" s="21">
        <f>EXP(-LN(2)/2)*DH72+(1-EXP(-LN(2)/2))/(LN(2)/2)*DB73*DE73*VLOOKUP('Données projet'!$B$13,Paramètres!$A$1:$I$89,3,0)*0.475*44/12</f>
        <v>5.1366849282641632E-6</v>
      </c>
      <c r="DI73" s="22">
        <f t="shared" si="69"/>
        <v>50.628352309904869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216.83230520434313</v>
      </c>
      <c r="T74" s="59">
        <f t="shared" si="88"/>
        <v>275.41891707278205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77.415035001386045</v>
      </c>
      <c r="AA74" s="21">
        <f>EXP(-LN(2)/25)*AA73+(1-EXP(-LN(2)/25))/(LN(2)/25)*Calculateur!V74*Calculateur!X74*VLOOKUP('Données projet'!$B$9,Paramètres!$A$1:$I$89,3,0)*0.475*44/12</f>
        <v>12.281085667898543</v>
      </c>
      <c r="AB74" s="21">
        <f>EXP(-LN(2)/2)*AB73+(1-EXP(-LN(2)/2))/(LN(2)/2)*V74*Y74*VLOOKUP('Données projet'!$B$9,Paramètres!$A$1:$I$89,3,0)*0.475*44/12</f>
        <v>7.0089591058212627E-3</v>
      </c>
      <c r="AC74" s="22">
        <f t="shared" si="57"/>
        <v>89.7031296283904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230.38079999999997</v>
      </c>
      <c r="AK74" s="13">
        <f t="shared" si="89"/>
        <v>56.365011465139979</v>
      </c>
      <c r="AL74" s="20">
        <f t="shared" si="58"/>
        <v>499.41562163511867</v>
      </c>
      <c r="AM74" s="59">
        <f t="shared" si="59"/>
        <v>792.74895496845193</v>
      </c>
      <c r="AN74" s="59">
        <f ca="1">AVERAGE(OFFSET($AM$3,0,0,'Données projet'!$E$10+1,1))-AVERAGE(OFFSET($H$3,0,0,'Données projet'!$E$10+1,1))</f>
        <v>292.42154837691379</v>
      </c>
      <c r="AO74" s="59">
        <f t="shared" si="90"/>
        <v>193.18009444354601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39.352648262113554</v>
      </c>
      <c r="AV74" s="21">
        <f>EXP(-LN(2)/25)*AV73+(1-EXP(-LN(2)/25))/(LN(2)/25)*Calculateur!AQ74*Calculateur!AS74*VLOOKUP('Données projet'!$B$10,Paramètres!$A$1:$I$89,3,0)*0.475*44/12</f>
        <v>2.3500214654200375</v>
      </c>
      <c r="AW74" s="21">
        <f>EXP(-LN(2)/2)*AW73+(1-EXP(-LN(2)/2))/(LN(2)/2)*AQ74*AT74*VLOOKUP('Données projet'!$B$10,Paramètres!$A$1:$I$89,3,0)*0.475*44/12</f>
        <v>1.0354820244488956</v>
      </c>
      <c r="AX74" s="21">
        <f t="shared" si="60"/>
        <v>42.738151751982485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6.6</v>
      </c>
      <c r="BD74" s="12">
        <f>IF('Données projet'!$A$88&gt;35,BD73+BC74-BL73,IF(A74&lt;'Données projet'!$A$88,$BA$205^A74,IF(A74='Données projet'!$A$88,'Données projet'!$B$88,BD73+BC74-BL73)))</f>
        <v>297.59999999999997</v>
      </c>
      <c r="BE74" s="13">
        <f>BD74*VLOOKUP('Données projet'!$B$11,Paramètres!$A$1:$I$89,3,0)*VLOOKUP('Données projet'!$B$11,Paramètres!$A$1:$I$89,5,0)</f>
        <v>283.19615999999996</v>
      </c>
      <c r="BF74" s="13">
        <f t="shared" si="91"/>
        <v>67.642002537222012</v>
      </c>
      <c r="BG74" s="20">
        <f t="shared" si="61"/>
        <v>611.04313308566157</v>
      </c>
      <c r="BH74" s="59">
        <f t="shared" si="62"/>
        <v>904.37646641899482</v>
      </c>
      <c r="BI74" s="59">
        <f ca="1">AVERAGE(OFFSET($BH$3,0,0,'Données projet'!$E$11+1,1))-AVERAGE(OFFSET($H$3,0,0,'Données projet'!$E$11+1,1))</f>
        <v>339.00921630742886</v>
      </c>
      <c r="BJ74" s="59">
        <f t="shared" si="92"/>
        <v>314.95763895978303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40.129600851436791</v>
      </c>
      <c r="BQ74" s="21">
        <f>EXP(-LN(2)/25)*BQ73+(1-EXP(-LN(2)/25))/(LN(2)/25)*Calculateur!BL74*Calculateur!BN74*VLOOKUP('Données projet'!$B$11,Paramètres!$A$1:$I$89,3,0)*0.475*44/12</f>
        <v>2.6768129692434961</v>
      </c>
      <c r="BR74" s="21">
        <f>EXP(-LN(2)/2)*BR73+(1-EXP(-LN(2)/2))/(LN(2)/2)*BL74*BO74*VLOOKUP('Données projet'!$B$11,Paramètres!$A$1:$I$89,3,0)*0.475*44/12</f>
        <v>1.0262712022834992</v>
      </c>
      <c r="BS74" s="22">
        <f t="shared" si="63"/>
        <v>43.832685022963787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7.6</v>
      </c>
      <c r="BY74" s="12">
        <f>IF('Données projet'!$A$114&gt;35,BY73+BX74-CG73,IF(A74&lt;'Données projet'!$A$114,$BV$205^A74,IF(A74='Données projet'!$A$114,'Données projet'!$B$114,BY73+BX74-CG73)))</f>
        <v>223.59999999999982</v>
      </c>
      <c r="BZ74" s="13">
        <f>BY74*VLOOKUP('Données projet'!$B$12,Paramètres!$A$1:$I$89,3,0)*VLOOKUP('Données projet'!$B$12,Paramètres!$A$1:$I$89,5,0)</f>
        <v>191.84879999999987</v>
      </c>
      <c r="CA74" s="13">
        <f t="shared" si="93"/>
        <v>47.948465637272854</v>
      </c>
      <c r="CB74" s="20">
        <f t="shared" si="64"/>
        <v>417.64690431824994</v>
      </c>
      <c r="CC74" s="59">
        <f t="shared" si="65"/>
        <v>710.98023765158325</v>
      </c>
      <c r="CD74" s="59">
        <f ca="1">AVERAGE(OFFSET($CC$3,0,0,'Données projet'!$E$12+1,1))-AVERAGE(OFFSET($H$3,0,0,'Données projet'!$E$12+1,1))</f>
        <v>204.6927427024138</v>
      </c>
      <c r="CE74" s="59">
        <f t="shared" si="94"/>
        <v>115.74231133146816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27.431730256004119</v>
      </c>
      <c r="CL74" s="21">
        <f>EXP(-LN(2)/25)*CL73+(1-EXP(-LN(2)/25))/(LN(2)/25)*Calculateur!CG74*Calculateur!CI74*VLOOKUP('Données projet'!$B$12,Paramètres!$A$1:$I$89,3,0)*0.475*44/12</f>
        <v>2.5978646800747791</v>
      </c>
      <c r="CM74" s="21">
        <f>EXP(-LN(2)/2)*CM73+(1-EXP(-LN(2)/2))/(LN(2)/2)*CG74*CJ74*VLOOKUP('Données projet'!$B$12,Paramètres!$A$1:$I$89,3,0)*0.475*44/12</f>
        <v>0.88254562883806875</v>
      </c>
      <c r="CN74" s="22">
        <f t="shared" si="66"/>
        <v>30.912140564916967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204.15575418077316</v>
      </c>
      <c r="CZ74" s="59">
        <f t="shared" si="96"/>
        <v>473.73726605265045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34.788552706430387</v>
      </c>
      <c r="DG74" s="21">
        <f>EXP(-LN(2)/25)*DG73+(1-EXP(-LN(2)/25))/(LN(2)/25)*Calculateur!DB74*Calculateur!DD74*VLOOKUP('Données projet'!$B$13,Paramètres!$A$1:$I$89,3,0)*0.475*44/12</f>
        <v>14.729854837651965</v>
      </c>
      <c r="DH74" s="21">
        <f>EXP(-LN(2)/2)*DH73+(1-EXP(-LN(2)/2))/(LN(2)/2)*DB74*DE74*VLOOKUP('Données projet'!$B$13,Paramètres!$A$1:$I$89,3,0)*0.475*44/12</f>
        <v>3.6321847455943242E-6</v>
      </c>
      <c r="DI74" s="22">
        <f t="shared" si="69"/>
        <v>49.518411176267094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216.83230520434313</v>
      </c>
      <c r="T75" s="59">
        <f t="shared" si="88"/>
        <v>275.41891707278205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75.896973383517775</v>
      </c>
      <c r="AA75" s="21">
        <f>EXP(-LN(2)/25)*AA74+(1-EXP(-LN(2)/25))/(LN(2)/25)*Calculateur!V75*Calculateur!X75*VLOOKUP('Données projet'!$B$9,Paramètres!$A$1:$I$89,3,0)*0.475*44/12</f>
        <v>11.945258734475631</v>
      </c>
      <c r="AB75" s="21">
        <f>EXP(-LN(2)/2)*AB74+(1-EXP(-LN(2)/2))/(LN(2)/2)*V75*Y75*VLOOKUP('Données projet'!$B$9,Paramètres!$A$1:$I$89,3,0)*0.475*44/12</f>
        <v>4.9560825127854154E-3</v>
      </c>
      <c r="AC75" s="22">
        <f t="shared" si="57"/>
        <v>87.847188200506196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236.66759999999996</v>
      </c>
      <c r="AK75" s="13">
        <f t="shared" si="89"/>
        <v>57.721965974560838</v>
      </c>
      <c r="AL75" s="20">
        <f t="shared" si="58"/>
        <v>512.72849407236004</v>
      </c>
      <c r="AM75" s="59">
        <f t="shared" si="59"/>
        <v>806.06182740569329</v>
      </c>
      <c r="AN75" s="59">
        <f ca="1">AVERAGE(OFFSET($AM$3,0,0,'Données projet'!$E$10+1,1))-AVERAGE(OFFSET($H$3,0,0,'Données projet'!$E$10+1,1))</f>
        <v>292.42154837691379</v>
      </c>
      <c r="AO75" s="59">
        <f t="shared" si="90"/>
        <v>193.18009444354601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38.580966832438875</v>
      </c>
      <c r="AV75" s="21">
        <f>EXP(-LN(2)/25)*AV74+(1-EXP(-LN(2)/25))/(LN(2)/25)*Calculateur!AQ75*Calculateur!AS75*VLOOKUP('Données projet'!$B$10,Paramètres!$A$1:$I$89,3,0)*0.475*44/12</f>
        <v>2.2857600048658688</v>
      </c>
      <c r="AW75" s="21">
        <f>EXP(-LN(2)/2)*AW74+(1-EXP(-LN(2)/2))/(LN(2)/2)*AQ75*AT75*VLOOKUP('Données projet'!$B$10,Paramètres!$A$1:$I$89,3,0)*0.475*44/12</f>
        <v>0.73219636128458854</v>
      </c>
      <c r="AX75" s="21">
        <f t="shared" si="60"/>
        <v>41.598923198589333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6.6</v>
      </c>
      <c r="BD75" s="12">
        <f>IF('Données projet'!$A$88&gt;35,BD74+BC75-BL74,IF(A75&lt;'Données projet'!$A$88,$BA$205^A75,IF(A75='Données projet'!$A$88,'Données projet'!$B$88,BD74+BC75-BL74)))</f>
        <v>304.2</v>
      </c>
      <c r="BE75" s="13">
        <f>BD75*VLOOKUP('Données projet'!$B$11,Paramètres!$A$1:$I$89,3,0)*VLOOKUP('Données projet'!$B$11,Paramètres!$A$1:$I$89,5,0)</f>
        <v>289.47672</v>
      </c>
      <c r="BF75" s="13">
        <f t="shared" si="91"/>
        <v>68.965816122647993</v>
      </c>
      <c r="BG75" s="20">
        <f t="shared" si="61"/>
        <v>624.28741708027849</v>
      </c>
      <c r="BH75" s="59">
        <f t="shared" si="62"/>
        <v>917.62075041361186</v>
      </c>
      <c r="BI75" s="59">
        <f ca="1">AVERAGE(OFFSET($BH$3,0,0,'Données projet'!$E$11+1,1))-AVERAGE(OFFSET($H$3,0,0,'Données projet'!$E$11+1,1))</f>
        <v>339.00921630742886</v>
      </c>
      <c r="BJ75" s="59">
        <f t="shared" si="92"/>
        <v>314.95763895978303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39.342683855379768</v>
      </c>
      <c r="BQ75" s="21">
        <f>EXP(-LN(2)/25)*BQ74+(1-EXP(-LN(2)/25))/(LN(2)/25)*Calculateur!BL75*Calculateur!BN75*VLOOKUP('Données projet'!$B$11,Paramètres!$A$1:$I$89,3,0)*0.475*44/12</f>
        <v>2.6036153778320568</v>
      </c>
      <c r="BR75" s="21">
        <f>EXP(-LN(2)/2)*BR74+(1-EXP(-LN(2)/2))/(LN(2)/2)*BL75*BO75*VLOOKUP('Données projet'!$B$11,Paramètres!$A$1:$I$89,3,0)*0.475*44/12</f>
        <v>0.72568332647113343</v>
      </c>
      <c r="BS75" s="22">
        <f t="shared" si="63"/>
        <v>42.671982559682959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7.6</v>
      </c>
      <c r="BY75" s="12">
        <f>IF('Données projet'!$A$114&gt;35,BY74+BX75-CG74,IF(A75&lt;'Données projet'!$A$114,$BV$205^A75,IF(A75='Données projet'!$A$114,'Données projet'!$B$114,BY74+BX75-CG74)))</f>
        <v>231.19999999999982</v>
      </c>
      <c r="BZ75" s="13">
        <f>BY75*VLOOKUP('Données projet'!$B$12,Paramètres!$A$1:$I$89,3,0)*VLOOKUP('Données projet'!$B$12,Paramètres!$A$1:$I$89,5,0)</f>
        <v>198.36959999999988</v>
      </c>
      <c r="CA75" s="13">
        <f t="shared" si="93"/>
        <v>49.385684634618876</v>
      </c>
      <c r="CB75" s="20">
        <f t="shared" si="64"/>
        <v>431.50712073862763</v>
      </c>
      <c r="CC75" s="59">
        <f t="shared" si="65"/>
        <v>724.84045407196095</v>
      </c>
      <c r="CD75" s="59">
        <f ca="1">AVERAGE(OFFSET($CC$3,0,0,'Données projet'!$E$12+1,1))-AVERAGE(OFFSET($H$3,0,0,'Données projet'!$E$12+1,1))</f>
        <v>204.6927427024138</v>
      </c>
      <c r="CE75" s="59">
        <f t="shared" si="94"/>
        <v>115.74231133146816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26.893810757387214</v>
      </c>
      <c r="CL75" s="21">
        <f>EXP(-LN(2)/25)*CL74+(1-EXP(-LN(2)/25))/(LN(2)/25)*Calculateur!CG75*Calculateur!CI75*VLOOKUP('Données projet'!$B$12,Paramètres!$A$1:$I$89,3,0)*0.475*44/12</f>
        <v>2.5268259337823684</v>
      </c>
      <c r="CM75" s="21">
        <f>EXP(-LN(2)/2)*CM74+(1-EXP(-LN(2)/2))/(LN(2)/2)*CG75*CJ75*VLOOKUP('Données projet'!$B$12,Paramètres!$A$1:$I$89,3,0)*0.475*44/12</f>
        <v>0.62405399885794433</v>
      </c>
      <c r="CN75" s="22">
        <f t="shared" si="66"/>
        <v>30.044690690027529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204.15575418077316</v>
      </c>
      <c r="CZ75" s="59">
        <f t="shared" si="96"/>
        <v>473.73726605265045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34.106370406779241</v>
      </c>
      <c r="DG75" s="21">
        <f>EXP(-LN(2)/25)*DG74+(1-EXP(-LN(2)/25))/(LN(2)/25)*Calculateur!DB75*Calculateur!DD75*VLOOKUP('Données projet'!$B$13,Paramètres!$A$1:$I$89,3,0)*0.475*44/12</f>
        <v>14.327066182506972</v>
      </c>
      <c r="DH75" s="21">
        <f>EXP(-LN(2)/2)*DH74+(1-EXP(-LN(2)/2))/(LN(2)/2)*DB75*DE75*VLOOKUP('Données projet'!$B$13,Paramètres!$A$1:$I$89,3,0)*0.475*44/12</f>
        <v>2.5683424641320816E-6</v>
      </c>
      <c r="DI75" s="22">
        <f t="shared" si="69"/>
        <v>48.433439157628683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216.83230520434313</v>
      </c>
      <c r="T76" s="59">
        <f t="shared" si="88"/>
        <v>275.41891707278205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74.408680028049744</v>
      </c>
      <c r="AA76" s="21">
        <f>EXP(-LN(2)/25)*AA75+(1-EXP(-LN(2)/25))/(LN(2)/25)*Calculateur!V76*Calculateur!X76*VLOOKUP('Données projet'!$B$9,Paramètres!$A$1:$I$89,3,0)*0.475*44/12</f>
        <v>11.61861500620754</v>
      </c>
      <c r="AB76" s="21">
        <f>EXP(-LN(2)/2)*AB75+(1-EXP(-LN(2)/2))/(LN(2)/2)*V76*Y76*VLOOKUP('Données projet'!$B$9,Paramètres!$A$1:$I$89,3,0)*0.475*44/12</f>
        <v>3.5044795529106314E-3</v>
      </c>
      <c r="AC76" s="22">
        <f t="shared" si="57"/>
        <v>86.030799513810194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242.95439999999994</v>
      </c>
      <c r="AK76" s="13">
        <f t="shared" si="89"/>
        <v>59.074730698078945</v>
      </c>
      <c r="AL76" s="20">
        <f t="shared" si="58"/>
        <v>526.034069299154</v>
      </c>
      <c r="AM76" s="59">
        <f t="shared" si="59"/>
        <v>819.36740263248726</v>
      </c>
      <c r="AN76" s="59">
        <f ca="1">AVERAGE(OFFSET($AM$3,0,0,'Données projet'!$E$10+1,1))-AVERAGE(OFFSET($H$3,0,0,'Données projet'!$E$10+1,1))</f>
        <v>292.42154837691379</v>
      </c>
      <c r="AO76" s="59">
        <f t="shared" si="90"/>
        <v>193.18009444354601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37.824417604920917</v>
      </c>
      <c r="AV76" s="21">
        <f>EXP(-LN(2)/25)*AV75+(1-EXP(-LN(2)/25))/(LN(2)/25)*Calculateur!AQ76*Calculateur!AS76*VLOOKUP('Données projet'!$B$10,Paramètres!$A$1:$I$89,3,0)*0.475*44/12</f>
        <v>2.2232557773299173</v>
      </c>
      <c r="AW76" s="21">
        <f>EXP(-LN(2)/2)*AW75+(1-EXP(-LN(2)/2))/(LN(2)/2)*AQ76*AT76*VLOOKUP('Données projet'!$B$10,Paramètres!$A$1:$I$89,3,0)*0.475*44/12</f>
        <v>0.51774101222444791</v>
      </c>
      <c r="AX76" s="21">
        <f t="shared" si="60"/>
        <v>40.565414394475283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6.6</v>
      </c>
      <c r="BD76" s="12">
        <f>IF('Données projet'!$A$88&gt;35,BD75+BC76-BL75,IF(A76&lt;'Données projet'!$A$88,$BA$205^A76,IF(A76='Données projet'!$A$88,'Données projet'!$B$88,BD75+BC76-BL75)))</f>
        <v>310.8</v>
      </c>
      <c r="BE76" s="13">
        <f>BD76*VLOOKUP('Données projet'!$B$11,Paramètres!$A$1:$I$89,3,0)*VLOOKUP('Données projet'!$B$11,Paramètres!$A$1:$I$89,5,0)</f>
        <v>295.75727999999998</v>
      </c>
      <c r="BF76" s="13">
        <f t="shared" si="91"/>
        <v>70.286290432370649</v>
      </c>
      <c r="BG76" s="20">
        <f t="shared" si="61"/>
        <v>637.52588516971218</v>
      </c>
      <c r="BH76" s="59">
        <f t="shared" si="62"/>
        <v>930.85921850304544</v>
      </c>
      <c r="BI76" s="59">
        <f ca="1">AVERAGE(OFFSET($BH$3,0,0,'Données projet'!$E$11+1,1))-AVERAGE(OFFSET($H$3,0,0,'Données projet'!$E$11+1,1))</f>
        <v>339.00921630742886</v>
      </c>
      <c r="BJ76" s="59">
        <f t="shared" si="92"/>
        <v>314.95763895978303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38.571197821643452</v>
      </c>
      <c r="BQ76" s="21">
        <f>EXP(-LN(2)/25)*BQ75+(1-EXP(-LN(2)/25))/(LN(2)/25)*Calculateur!BL76*Calculateur!BN76*VLOOKUP('Données projet'!$B$11,Paramètres!$A$1:$I$89,3,0)*0.475*44/12</f>
        <v>2.5324193784070572</v>
      </c>
      <c r="BR76" s="21">
        <f>EXP(-LN(2)/2)*BR75+(1-EXP(-LN(2)/2))/(LN(2)/2)*BL76*BO76*VLOOKUP('Données projet'!$B$11,Paramètres!$A$1:$I$89,3,0)*0.475*44/12</f>
        <v>0.51313560114174972</v>
      </c>
      <c r="BS76" s="22">
        <f t="shared" si="63"/>
        <v>41.616752801192256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7.6</v>
      </c>
      <c r="BY76" s="12">
        <f>IF('Données projet'!$A$114&gt;35,BY75+BX76-CG75,IF(A76&lt;'Données projet'!$A$114,$BV$205^A76,IF(A76='Données projet'!$A$114,'Données projet'!$B$114,BY75+BX76-CG75)))</f>
        <v>238.79999999999981</v>
      </c>
      <c r="BZ76" s="13">
        <f>BY76*VLOOKUP('Données projet'!$B$12,Paramètres!$A$1:$I$89,3,0)*VLOOKUP('Données projet'!$B$12,Paramètres!$A$1:$I$89,5,0)</f>
        <v>204.89039999999989</v>
      </c>
      <c r="CA76" s="13">
        <f t="shared" si="93"/>
        <v>50.817413867340996</v>
      </c>
      <c r="CB76" s="20">
        <f t="shared" si="64"/>
        <v>445.35777581895201</v>
      </c>
      <c r="CC76" s="59">
        <f t="shared" si="65"/>
        <v>738.69110915228532</v>
      </c>
      <c r="CD76" s="59">
        <f ca="1">AVERAGE(OFFSET($CC$3,0,0,'Données projet'!$E$12+1,1))-AVERAGE(OFFSET($H$3,0,0,'Données projet'!$E$12+1,1))</f>
        <v>204.6927427024138</v>
      </c>
      <c r="CE76" s="59">
        <f t="shared" si="94"/>
        <v>115.74231133146816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26.366439532039692</v>
      </c>
      <c r="CL76" s="21">
        <f>EXP(-LN(2)/25)*CL75+(1-EXP(-LN(2)/25))/(LN(2)/25)*Calculateur!CG76*Calculateur!CI76*VLOOKUP('Données projet'!$B$12,Paramètres!$A$1:$I$89,3,0)*0.475*44/12</f>
        <v>2.4577297457430887</v>
      </c>
      <c r="CM76" s="21">
        <f>EXP(-LN(2)/2)*CM75+(1-EXP(-LN(2)/2))/(LN(2)/2)*CG76*CJ76*VLOOKUP('Données projet'!$B$12,Paramètres!$A$1:$I$89,3,0)*0.475*44/12</f>
        <v>0.44127281441903443</v>
      </c>
      <c r="CN76" s="22">
        <f t="shared" si="66"/>
        <v>29.265442092201813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204.15575418077316</v>
      </c>
      <c r="CZ76" s="59">
        <f t="shared" si="96"/>
        <v>473.73726605265045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33.437565285934141</v>
      </c>
      <c r="DG76" s="21">
        <f>EXP(-LN(2)/25)*DG75+(1-EXP(-LN(2)/25))/(LN(2)/25)*Calculateur!DB76*Calculateur!DD76*VLOOKUP('Données projet'!$B$13,Paramètres!$A$1:$I$89,3,0)*0.475*44/12</f>
        <v>13.935291804318654</v>
      </c>
      <c r="DH76" s="21">
        <f>EXP(-LN(2)/2)*DH75+(1-EXP(-LN(2)/2))/(LN(2)/2)*DB76*DE76*VLOOKUP('Données projet'!$B$13,Paramètres!$A$1:$I$89,3,0)*0.475*44/12</f>
        <v>1.8160923727971621E-6</v>
      </c>
      <c r="DI76" s="22">
        <f t="shared" si="69"/>
        <v>47.372858906345165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216.83230520434313</v>
      </c>
      <c r="T77" s="59">
        <f t="shared" si="88"/>
        <v>275.41891707278205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72.949571197513123</v>
      </c>
      <c r="AA77" s="21">
        <f>EXP(-LN(2)/25)*AA76+(1-EXP(-LN(2)/25))/(LN(2)/25)*Calculateur!V77*Calculateur!X77*VLOOKUP('Données projet'!$B$9,Paramètres!$A$1:$I$89,3,0)*0.475*44/12</f>
        <v>11.300903367866386</v>
      </c>
      <c r="AB77" s="21">
        <f>EXP(-LN(2)/2)*AB76+(1-EXP(-LN(2)/2))/(LN(2)/2)*V77*Y77*VLOOKUP('Données projet'!$B$9,Paramètres!$A$1:$I$89,3,0)*0.475*44/12</f>
        <v>2.4780412563927077E-3</v>
      </c>
      <c r="AC77" s="22">
        <f t="shared" si="57"/>
        <v>84.252952606635901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249.24119999999994</v>
      </c>
      <c r="AK77" s="13">
        <f t="shared" si="89"/>
        <v>60.42342651744692</v>
      </c>
      <c r="AL77" s="20">
        <f t="shared" si="58"/>
        <v>539.33255785121992</v>
      </c>
      <c r="AM77" s="59">
        <f t="shared" si="59"/>
        <v>832.66589118455317</v>
      </c>
      <c r="AN77" s="59">
        <f ca="1">AVERAGE(OFFSET($AM$3,0,0,'Données projet'!$E$10+1,1))-AVERAGE(OFFSET($H$3,0,0,'Données projet'!$E$10+1,1))</f>
        <v>292.42154837691379</v>
      </c>
      <c r="AO77" s="59">
        <f t="shared" si="90"/>
        <v>193.18009444354601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37.082703846305122</v>
      </c>
      <c r="AV77" s="21">
        <f>EXP(-LN(2)/25)*AV76+(1-EXP(-LN(2)/25))/(LN(2)/25)*Calculateur!AQ77*Calculateur!AS77*VLOOKUP('Données projet'!$B$10,Paramètres!$A$1:$I$89,3,0)*0.475*44/12</f>
        <v>2.1624607311828905</v>
      </c>
      <c r="AW77" s="21">
        <f>EXP(-LN(2)/2)*AW76+(1-EXP(-LN(2)/2))/(LN(2)/2)*AQ77*AT77*VLOOKUP('Données projet'!$B$10,Paramètres!$A$1:$I$89,3,0)*0.475*44/12</f>
        <v>0.36609818064229432</v>
      </c>
      <c r="AX77" s="21">
        <f t="shared" si="60"/>
        <v>39.611262758130309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6.6</v>
      </c>
      <c r="BD77" s="12">
        <f>IF('Données projet'!$A$88&gt;35,BD76+BC77-BL76,IF(A77&lt;'Données projet'!$A$88,$BA$205^A77,IF(A77='Données projet'!$A$88,'Données projet'!$B$88,BD76+BC77-BL76)))</f>
        <v>317.40000000000003</v>
      </c>
      <c r="BE77" s="13">
        <f>BD77*VLOOKUP('Données projet'!$B$11,Paramètres!$A$1:$I$89,3,0)*VLOOKUP('Données projet'!$B$11,Paramètres!$A$1:$I$89,5,0)</f>
        <v>302.03784000000002</v>
      </c>
      <c r="BF77" s="13">
        <f t="shared" si="91"/>
        <v>71.603504545962679</v>
      </c>
      <c r="BG77" s="20">
        <f t="shared" si="61"/>
        <v>650.75867508421834</v>
      </c>
      <c r="BH77" s="59">
        <f t="shared" si="62"/>
        <v>944.0920084175516</v>
      </c>
      <c r="BI77" s="59">
        <f ca="1">AVERAGE(OFFSET($BH$3,0,0,'Données projet'!$E$11+1,1))-AVERAGE(OFFSET($H$3,0,0,'Données projet'!$E$11+1,1))</f>
        <v>339.00921630742886</v>
      </c>
      <c r="BJ77" s="59">
        <f t="shared" si="92"/>
        <v>314.95763895978303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37.814840158468684</v>
      </c>
      <c r="BQ77" s="21">
        <f>EXP(-LN(2)/25)*BQ76+(1-EXP(-LN(2)/25))/(LN(2)/25)*Calculateur!BL77*Calculateur!BN77*VLOOKUP('Données projet'!$B$11,Paramètres!$A$1:$I$89,3,0)*0.475*44/12</f>
        <v>2.463170237330369</v>
      </c>
      <c r="BR77" s="21">
        <f>EXP(-LN(2)/2)*BR76+(1-EXP(-LN(2)/2))/(LN(2)/2)*BL77*BO77*VLOOKUP('Données projet'!$B$11,Paramètres!$A$1:$I$89,3,0)*0.475*44/12</f>
        <v>0.36284166323556677</v>
      </c>
      <c r="BS77" s="22">
        <f t="shared" si="63"/>
        <v>40.640852059034614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7.6</v>
      </c>
      <c r="BY77" s="12">
        <f>IF('Données projet'!$A$114&gt;35,BY76+BX77-CG76,IF(A77&lt;'Données projet'!$A$114,$BV$205^A77,IF(A77='Données projet'!$A$114,'Données projet'!$B$114,BY76+BX77-CG76)))</f>
        <v>246.39999999999981</v>
      </c>
      <c r="BZ77" s="13">
        <f>BY77*VLOOKUP('Données projet'!$B$12,Paramètres!$A$1:$I$89,3,0)*VLOOKUP('Données projet'!$B$12,Paramètres!$A$1:$I$89,5,0)</f>
        <v>211.41119999999984</v>
      </c>
      <c r="CA77" s="13">
        <f t="shared" si="93"/>
        <v>52.243848094411113</v>
      </c>
      <c r="CB77" s="20">
        <f t="shared" si="64"/>
        <v>459.1992087644324</v>
      </c>
      <c r="CC77" s="59">
        <f t="shared" si="65"/>
        <v>752.53254209776571</v>
      </c>
      <c r="CD77" s="59">
        <f ca="1">AVERAGE(OFFSET($CC$3,0,0,'Données projet'!$E$12+1,1))-AVERAGE(OFFSET($H$3,0,0,'Données projet'!$E$12+1,1))</f>
        <v>204.6927427024138</v>
      </c>
      <c r="CE77" s="59">
        <f t="shared" si="94"/>
        <v>115.74231133146816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25.849409734756549</v>
      </c>
      <c r="CL77" s="21">
        <f>EXP(-LN(2)/25)*CL76+(1-EXP(-LN(2)/25))/(LN(2)/25)*Calculateur!CG77*Calculateur!CI77*VLOOKUP('Données projet'!$B$12,Paramètres!$A$1:$I$89,3,0)*0.475*44/12</f>
        <v>2.390522996599354</v>
      </c>
      <c r="CM77" s="21">
        <f>EXP(-LN(2)/2)*CM76+(1-EXP(-LN(2)/2))/(LN(2)/2)*CG77*CJ77*VLOOKUP('Données projet'!$B$12,Paramètres!$A$1:$I$89,3,0)*0.475*44/12</f>
        <v>0.31202699942897222</v>
      </c>
      <c r="CN77" s="22">
        <f t="shared" si="66"/>
        <v>28.551959730784876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204.15575418077316</v>
      </c>
      <c r="CZ77" s="59">
        <f t="shared" si="96"/>
        <v>473.73726605265045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32.781875025577968</v>
      </c>
      <c r="DG77" s="21">
        <f>EXP(-LN(2)/25)*DG76+(1-EXP(-LN(2)/25))/(LN(2)/25)*Calculateur!DB77*Calculateur!DD77*VLOOKUP('Données projet'!$B$13,Paramètres!$A$1:$I$89,3,0)*0.475*44/12</f>
        <v>13.554230517104413</v>
      </c>
      <c r="DH77" s="21">
        <f>EXP(-LN(2)/2)*DH76+(1-EXP(-LN(2)/2))/(LN(2)/2)*DB77*DE77*VLOOKUP('Données projet'!$B$13,Paramètres!$A$1:$I$89,3,0)*0.475*44/12</f>
        <v>1.2841712320660408E-6</v>
      </c>
      <c r="DI77" s="22">
        <f t="shared" si="69"/>
        <v>46.336106826853616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216.83230520434313</v>
      </c>
      <c r="T78" s="59">
        <f t="shared" si="88"/>
        <v>275.41891707278205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71.519074601174822</v>
      </c>
      <c r="AA78" s="21">
        <f>EXP(-LN(2)/25)*AA77+(1-EXP(-LN(2)/25))/(LN(2)/25)*Calculateur!V78*Calculateur!X78*VLOOKUP('Données projet'!$B$9,Paramètres!$A$1:$I$89,3,0)*0.475*44/12</f>
        <v>10.9918795709834</v>
      </c>
      <c r="AB78" s="21">
        <f>EXP(-LN(2)/2)*AB77+(1-EXP(-LN(2)/2))/(LN(2)/2)*V78*Y78*VLOOKUP('Données projet'!$B$9,Paramètres!$A$1:$I$89,3,0)*0.475*44/12</f>
        <v>1.7522397764553157E-3</v>
      </c>
      <c r="AC78" s="22">
        <f t="shared" si="57"/>
        <v>82.512706411934673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255.52799999999993</v>
      </c>
      <c r="AK78" s="13">
        <f t="shared" si="89"/>
        <v>61.768167868721477</v>
      </c>
      <c r="AL78" s="20">
        <f t="shared" si="58"/>
        <v>552.62415903802309</v>
      </c>
      <c r="AM78" s="59">
        <f t="shared" si="59"/>
        <v>845.95749237135647</v>
      </c>
      <c r="AN78" s="59">
        <f ca="1">AVERAGE(OFFSET($AM$3,0,0,'Données projet'!$E$10+1,1))-AVERAGE(OFFSET($H$3,0,0,'Données projet'!$E$10+1,1))</f>
        <v>292.42154837691379</v>
      </c>
      <c r="AO78" s="59">
        <f t="shared" si="90"/>
        <v>193.18009444354601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0.34400000000000003</v>
      </c>
      <c r="AS78" s="16">
        <f>IF(ISNA(VLOOKUP(A78,'Données projet'!$A$61:$I$81,6,0)),0%,VLOOKUP(A78,'Données projet'!$A$61:$I$81,6,0)*VLOOKUP('Données projet'!$B$10,Paramètres!$A$1:$I$89,7,0))</f>
        <v>1.72E-2</v>
      </c>
      <c r="AT78" s="16">
        <f>IF(ISNA(VLOOKUP(A78,'Données projet'!$A$61:$I$81,7,0)),0%,VLOOKUP(A78,'Données projet'!$A$61:$I$81,7,0))</f>
        <v>0.06</v>
      </c>
      <c r="AU78" s="21">
        <f>EXP(-LN(2)/35)*AU77+(1-EXP(-LN(2)/35))/(LN(2)/35)*AQ78*AR78*VLOOKUP('Données projet'!$B$10,Paramètres!$A$1:$I$89,3,0)*0.475*44/12</f>
        <v>44.453255516145539</v>
      </c>
      <c r="AV78" s="21">
        <f>EXP(-LN(2)/25)*AV77+(1-EXP(-LN(2)/25))/(LN(2)/25)*Calculateur!AQ78*Calculateur!AS78*VLOOKUP('Données projet'!$B$10,Paramètres!$A$1:$I$89,3,0)*0.475*44/12</f>
        <v>2.506619981844616</v>
      </c>
      <c r="AW78" s="21">
        <f>EXP(-LN(2)/2)*AW77+(1-EXP(-LN(2)/2))/(LN(2)/2)*AQ78*AT78*VLOOKUP('Données projet'!$B$10,Paramètres!$A$1:$I$89,3,0)*0.475*44/12</f>
        <v>1.4643582332886522</v>
      </c>
      <c r="AX78" s="21">
        <f t="shared" si="60"/>
        <v>48.424233731278804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6.6</v>
      </c>
      <c r="BC78" s="12">
        <f t="array" ref="BC78">INDEX(BB:BB,MIN(IF(ISNUMBER(BB78:BB274),ROW(BB78:BB274),"")))</f>
        <v>6.6</v>
      </c>
      <c r="BD78" s="12">
        <f>IF('Données projet'!$A$88&gt;35,BD77+BC78-BL77,IF(A78&lt;'Données projet'!$A$88,$BA$205^A78,IF(A78='Données projet'!$A$88,'Données projet'!$B$88,BD77+BC78-BL77)))</f>
        <v>324.00000000000006</v>
      </c>
      <c r="BE78" s="13">
        <f>BD78*VLOOKUP('Données projet'!$B$11,Paramètres!$A$1:$I$89,3,0)*VLOOKUP('Données projet'!$B$11,Paramètres!$A$1:$I$89,5,0)</f>
        <v>308.31840000000005</v>
      </c>
      <c r="BF78" s="13">
        <f t="shared" si="91"/>
        <v>72.917534066293882</v>
      </c>
      <c r="BG78" s="20">
        <f t="shared" si="61"/>
        <v>663.98591849879517</v>
      </c>
      <c r="BH78" s="59">
        <f t="shared" si="62"/>
        <v>957.31925183212843</v>
      </c>
      <c r="BI78" s="59">
        <f ca="1">AVERAGE(OFFSET($BH$3,0,0,'Données projet'!$E$11+1,1))-AVERAGE(OFFSET($H$3,0,0,'Données projet'!$E$11+1,1))</f>
        <v>339.00921630742886</v>
      </c>
      <c r="BJ78" s="59">
        <f t="shared" si="92"/>
        <v>314.95763895978303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22</v>
      </c>
      <c r="BM78" s="16">
        <f>IF(ISNA(VLOOKUP(A78,'Données projet'!$A$87:$I$107,5,0)),0%,VLOOKUP(A78,'Données projet'!$A$87:$I$107,5,0)*VLOOKUP('Données projet'!$B$11,Paramètres!$A$1:$I$89,7,0))</f>
        <v>0.34400000000000003</v>
      </c>
      <c r="BN78" s="16">
        <f>IF(ISNA(VLOOKUP(A78,'Données projet'!$A$87:$I$107,6,0)),0%,VLOOKUP(A78,'Données projet'!$A$87:$I$107,6,0)*VLOOKUP('Données projet'!$B$11,Paramètres!$A$1:$I$89,7,0))</f>
        <v>1.72E-2</v>
      </c>
      <c r="BO78" s="16">
        <f>IF(ISNA(VLOOKUP(A78,'Données projet'!$A$87:$I$107,7,0)),0%,VLOOKUP(A78,'Données projet'!$A$87:$I$107,7,0))</f>
        <v>0.06</v>
      </c>
      <c r="BP78" s="21">
        <f>EXP(-LN(2)/35)*BP77+(1-EXP(-LN(2)/35))/(LN(2)/35)*BL78*BM78*VLOOKUP('Données projet'!$B$11,Paramètres!$A$1:$I$89,3,0)*0.475*44/12</f>
        <v>45.034589968157938</v>
      </c>
      <c r="BQ78" s="21">
        <f>EXP(-LN(2)/25)*BQ77+(1-EXP(-LN(2)/25))/(LN(2)/25)*Calculateur!BL78*Calculateur!BN78*VLOOKUP('Données projet'!$B$11,Paramètres!$A$1:$I$89,3,0)*0.475*44/12</f>
        <v>2.7923111768715332</v>
      </c>
      <c r="BR78" s="21">
        <f>EXP(-LN(2)/2)*BR77+(1-EXP(-LN(2)/2))/(LN(2)/2)*BL78*BO78*VLOOKUP('Données projet'!$B$11,Paramètres!$A$1:$I$89,3,0)*0.475*44/12</f>
        <v>1.4417432803296781</v>
      </c>
      <c r="BS78" s="22">
        <f t="shared" si="63"/>
        <v>49.268644425359149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254</v>
      </c>
      <c r="BW78" s="12">
        <f>VLOOKUP(A78,'Données projet'!$A$113:$I$133,9,0)</f>
        <v>7.6</v>
      </c>
      <c r="BX78" s="12">
        <f t="array" ref="BX78">INDEX(BW:BW,MIN(IF(ISNUMBER(BW78:BW274),ROW(BW78:BW274),"")))</f>
        <v>7.6</v>
      </c>
      <c r="BY78" s="12">
        <f>IF('Données projet'!$A$114&gt;35,BY77+BX78-CG77,IF(A78&lt;'Données projet'!$A$114,$BV$205^A78,IF(A78='Données projet'!$A$114,'Données projet'!$B$114,BY77+BX78-CG77)))</f>
        <v>253.9999999999998</v>
      </c>
      <c r="BZ78" s="13">
        <f>BY78*VLOOKUP('Données projet'!$B$12,Paramètres!$A$1:$I$89,3,0)*VLOOKUP('Données projet'!$B$12,Paramètres!$A$1:$I$89,5,0)</f>
        <v>217.93199999999985</v>
      </c>
      <c r="CA78" s="13">
        <f t="shared" si="93"/>
        <v>53.665169377903311</v>
      </c>
      <c r="CB78" s="20">
        <f t="shared" si="64"/>
        <v>473.03173666651463</v>
      </c>
      <c r="CC78" s="59">
        <f t="shared" si="65"/>
        <v>766.36506999984795</v>
      </c>
      <c r="CD78" s="59">
        <f ca="1">AVERAGE(OFFSET($CC$3,0,0,'Données projet'!$E$12+1,1))-AVERAGE(OFFSET($H$3,0,0,'Données projet'!$E$12+1,1))</f>
        <v>204.6927427024138</v>
      </c>
      <c r="CE78" s="59">
        <f t="shared" si="94"/>
        <v>115.74231133146816</v>
      </c>
      <c r="CF78" s="15">
        <f>IF(ISNA(VLOOKUP(A78,'Données projet'!$A$113:$I$133,3,0)),0,VLOOKUP(A78,'Données projet'!$A$113:$I$133,3,0))</f>
        <v>10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0.371</v>
      </c>
      <c r="CI78" s="16">
        <f>IF(ISNA(VLOOKUP(A78,'Données projet'!$A$113:$I$133,6,0)),0%,VLOOKUP(A78,'Données projet'!$A$113:$I$133,6,0)*VLOOKUP('Données projet'!$B$12,Paramètres!$A$1:$I$89,7,0))</f>
        <v>2.12E-2</v>
      </c>
      <c r="CJ78" s="16">
        <f>IF(ISNA(VLOOKUP(A78,'Données projet'!$A$113:$I$133,7,0)),0%,VLOOKUP(A78,'Données projet'!$A$113:$I$133,7,0))</f>
        <v>0.06</v>
      </c>
      <c r="CK78" s="21">
        <f>EXP(-LN(2)/35)*CK77+(1-EXP(-LN(2)/35))/(LN(2)/35)*CG78*CH78*VLOOKUP('Données projet'!$B$12,Paramètres!$A$1:$I$89,3,0)*0.475*44/12</f>
        <v>32.732232102156651</v>
      </c>
      <c r="CL78" s="21">
        <f>EXP(-LN(2)/25)*CL77+(1-EXP(-LN(2)/25))/(LN(2)/25)*Calculateur!CG78*Calculateur!CI78*VLOOKUP('Données projet'!$B$12,Paramètres!$A$1:$I$89,3,0)*0.475*44/12</f>
        <v>2.7457607285659593</v>
      </c>
      <c r="CM78" s="21">
        <f>EXP(-LN(2)/2)*CM77+(1-EXP(-LN(2)/2))/(LN(2)/2)*CG78*CJ78*VLOOKUP('Données projet'!$B$12,Paramètres!$A$1:$I$89,3,0)*0.475*44/12</f>
        <v>1.2406644840511105</v>
      </c>
      <c r="CN78" s="22">
        <f t="shared" si="66"/>
        <v>36.718657314773722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204.15575418077316</v>
      </c>
      <c r="CZ78" s="59">
        <f t="shared" si="96"/>
        <v>473.73726605265045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32.139042451295808</v>
      </c>
      <c r="DG78" s="21">
        <f>EXP(-LN(2)/25)*DG77+(1-EXP(-LN(2)/25))/(LN(2)/25)*Calculateur!DB78*Calculateur!DD78*VLOOKUP('Données projet'!$B$13,Paramètres!$A$1:$I$89,3,0)*0.475*44/12</f>
        <v>13.183589370828189</v>
      </c>
      <c r="DH78" s="21">
        <f>EXP(-LN(2)/2)*DH77+(1-EXP(-LN(2)/2))/(LN(2)/2)*DB78*DE78*VLOOKUP('Données projet'!$B$13,Paramètres!$A$1:$I$89,3,0)*0.475*44/12</f>
        <v>9.0804618639858106E-7</v>
      </c>
      <c r="DI78" s="22">
        <f t="shared" si="69"/>
        <v>45.322632730170184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216.83230520434313</v>
      </c>
      <c r="T79" s="59">
        <f t="shared" si="88"/>
        <v>275.41891707278205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70.116629170573944</v>
      </c>
      <c r="AA79" s="21">
        <f>EXP(-LN(2)/25)*AA78+(1-EXP(-LN(2)/25))/(LN(2)/25)*Calculateur!V79*Calculateur!X79*VLOOKUP('Données projet'!$B$9,Paramètres!$A$1:$I$89,3,0)*0.475*44/12</f>
        <v>10.691306046077035</v>
      </c>
      <c r="AB79" s="21">
        <f>EXP(-LN(2)/2)*AB78+(1-EXP(-LN(2)/2))/(LN(2)/2)*V79*Y79*VLOOKUP('Données projet'!$B$9,Paramètres!$A$1:$I$89,3,0)*0.475*44/12</f>
        <v>1.2390206281963538E-3</v>
      </c>
      <c r="AC79" s="22">
        <f t="shared" si="57"/>
        <v>80.809174237279166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240.3179999999999</v>
      </c>
      <c r="AK79" s="13">
        <f t="shared" si="89"/>
        <v>58.507944457766484</v>
      </c>
      <c r="AL79" s="20">
        <f t="shared" si="58"/>
        <v>520.45518659727634</v>
      </c>
      <c r="AM79" s="59">
        <f t="shared" si="59"/>
        <v>813.78851993060971</v>
      </c>
      <c r="AN79" s="59">
        <f ca="1">AVERAGE(OFFSET($AM$3,0,0,'Données projet'!$E$10+1,1))-AVERAGE(OFFSET($H$3,0,0,'Données projet'!$E$10+1,1))</f>
        <v>292.42154837691379</v>
      </c>
      <c r="AO79" s="59">
        <f t="shared" si="90"/>
        <v>193.18009444354601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43.581554289282522</v>
      </c>
      <c r="AV79" s="21">
        <f>EXP(-LN(2)/25)*AV78+(1-EXP(-LN(2)/25))/(LN(2)/25)*Calculateur!AQ79*Calculateur!AS79*VLOOKUP('Données projet'!$B$10,Paramètres!$A$1:$I$89,3,0)*0.475*44/12</f>
        <v>2.4380763266236589</v>
      </c>
      <c r="AW79" s="21">
        <f>EXP(-LN(2)/2)*AW78+(1-EXP(-LN(2)/2))/(LN(2)/2)*AQ79*AT79*VLOOKUP('Données projet'!$B$10,Paramètres!$A$1:$I$89,3,0)*0.475*44/12</f>
        <v>1.0354576368447583</v>
      </c>
      <c r="AX79" s="21">
        <f t="shared" si="60"/>
        <v>47.055088252750942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6.2</v>
      </c>
      <c r="BD79" s="12">
        <f>IF('Données projet'!$A$88&gt;35,BD78+BC79-BL78,IF(A79&lt;'Données projet'!$A$88,$BA$205^A79,IF(A79='Données projet'!$A$88,'Données projet'!$B$88,BD78+BC79-BL78)))</f>
        <v>308.20000000000005</v>
      </c>
      <c r="BE79" s="13">
        <f>BD79*VLOOKUP('Données projet'!$B$11,Paramètres!$A$1:$I$89,3,0)*VLOOKUP('Données projet'!$B$11,Paramètres!$A$1:$I$89,5,0)</f>
        <v>293.28312</v>
      </c>
      <c r="BF79" s="13">
        <f t="shared" si="91"/>
        <v>69.766497077313801</v>
      </c>
      <c r="BG79" s="20">
        <f t="shared" si="61"/>
        <v>632.31141640965473</v>
      </c>
      <c r="BH79" s="59">
        <f t="shared" si="62"/>
        <v>925.6447497429881</v>
      </c>
      <c r="BI79" s="59">
        <f ca="1">AVERAGE(OFFSET($BH$3,0,0,'Données projet'!$E$11+1,1))-AVERAGE(OFFSET($H$3,0,0,'Données projet'!$E$11+1,1))</f>
        <v>339.00921630742886</v>
      </c>
      <c r="BJ79" s="59">
        <f t="shared" si="92"/>
        <v>314.95763895978303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44.151489127269961</v>
      </c>
      <c r="BQ79" s="21">
        <f>EXP(-LN(2)/25)*BQ78+(1-EXP(-LN(2)/25))/(LN(2)/25)*Calculateur!BL79*Calculateur!BN79*VLOOKUP('Données projet'!$B$11,Paramètres!$A$1:$I$89,3,0)*0.475*44/12</f>
        <v>2.7159552808987182</v>
      </c>
      <c r="BR79" s="21">
        <f>EXP(-LN(2)/2)*BR78+(1-EXP(-LN(2)/2))/(LN(2)/2)*BL79*BO79*VLOOKUP('Données projet'!$B$11,Paramètres!$A$1:$I$89,3,0)*0.475*44/12</f>
        <v>1.0194664502512529</v>
      </c>
      <c r="BS79" s="22">
        <f t="shared" si="63"/>
        <v>47.886910858419931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240.39999999999981</v>
      </c>
      <c r="BZ79" s="13">
        <f>BY79*VLOOKUP('Données projet'!$B$12,Paramètres!$A$1:$I$89,3,0)*VLOOKUP('Données projet'!$B$12,Paramètres!$A$1:$I$89,5,0)</f>
        <v>206.26319999999987</v>
      </c>
      <c r="CA79" s="13">
        <f t="shared" si="93"/>
        <v>51.118149550886002</v>
      </c>
      <c r="CB79" s="20">
        <f t="shared" si="64"/>
        <v>448.27251713445958</v>
      </c>
      <c r="CC79" s="59">
        <f t="shared" si="65"/>
        <v>741.60585046779283</v>
      </c>
      <c r="CD79" s="59">
        <f ca="1">AVERAGE(OFFSET($CC$3,0,0,'Données projet'!$E$12+1,1))-AVERAGE(OFFSET($H$3,0,0,'Données projet'!$E$12+1,1))</f>
        <v>204.6927427024138</v>
      </c>
      <c r="CE79" s="59">
        <f t="shared" si="94"/>
        <v>115.74231133146816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32.090372995323591</v>
      </c>
      <c r="CL79" s="21">
        <f>EXP(-LN(2)/25)*CL78+(1-EXP(-LN(2)/25))/(LN(2)/25)*Calculateur!CG79*Calculateur!CI79*VLOOKUP('Données projet'!$B$12,Paramètres!$A$1:$I$89,3,0)*0.475*44/12</f>
        <v>2.6706777570500422</v>
      </c>
      <c r="CM79" s="21">
        <f>EXP(-LN(2)/2)*CM78+(1-EXP(-LN(2)/2))/(LN(2)/2)*CG79*CJ79*VLOOKUP('Données projet'!$B$12,Paramètres!$A$1:$I$89,3,0)*0.475*44/12</f>
        <v>0.87728226984984958</v>
      </c>
      <c r="CN79" s="22">
        <f t="shared" si="66"/>
        <v>35.638333022223485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204.15575418077316</v>
      </c>
      <c r="CZ79" s="59">
        <f t="shared" si="96"/>
        <v>473.73726605265045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31.508815431706168</v>
      </c>
      <c r="DG79" s="21">
        <f>EXP(-LN(2)/25)*DG78+(1-EXP(-LN(2)/25))/(LN(2)/25)*Calculateur!DB79*Calculateur!DD79*VLOOKUP('Données projet'!$B$13,Paramètres!$A$1:$I$89,3,0)*0.475*44/12</f>
        <v>12.82308342618806</v>
      </c>
      <c r="DH79" s="21">
        <f>EXP(-LN(2)/2)*DH78+(1-EXP(-LN(2)/2))/(LN(2)/2)*DB79*DE79*VLOOKUP('Données projet'!$B$13,Paramètres!$A$1:$I$89,3,0)*0.475*44/12</f>
        <v>6.4208561603302039E-7</v>
      </c>
      <c r="DI79" s="22">
        <f t="shared" si="69"/>
        <v>44.331899499979848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216.83230520434313</v>
      </c>
      <c r="T80" s="59">
        <f t="shared" si="88"/>
        <v>275.41891707278205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68.741684839459907</v>
      </c>
      <c r="AA80" s="21">
        <f>EXP(-LN(2)/25)*AA79+(1-EXP(-LN(2)/25))/(LN(2)/25)*Calculateur!V80*Calculateur!X80*VLOOKUP('Données projet'!$B$9,Paramètres!$A$1:$I$89,3,0)*0.475*44/12</f>
        <v>10.398951720015708</v>
      </c>
      <c r="AB80" s="21">
        <f>EXP(-LN(2)/2)*AB79+(1-EXP(-LN(2)/2))/(LN(2)/2)*V80*Y80*VLOOKUP('Données projet'!$B$9,Paramètres!$A$1:$I$89,3,0)*0.475*44/12</f>
        <v>8.7611988822765784E-4</v>
      </c>
      <c r="AC80" s="22">
        <f t="shared" si="57"/>
        <v>79.141512679363842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246.4019999999999</v>
      </c>
      <c r="AK80" s="13">
        <f t="shared" si="89"/>
        <v>59.814834475385474</v>
      </c>
      <c r="AL80" s="20">
        <f t="shared" si="58"/>
        <v>533.32765337796286</v>
      </c>
      <c r="AM80" s="59">
        <f t="shared" si="59"/>
        <v>826.66098671129612</v>
      </c>
      <c r="AN80" s="59">
        <f ca="1">AVERAGE(OFFSET($AM$3,0,0,'Données projet'!$E$10+1,1))-AVERAGE(OFFSET($H$3,0,0,'Données projet'!$E$10+1,1))</f>
        <v>292.42154837691379</v>
      </c>
      <c r="AO80" s="59">
        <f t="shared" si="90"/>
        <v>193.18009444354601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42.726946591793045</v>
      </c>
      <c r="AV80" s="21">
        <f>EXP(-LN(2)/25)*AV79+(1-EXP(-LN(2)/25))/(LN(2)/25)*Calculateur!AQ80*Calculateur!AS80*VLOOKUP('Données projet'!$B$10,Paramètres!$A$1:$I$89,3,0)*0.475*44/12</f>
        <v>2.3714070012592732</v>
      </c>
      <c r="AW80" s="21">
        <f>EXP(-LN(2)/2)*AW79+(1-EXP(-LN(2)/2))/(LN(2)/2)*AQ80*AT80*VLOOKUP('Données projet'!$B$10,Paramètres!$A$1:$I$89,3,0)*0.475*44/12</f>
        <v>0.73217911664432622</v>
      </c>
      <c r="AX80" s="21">
        <f t="shared" si="60"/>
        <v>45.830532709696641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6.2</v>
      </c>
      <c r="BD80" s="12">
        <f>IF('Données projet'!$A$88&gt;35,BD79+BC80-BL79,IF(A80&lt;'Données projet'!$A$88,$BA$205^A80,IF(A80='Données projet'!$A$88,'Données projet'!$B$88,BD79+BC80-BL79)))</f>
        <v>314.40000000000003</v>
      </c>
      <c r="BE80" s="13">
        <f>BD80*VLOOKUP('Données projet'!$B$11,Paramètres!$A$1:$I$89,3,0)*VLOOKUP('Données projet'!$B$11,Paramètres!$A$1:$I$89,5,0)</f>
        <v>299.18304000000006</v>
      </c>
      <c r="BF80" s="13">
        <f t="shared" si="91"/>
        <v>71.005170108340749</v>
      </c>
      <c r="BG80" s="20">
        <f t="shared" si="61"/>
        <v>644.74446593869345</v>
      </c>
      <c r="BH80" s="59">
        <f t="shared" si="62"/>
        <v>938.07779927202682</v>
      </c>
      <c r="BI80" s="59">
        <f ca="1">AVERAGE(OFFSET($BH$3,0,0,'Données projet'!$E$11+1,1))-AVERAGE(OFFSET($H$3,0,0,'Données projet'!$E$11+1,1))</f>
        <v>339.00921630742886</v>
      </c>
      <c r="BJ80" s="59">
        <f t="shared" si="92"/>
        <v>314.95763895978303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43.285705355233475</v>
      </c>
      <c r="BQ80" s="21">
        <f>EXP(-LN(2)/25)*BQ79+(1-EXP(-LN(2)/25))/(LN(2)/25)*Calculateur!BL80*Calculateur!BN80*VLOOKUP('Données projet'!$B$11,Paramètres!$A$1:$I$89,3,0)*0.475*44/12</f>
        <v>2.6416873409166621</v>
      </c>
      <c r="BR80" s="21">
        <f>EXP(-LN(2)/2)*BR79+(1-EXP(-LN(2)/2))/(LN(2)/2)*BL80*BO80*VLOOKUP('Données projet'!$B$11,Paramètres!$A$1:$I$89,3,0)*0.475*44/12</f>
        <v>0.72087164016483907</v>
      </c>
      <c r="BS80" s="22">
        <f t="shared" si="63"/>
        <v>46.648264336314973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247.79999999999981</v>
      </c>
      <c r="BZ80" s="13">
        <f>BY80*VLOOKUP('Données projet'!$B$12,Paramètres!$A$1:$I$89,3,0)*VLOOKUP('Données projet'!$B$12,Paramètres!$A$1:$I$89,5,0)</f>
        <v>212.61239999999987</v>
      </c>
      <c r="CA80" s="13">
        <f t="shared" si="93"/>
        <v>52.506049408060917</v>
      </c>
      <c r="CB80" s="20">
        <f t="shared" si="64"/>
        <v>461.74796605237248</v>
      </c>
      <c r="CC80" s="59">
        <f t="shared" si="65"/>
        <v>755.08129938570573</v>
      </c>
      <c r="CD80" s="59">
        <f ca="1">AVERAGE(OFFSET($CC$3,0,0,'Données projet'!$E$12+1,1))-AVERAGE(OFFSET($H$3,0,0,'Données projet'!$E$12+1,1))</f>
        <v>204.6927427024138</v>
      </c>
      <c r="CE80" s="59">
        <f t="shared" si="94"/>
        <v>115.74231133146816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31.461100354080131</v>
      </c>
      <c r="CL80" s="21">
        <f>EXP(-LN(2)/25)*CL79+(1-EXP(-LN(2)/25))/(LN(2)/25)*Calculateur!CG80*Calculateur!CI80*VLOOKUP('Données projet'!$B$12,Paramètres!$A$1:$I$89,3,0)*0.475*44/12</f>
        <v>2.5976479333386693</v>
      </c>
      <c r="CM80" s="21">
        <f>EXP(-LN(2)/2)*CM79+(1-EXP(-LN(2)/2))/(LN(2)/2)*CG80*CJ80*VLOOKUP('Données projet'!$B$12,Paramètres!$A$1:$I$89,3,0)*0.475*44/12</f>
        <v>0.62033224202555537</v>
      </c>
      <c r="CN80" s="22">
        <f t="shared" si="66"/>
        <v>34.679080529444356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204.15575418077316</v>
      </c>
      <c r="CZ80" s="59">
        <f t="shared" si="96"/>
        <v>473.73726605265045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30.890946779570157</v>
      </c>
      <c r="DG80" s="21">
        <f>EXP(-LN(2)/25)*DG79+(1-EXP(-LN(2)/25))/(LN(2)/25)*Calculateur!DB80*Calculateur!DD80*VLOOKUP('Données projet'!$B$13,Paramètres!$A$1:$I$89,3,0)*0.475*44/12</f>
        <v>12.472435535562298</v>
      </c>
      <c r="DH80" s="21">
        <f>EXP(-LN(2)/2)*DH79+(1-EXP(-LN(2)/2))/(LN(2)/2)*DB80*DE80*VLOOKUP('Données projet'!$B$13,Paramètres!$A$1:$I$89,3,0)*0.475*44/12</f>
        <v>4.5402309319929053E-7</v>
      </c>
      <c r="DI80" s="22">
        <f t="shared" si="69"/>
        <v>43.36338276915555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216.83230520434313</v>
      </c>
      <c r="T81" s="59">
        <f t="shared" si="88"/>
        <v>275.41891707278205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67.393702328045777</v>
      </c>
      <c r="AA81" s="21">
        <f>EXP(-LN(2)/25)*AA80+(1-EXP(-LN(2)/25))/(LN(2)/25)*Calculateur!V81*Calculateur!X81*VLOOKUP('Données projet'!$B$9,Paramètres!$A$1:$I$89,3,0)*0.475*44/12</f>
        <v>10.114591838374775</v>
      </c>
      <c r="AB81" s="21">
        <f>EXP(-LN(2)/2)*AB80+(1-EXP(-LN(2)/2))/(LN(2)/2)*V81*Y81*VLOOKUP('Données projet'!$B$9,Paramètres!$A$1:$I$89,3,0)*0.475*44/12</f>
        <v>6.1951031409817692E-4</v>
      </c>
      <c r="AC81" s="22">
        <f t="shared" si="57"/>
        <v>77.50891367673465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252.4859999999999</v>
      </c>
      <c r="AK81" s="13">
        <f t="shared" si="89"/>
        <v>61.117973383957384</v>
      </c>
      <c r="AL81" s="20">
        <f t="shared" si="58"/>
        <v>546.193586977059</v>
      </c>
      <c r="AM81" s="59">
        <f t="shared" si="59"/>
        <v>839.52692031039237</v>
      </c>
      <c r="AN81" s="59">
        <f ca="1">AVERAGE(OFFSET($AM$3,0,0,'Données projet'!$E$10+1,1))-AVERAGE(OFFSET($H$3,0,0,'Données projet'!$E$10+1,1))</f>
        <v>292.42154837691379</v>
      </c>
      <c r="AO81" s="59">
        <f t="shared" si="90"/>
        <v>193.18009444354601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41.88909722999211</v>
      </c>
      <c r="AV81" s="21">
        <f>EXP(-LN(2)/25)*AV80+(1-EXP(-LN(2)/25))/(LN(2)/25)*Calculateur!AQ81*Calculateur!AS81*VLOOKUP('Données projet'!$B$10,Paramètres!$A$1:$I$89,3,0)*0.475*44/12</f>
        <v>2.3065607521029641</v>
      </c>
      <c r="AW81" s="21">
        <f>EXP(-LN(2)/2)*AW80+(1-EXP(-LN(2)/2))/(LN(2)/2)*AQ81*AT81*VLOOKUP('Données projet'!$B$10,Paramètres!$A$1:$I$89,3,0)*0.475*44/12</f>
        <v>0.51772881842237928</v>
      </c>
      <c r="AX81" s="21">
        <f t="shared" si="60"/>
        <v>44.713386800517448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6.2</v>
      </c>
      <c r="BD81" s="12">
        <f>IF('Données projet'!$A$88&gt;35,BD80+BC81-BL80,IF(A81&lt;'Données projet'!$A$88,$BA$205^A81,IF(A81='Données projet'!$A$88,'Données projet'!$B$88,BD80+BC81-BL80)))</f>
        <v>320.60000000000002</v>
      </c>
      <c r="BE81" s="13">
        <f>BD81*VLOOKUP('Données projet'!$B$11,Paramètres!$A$1:$I$89,3,0)*VLOOKUP('Données projet'!$B$11,Paramètres!$A$1:$I$89,5,0)</f>
        <v>305.08296000000001</v>
      </c>
      <c r="BF81" s="13">
        <f t="shared" si="91"/>
        <v>72.241002930873947</v>
      </c>
      <c r="BG81" s="20">
        <f t="shared" si="61"/>
        <v>657.17256877127215</v>
      </c>
      <c r="BH81" s="59">
        <f t="shared" si="62"/>
        <v>950.50590210460541</v>
      </c>
      <c r="BI81" s="59">
        <f ca="1">AVERAGE(OFFSET($BH$3,0,0,'Données projet'!$E$11+1,1))-AVERAGE(OFFSET($H$3,0,0,'Données projet'!$E$11+1,1))</f>
        <v>339.00921630742886</v>
      </c>
      <c r="BJ81" s="59">
        <f t="shared" si="92"/>
        <v>314.95763895978303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42.436899074890661</v>
      </c>
      <c r="BQ81" s="21">
        <f>EXP(-LN(2)/25)*BQ80+(1-EXP(-LN(2)/25))/(LN(2)/25)*Calculateur!BL81*Calculateur!BN81*VLOOKUP('Données projet'!$B$11,Paramètres!$A$1:$I$89,3,0)*0.475*44/12</f>
        <v>2.5694502616589965</v>
      </c>
      <c r="BR81" s="21">
        <f>EXP(-LN(2)/2)*BR80+(1-EXP(-LN(2)/2))/(LN(2)/2)*BL81*BO81*VLOOKUP('Données projet'!$B$11,Paramètres!$A$1:$I$89,3,0)*0.475*44/12</f>
        <v>0.50973322512562647</v>
      </c>
      <c r="BS81" s="22">
        <f t="shared" si="63"/>
        <v>45.51608256167529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255.19999999999982</v>
      </c>
      <c r="BZ81" s="13">
        <f>BY81*VLOOKUP('Données projet'!$B$12,Paramètres!$A$1:$I$89,3,0)*VLOOKUP('Données projet'!$B$12,Paramètres!$A$1:$I$89,5,0)</f>
        <v>218.96159999999986</v>
      </c>
      <c r="CA81" s="13">
        <f t="shared" si="93"/>
        <v>53.88913250370743</v>
      </c>
      <c r="CB81" s="20">
        <f t="shared" si="64"/>
        <v>475.21502577729012</v>
      </c>
      <c r="CC81" s="59">
        <f t="shared" si="65"/>
        <v>768.54835911062344</v>
      </c>
      <c r="CD81" s="59">
        <f ca="1">AVERAGE(OFFSET($CC$3,0,0,'Données projet'!$E$12+1,1))-AVERAGE(OFFSET($H$3,0,0,'Données projet'!$E$12+1,1))</f>
        <v>204.6927427024138</v>
      </c>
      <c r="CE81" s="59">
        <f t="shared" si="94"/>
        <v>115.74231133146816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30.844167365513041</v>
      </c>
      <c r="CL81" s="21">
        <f>EXP(-LN(2)/25)*CL80+(1-EXP(-LN(2)/25))/(LN(2)/25)*Calculateur!CG81*Calculateur!CI81*VLOOKUP('Données projet'!$B$12,Paramètres!$A$1:$I$89,3,0)*0.475*44/12</f>
        <v>2.5266151139971558</v>
      </c>
      <c r="CM81" s="21">
        <f>EXP(-LN(2)/2)*CM80+(1-EXP(-LN(2)/2))/(LN(2)/2)*CG81*CJ81*VLOOKUP('Données projet'!$B$12,Paramètres!$A$1:$I$89,3,0)*0.475*44/12</f>
        <v>0.43864113492492485</v>
      </c>
      <c r="CN81" s="22">
        <f t="shared" si="66"/>
        <v>33.809423614435119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204.15575418077316</v>
      </c>
      <c r="CZ81" s="59">
        <f t="shared" si="96"/>
        <v>473.73726605265045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30.285194154839868</v>
      </c>
      <c r="DG81" s="21">
        <f>EXP(-LN(2)/25)*DG80+(1-EXP(-LN(2)/25))/(LN(2)/25)*Calculateur!DB81*Calculateur!DD81*VLOOKUP('Données projet'!$B$13,Paramètres!$A$1:$I$89,3,0)*0.475*44/12</f>
        <v>12.131376129945467</v>
      </c>
      <c r="DH81" s="21">
        <f>EXP(-LN(2)/2)*DH80+(1-EXP(-LN(2)/2))/(LN(2)/2)*DB81*DE81*VLOOKUP('Données projet'!$B$13,Paramètres!$A$1:$I$89,3,0)*0.475*44/12</f>
        <v>3.210428080165102E-7</v>
      </c>
      <c r="DI81" s="22">
        <f t="shared" si="69"/>
        <v>42.416570605828142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216.83230520434313</v>
      </c>
      <c r="T82" s="59">
        <f t="shared" si="88"/>
        <v>275.41891707278205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66.072152931492326</v>
      </c>
      <c r="AA82" s="21">
        <f>EXP(-LN(2)/25)*AA81+(1-EXP(-LN(2)/25))/(LN(2)/25)*Calculateur!V82*Calculateur!X82*VLOOKUP('Données projet'!$B$9,Paramètres!$A$1:$I$89,3,0)*0.475*44/12</f>
        <v>9.8380077926511493</v>
      </c>
      <c r="AB82" s="21">
        <f>EXP(-LN(2)/2)*AB81+(1-EXP(-LN(2)/2))/(LN(2)/2)*V82*Y82*VLOOKUP('Données projet'!$B$9,Paramètres!$A$1:$I$89,3,0)*0.475*44/12</f>
        <v>4.3805994411382892E-4</v>
      </c>
      <c r="AC82" s="22">
        <f t="shared" si="57"/>
        <v>75.910598784087597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258.56999999999994</v>
      </c>
      <c r="AK82" s="13">
        <f t="shared" si="89"/>
        <v>62.417461971173843</v>
      </c>
      <c r="AL82" s="20">
        <f t="shared" si="58"/>
        <v>559.05316293312762</v>
      </c>
      <c r="AM82" s="59">
        <f t="shared" si="59"/>
        <v>852.38649626646088</v>
      </c>
      <c r="AN82" s="59">
        <f ca="1">AVERAGE(OFFSET($AM$3,0,0,'Données projet'!$E$10+1,1))-AVERAGE(OFFSET($H$3,0,0,'Données projet'!$E$10+1,1))</f>
        <v>292.42154837691379</v>
      </c>
      <c r="AO82" s="59">
        <f t="shared" si="90"/>
        <v>193.18009444354601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41.06767758313844</v>
      </c>
      <c r="AV82" s="21">
        <f>EXP(-LN(2)/25)*AV81+(1-EXP(-LN(2)/25))/(LN(2)/25)*Calculateur!AQ82*Calculateur!AS82*VLOOKUP('Données projet'!$B$10,Paramètres!$A$1:$I$89,3,0)*0.475*44/12</f>
        <v>2.2434877270399505</v>
      </c>
      <c r="AW82" s="21">
        <f>EXP(-LN(2)/2)*AW81+(1-EXP(-LN(2)/2))/(LN(2)/2)*AQ82*AT82*VLOOKUP('Données projet'!$B$10,Paramètres!$A$1:$I$89,3,0)*0.475*44/12</f>
        <v>0.36608955832216317</v>
      </c>
      <c r="AX82" s="21">
        <f t="shared" si="60"/>
        <v>43.677254868500555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6.2</v>
      </c>
      <c r="BD82" s="12">
        <f>IF('Données projet'!$A$88&gt;35,BD81+BC82-BL81,IF(A82&lt;'Données projet'!$A$88,$BA$205^A82,IF(A82='Données projet'!$A$88,'Données projet'!$B$88,BD81+BC82-BL81)))</f>
        <v>326.8</v>
      </c>
      <c r="BE82" s="13">
        <f>BD82*VLOOKUP('Données projet'!$B$11,Paramètres!$A$1:$I$89,3,0)*VLOOKUP('Données projet'!$B$11,Paramètres!$A$1:$I$89,5,0)</f>
        <v>310.98288000000002</v>
      </c>
      <c r="BF82" s="13">
        <f t="shared" si="91"/>
        <v>73.474056803098946</v>
      </c>
      <c r="BG82" s="20">
        <f t="shared" si="61"/>
        <v>669.5958315987308</v>
      </c>
      <c r="BH82" s="59">
        <f t="shared" si="62"/>
        <v>962.92916493206417</v>
      </c>
      <c r="BI82" s="59">
        <f ca="1">AVERAGE(OFFSET($BH$3,0,0,'Données projet'!$E$11+1,1))-AVERAGE(OFFSET($H$3,0,0,'Données projet'!$E$11+1,1))</f>
        <v>339.00921630742886</v>
      </c>
      <c r="BJ82" s="59">
        <f t="shared" si="92"/>
        <v>314.95763895978303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41.604737367984661</v>
      </c>
      <c r="BQ82" s="21">
        <f>EXP(-LN(2)/25)*BQ81+(1-EXP(-LN(2)/25))/(LN(2)/25)*Calculateur!BL82*Calculateur!BN82*VLOOKUP('Données projet'!$B$11,Paramètres!$A$1:$I$89,3,0)*0.475*44/12</f>
        <v>2.4991885091324146</v>
      </c>
      <c r="BR82" s="21">
        <f>EXP(-LN(2)/2)*BR81+(1-EXP(-LN(2)/2))/(LN(2)/2)*BL82*BO82*VLOOKUP('Données projet'!$B$11,Paramètres!$A$1:$I$89,3,0)*0.475*44/12</f>
        <v>0.36043582008241953</v>
      </c>
      <c r="BS82" s="22">
        <f t="shared" si="63"/>
        <v>44.4643616971995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262.5999999999998</v>
      </c>
      <c r="BZ82" s="13">
        <f>BY82*VLOOKUP('Données projet'!$B$12,Paramètres!$A$1:$I$89,3,0)*VLOOKUP('Données projet'!$B$12,Paramètres!$A$1:$I$89,5,0)</f>
        <v>225.31079999999983</v>
      </c>
      <c r="CA82" s="13">
        <f t="shared" si="93"/>
        <v>55.267554547888764</v>
      </c>
      <c r="CB82" s="20">
        <f t="shared" si="64"/>
        <v>488.67396750423922</v>
      </c>
      <c r="CC82" s="59">
        <f t="shared" si="65"/>
        <v>782.00730083757253</v>
      </c>
      <c r="CD82" s="59">
        <f ca="1">AVERAGE(OFFSET($CC$3,0,0,'Données projet'!$E$12+1,1))-AVERAGE(OFFSET($H$3,0,0,'Données projet'!$E$12+1,1))</f>
        <v>204.6927427024138</v>
      </c>
      <c r="CE82" s="59">
        <f t="shared" si="94"/>
        <v>115.74231133146816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30.239332056559785</v>
      </c>
      <c r="CL82" s="21">
        <f>EXP(-LN(2)/25)*CL81+(1-EXP(-LN(2)/25))/(LN(2)/25)*Calculateur!CG82*Calculateur!CI82*VLOOKUP('Données projet'!$B$12,Paramètres!$A$1:$I$89,3,0)*0.475*44/12</f>
        <v>2.4575246908359896</v>
      </c>
      <c r="CM82" s="21">
        <f>EXP(-LN(2)/2)*CM81+(1-EXP(-LN(2)/2))/(LN(2)/2)*CG82*CJ82*VLOOKUP('Données projet'!$B$12,Paramètres!$A$1:$I$89,3,0)*0.475*44/12</f>
        <v>0.31016612101277774</v>
      </c>
      <c r="CN82" s="22">
        <f t="shared" si="66"/>
        <v>33.007022868408555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204.15575418077316</v>
      </c>
      <c r="CZ82" s="59">
        <f t="shared" si="96"/>
        <v>473.73726605265045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29.691319969607921</v>
      </c>
      <c r="DG82" s="21">
        <f>EXP(-LN(2)/25)*DG81+(1-EXP(-LN(2)/25))/(LN(2)/25)*Calculateur!DB82*Calculateur!DD82*VLOOKUP('Données projet'!$B$13,Paramètres!$A$1:$I$89,3,0)*0.475*44/12</f>
        <v>11.799643011710764</v>
      </c>
      <c r="DH82" s="21">
        <f>EXP(-LN(2)/2)*DH81+(1-EXP(-LN(2)/2))/(LN(2)/2)*DB82*DE82*VLOOKUP('Données projet'!$B$13,Paramètres!$A$1:$I$89,3,0)*0.475*44/12</f>
        <v>2.2701154659964526E-7</v>
      </c>
      <c r="DI82" s="22">
        <f t="shared" si="69"/>
        <v>41.490963208330236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216.83230520434313</v>
      </c>
      <c r="T83" s="59">
        <f t="shared" si="88"/>
        <v>275.41891707278205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64.77651831253975</v>
      </c>
      <c r="AA83" s="21">
        <f>EXP(-LN(2)/25)*AA82+(1-EXP(-LN(2)/25))/(LN(2)/25)*Calculateur!V83*Calculateur!X83*VLOOKUP('Données projet'!$B$9,Paramètres!$A$1:$I$89,3,0)*0.475*44/12</f>
        <v>9.5689869522027582</v>
      </c>
      <c r="AB83" s="21">
        <f>EXP(-LN(2)/2)*AB82+(1-EXP(-LN(2)/2))/(LN(2)/2)*V83*Y83*VLOOKUP('Données projet'!$B$9,Paramètres!$A$1:$I$89,3,0)*0.475*44/12</f>
        <v>3.0975515704908846E-4</v>
      </c>
      <c r="AC83" s="22">
        <f t="shared" si="57"/>
        <v>74.345815019899561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264.65399999999988</v>
      </c>
      <c r="AK83" s="13">
        <f t="shared" si="89"/>
        <v>63.71339601121106</v>
      </c>
      <c r="AL83" s="20">
        <f t="shared" si="58"/>
        <v>571.90654805285897</v>
      </c>
      <c r="AM83" s="59">
        <f t="shared" si="59"/>
        <v>865.23988138619234</v>
      </c>
      <c r="AN83" s="59">
        <f ca="1">AVERAGE(OFFSET($AM$3,0,0,'Données projet'!$E$10+1,1))-AVERAGE(OFFSET($H$3,0,0,'Données projet'!$E$10+1,1))</f>
        <v>292.42154837691379</v>
      </c>
      <c r="AO83" s="59">
        <f t="shared" si="90"/>
        <v>193.18009444354601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0.34400000000000003</v>
      </c>
      <c r="AS83" s="16">
        <f>IF(ISNA(VLOOKUP(A83,'Données projet'!$A$61:$I$81,6,0)),0%,VLOOKUP(A83,'Données projet'!$A$61:$I$81,6,0)*VLOOKUP('Données projet'!$B$10,Paramètres!$A$1:$I$89,7,0))</f>
        <v>1.72E-2</v>
      </c>
      <c r="AT83" s="16">
        <f>IF(ISNA(VLOOKUP(A83,'Données projet'!$A$61:$I$81,7,0)),0%,VLOOKUP(A83,'Données projet'!$A$61:$I$81,7,0))</f>
        <v>0.06</v>
      </c>
      <c r="AU83" s="21">
        <f>EXP(-LN(2)/35)*AU82+(1-EXP(-LN(2)/35))/(LN(2)/35)*AQ83*AR83*VLOOKUP('Données projet'!$B$10,Paramètres!$A$1:$I$89,3,0)*0.475*44/12</f>
        <v>48.360086348593541</v>
      </c>
      <c r="AV83" s="21">
        <f>EXP(-LN(2)/25)*AV82+(1-EXP(-LN(2)/25))/(LN(2)/25)*Calculateur!AQ83*Calculateur!AS83*VLOOKUP('Données projet'!$B$10,Paramètres!$A$1:$I$89,3,0)*0.475*44/12</f>
        <v>2.5854312902389402</v>
      </c>
      <c r="AW83" s="21">
        <f>EXP(-LN(2)/2)*AW82+(1-EXP(-LN(2)/2))/(LN(2)/2)*AQ83*AT83*VLOOKUP('Données projet'!$B$10,Paramètres!$A$1:$I$89,3,0)*0.475*44/12</f>
        <v>1.464352136387618</v>
      </c>
      <c r="AX83" s="21">
        <f t="shared" si="60"/>
        <v>52.409869775220102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333</v>
      </c>
      <c r="BB83" s="12">
        <f>VLOOKUP(A83,'Données projet'!$A$87:$I$107,9,0)</f>
        <v>6.2</v>
      </c>
      <c r="BC83" s="12">
        <f t="array" ref="BC83">INDEX(BB:BB,MIN(IF(ISNUMBER(BB83:BB279),ROW(BB83:BB279),"")))</f>
        <v>6.2</v>
      </c>
      <c r="BD83" s="12">
        <f>IF('Données projet'!$A$88&gt;35,BD82+BC83-BL82,IF(A83&lt;'Données projet'!$A$88,$BA$205^A83,IF(A83='Données projet'!$A$88,'Données projet'!$B$88,BD82+BC83-BL82)))</f>
        <v>333</v>
      </c>
      <c r="BE83" s="13">
        <f>BD83*VLOOKUP('Données projet'!$B$11,Paramètres!$A$1:$I$89,3,0)*VLOOKUP('Données projet'!$B$11,Paramètres!$A$1:$I$89,5,0)</f>
        <v>316.88280000000003</v>
      </c>
      <c r="BF83" s="13">
        <f t="shared" si="91"/>
        <v>74.70439052583346</v>
      </c>
      <c r="BG83" s="20">
        <f t="shared" si="61"/>
        <v>682.01435683249326</v>
      </c>
      <c r="BH83" s="59">
        <f t="shared" si="62"/>
        <v>975.34769016582663</v>
      </c>
      <c r="BI83" s="59">
        <f ca="1">AVERAGE(OFFSET($BH$3,0,0,'Données projet'!$E$11+1,1))-AVERAGE(OFFSET($H$3,0,0,'Données projet'!$E$11+1,1))</f>
        <v>339.00921630742886</v>
      </c>
      <c r="BJ83" s="59">
        <f t="shared" si="92"/>
        <v>314.95763895978303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0.34400000000000003</v>
      </c>
      <c r="BN83" s="16">
        <f>IF(ISNA(VLOOKUP(A83,'Données projet'!$A$87:$I$107,6,0)),0%,VLOOKUP(A83,'Données projet'!$A$87:$I$107,6,0)*VLOOKUP('Données projet'!$B$11,Paramètres!$A$1:$I$89,7,0))</f>
        <v>1.72E-2</v>
      </c>
      <c r="BO83" s="16">
        <f>IF(ISNA(VLOOKUP(A83,'Données projet'!$A$87:$I$107,7,0)),0%,VLOOKUP(A83,'Données projet'!$A$87:$I$107,7,0))</f>
        <v>0.06</v>
      </c>
      <c r="BP83" s="21">
        <f>EXP(-LN(2)/35)*BP82+(1-EXP(-LN(2)/35))/(LN(2)/35)*BL83*BM83*VLOOKUP('Données projet'!$B$11,Paramètres!$A$1:$I$89,3,0)*0.475*44/12</f>
        <v>48.38829343407609</v>
      </c>
      <c r="BQ83" s="21">
        <f>EXP(-LN(2)/25)*BQ82+(1-EXP(-LN(2)/25))/(LN(2)/25)*Calculateur!BL83*Calculateur!BN83*VLOOKUP('Données projet'!$B$11,Paramètres!$A$1:$I$89,3,0)*0.475*44/12</f>
        <v>2.8093219608091489</v>
      </c>
      <c r="BR83" s="21">
        <f>EXP(-LN(2)/2)*BR82+(1-EXP(-LN(2)/2))/(LN(2)/2)*BL83*BO83*VLOOKUP('Données projet'!$B$11,Paramètres!$A$1:$I$89,3,0)*0.475*44/12</f>
        <v>1.3861704796053071</v>
      </c>
      <c r="BS83" s="22">
        <f t="shared" si="63"/>
        <v>52.583785874490545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270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269.99999999999977</v>
      </c>
      <c r="BZ83" s="13">
        <f>BY83*VLOOKUP('Données projet'!$B$12,Paramètres!$A$1:$I$89,3,0)*VLOOKUP('Données projet'!$B$12,Paramètres!$A$1:$I$89,5,0)</f>
        <v>231.65999999999983</v>
      </c>
      <c r="CA83" s="13">
        <f t="shared" si="93"/>
        <v>56.641461975682716</v>
      </c>
      <c r="CB83" s="20">
        <f t="shared" si="64"/>
        <v>502.12504627431366</v>
      </c>
      <c r="CC83" s="59">
        <f t="shared" si="65"/>
        <v>795.45837960764698</v>
      </c>
      <c r="CD83" s="59">
        <f ca="1">AVERAGE(OFFSET($CC$3,0,0,'Données projet'!$E$12+1,1))-AVERAGE(OFFSET($H$3,0,0,'Données projet'!$E$12+1,1))</f>
        <v>204.6927427024138</v>
      </c>
      <c r="CE83" s="59">
        <f t="shared" si="94"/>
        <v>115.74231133146816</v>
      </c>
      <c r="CF83" s="15">
        <f>IF(ISNA(VLOOKUP(A83,'Données projet'!$A$113:$I$133,3,0)),0,VLOOKUP(A83,'Données projet'!$A$113:$I$133,3,0))</f>
        <v>11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0.371</v>
      </c>
      <c r="CI83" s="16">
        <f>IF(ISNA(VLOOKUP(A83,'Données projet'!$A$113:$I$133,6,0)),0%,VLOOKUP(A83,'Données projet'!$A$113:$I$133,6,0)*VLOOKUP('Données projet'!$B$12,Paramètres!$A$1:$I$89,7,0))</f>
        <v>2.12E-2</v>
      </c>
      <c r="CJ83" s="16">
        <f>IF(ISNA(VLOOKUP(A83,'Données projet'!$A$113:$I$133,7,0)),0%,VLOOKUP(A83,'Données projet'!$A$113:$I$133,7,0))</f>
        <v>0.06</v>
      </c>
      <c r="CK83" s="21">
        <f>EXP(-LN(2)/35)*CK82+(1-EXP(-LN(2)/35))/(LN(2)/35)*CG83*CH83*VLOOKUP('Données projet'!$B$12,Paramètres!$A$1:$I$89,3,0)*0.475*44/12</f>
        <v>37.036070724817556</v>
      </c>
      <c r="CL83" s="21">
        <f>EXP(-LN(2)/25)*CL82+(1-EXP(-LN(2)/25))/(LN(2)/25)*Calculateur!CG83*Calculateur!CI83*VLOOKUP('Données projet'!$B$12,Paramètres!$A$1:$I$89,3,0)*0.475*44/12</f>
        <v>2.8109302579502278</v>
      </c>
      <c r="CM83" s="21">
        <f>EXP(-LN(2)/2)*CM82+(1-EXP(-LN(2)/2))/(LN(2)/2)*CG83*CJ83*VLOOKUP('Données projet'!$B$12,Paramètres!$A$1:$I$89,3,0)*0.475*44/12</f>
        <v>1.2393486443040558</v>
      </c>
      <c r="CN83" s="22">
        <f t="shared" si="66"/>
        <v>41.08634962707184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204.15575418077316</v>
      </c>
      <c r="CZ83" s="59">
        <f t="shared" si="96"/>
        <v>473.73726605265045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29.109091294920887</v>
      </c>
      <c r="DG83" s="21">
        <f>EXP(-LN(2)/25)*DG82+(1-EXP(-LN(2)/25))/(LN(2)/25)*Calculateur!DB83*Calculateur!DD83*VLOOKUP('Données projet'!$B$13,Paramètres!$A$1:$I$89,3,0)*0.475*44/12</f>
        <v>11.476981153039276</v>
      </c>
      <c r="DH83" s="21">
        <f>EXP(-LN(2)/2)*DH82+(1-EXP(-LN(2)/2))/(LN(2)/2)*DB83*DE83*VLOOKUP('Données projet'!$B$13,Paramètres!$A$1:$I$89,3,0)*0.475*44/12</f>
        <v>1.605214040082551E-7</v>
      </c>
      <c r="DI83" s="22">
        <f t="shared" si="69"/>
        <v>40.586072608481565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216.83230520434313</v>
      </c>
      <c r="T84" s="59">
        <f t="shared" si="88"/>
        <v>275.41891707278205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63.506290298205748</v>
      </c>
      <c r="AA84" s="21">
        <f>EXP(-LN(2)/25)*AA83+(1-EXP(-LN(2)/25))/(LN(2)/25)*Calculateur!V84*Calculateur!X84*VLOOKUP('Données projet'!$B$9,Paramètres!$A$1:$I$89,3,0)*0.475*44/12</f>
        <v>9.30732250078362</v>
      </c>
      <c r="AB84" s="21">
        <f>EXP(-LN(2)/2)*AB83+(1-EXP(-LN(2)/2))/(LN(2)/2)*V84*Y84*VLOOKUP('Données projet'!$B$9,Paramètres!$A$1:$I$89,3,0)*0.475*44/12</f>
        <v>2.1902997205691446E-4</v>
      </c>
      <c r="AC84" s="22">
        <f t="shared" si="57"/>
        <v>72.813831828961426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249.24119999999988</v>
      </c>
      <c r="AK84" s="13">
        <f t="shared" si="89"/>
        <v>60.42342651744687</v>
      </c>
      <c r="AL84" s="20">
        <f t="shared" si="58"/>
        <v>539.3325578512198</v>
      </c>
      <c r="AM84" s="59">
        <f t="shared" si="59"/>
        <v>832.66589118455317</v>
      </c>
      <c r="AN84" s="59">
        <f ca="1">AVERAGE(OFFSET($AM$3,0,0,'Données projet'!$E$10+1,1))-AVERAGE(OFFSET($H$3,0,0,'Données projet'!$E$10+1,1))</f>
        <v>292.42154837691379</v>
      </c>
      <c r="AO84" s="59">
        <f t="shared" si="90"/>
        <v>193.18009444354601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47.411774552037734</v>
      </c>
      <c r="AV84" s="21">
        <f>EXP(-LN(2)/25)*AV83+(1-EXP(-LN(2)/25))/(LN(2)/25)*Calculateur!AQ84*Calculateur!AS84*VLOOKUP('Données projet'!$B$10,Paramètres!$A$1:$I$89,3,0)*0.475*44/12</f>
        <v>2.5147325356454338</v>
      </c>
      <c r="AW84" s="21">
        <f>EXP(-LN(2)/2)*AW83+(1-EXP(-LN(2)/2))/(LN(2)/2)*AQ84*AT84*VLOOKUP('Données projet'!$B$10,Paramètres!$A$1:$I$89,3,0)*0.475*44/12</f>
        <v>1.0354533256846929</v>
      </c>
      <c r="AX84" s="21">
        <f t="shared" si="60"/>
        <v>50.961960413367862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</v>
      </c>
      <c r="BD84" s="12">
        <f>IF('Données projet'!$A$88&gt;35,BD83+BC84-BL83,IF(A84&lt;'Données projet'!$A$88,$BA$205^A84,IF(A84='Données projet'!$A$88,'Données projet'!$B$88,BD83+BC84-BL83)))</f>
        <v>318</v>
      </c>
      <c r="BE84" s="13">
        <f>BD84*VLOOKUP('Données projet'!$B$11,Paramètres!$A$1:$I$89,3,0)*VLOOKUP('Données projet'!$B$11,Paramètres!$A$1:$I$89,5,0)</f>
        <v>302.60879999999997</v>
      </c>
      <c r="BF84" s="13">
        <f t="shared" si="91"/>
        <v>71.723092260023819</v>
      </c>
      <c r="BG84" s="20">
        <f t="shared" si="61"/>
        <v>651.96137901954137</v>
      </c>
      <c r="BH84" s="59">
        <f t="shared" si="62"/>
        <v>945.29471235287474</v>
      </c>
      <c r="BI84" s="59">
        <f ca="1">AVERAGE(OFFSET($BH$3,0,0,'Données projet'!$E$11+1,1))-AVERAGE(OFFSET($H$3,0,0,'Données projet'!$E$11+1,1))</f>
        <v>339.00921630742886</v>
      </c>
      <c r="BJ84" s="59">
        <f t="shared" si="92"/>
        <v>314.95763895978303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47.439428513778594</v>
      </c>
      <c r="BQ84" s="21">
        <f>EXP(-LN(2)/25)*BQ83+(1-EXP(-LN(2)/25))/(LN(2)/25)*Calculateur!BL84*Calculateur!BN84*VLOOKUP('Données projet'!$B$11,Paramètres!$A$1:$I$89,3,0)*0.475*44/12</f>
        <v>2.7325009040550015</v>
      </c>
      <c r="BR84" s="21">
        <f>EXP(-LN(2)/2)*BR83+(1-EXP(-LN(2)/2))/(LN(2)/2)*BL84*BO84*VLOOKUP('Données projet'!$B$11,Paramètres!$A$1:$I$89,3,0)*0.475*44/12</f>
        <v>0.98017054600952158</v>
      </c>
      <c r="BS84" s="22">
        <f t="shared" si="63"/>
        <v>51.152099963843121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7</v>
      </c>
      <c r="BY84" s="12">
        <f>IF('Données projet'!$A$114&gt;35,BY83+BX84-CG83,IF(A84&lt;'Données projet'!$A$114,$BV$205^A84,IF(A84='Données projet'!$A$114,'Données projet'!$B$114,BY83+BX84-CG83)))</f>
        <v>255.99999999999977</v>
      </c>
      <c r="BZ84" s="13">
        <f>BY84*VLOOKUP('Données projet'!$B$12,Paramètres!$A$1:$I$89,3,0)*VLOOKUP('Données projet'!$B$12,Paramètres!$A$1:$I$89,5,0)</f>
        <v>219.64799999999985</v>
      </c>
      <c r="CA84" s="13">
        <f t="shared" si="93"/>
        <v>54.03837313132567</v>
      </c>
      <c r="CB84" s="20">
        <f t="shared" si="64"/>
        <v>476.67043320372522</v>
      </c>
      <c r="CC84" s="59">
        <f t="shared" si="65"/>
        <v>770.00376653705848</v>
      </c>
      <c r="CD84" s="59">
        <f ca="1">AVERAGE(OFFSET($CC$3,0,0,'Données projet'!$E$12+1,1))-AVERAGE(OFFSET($H$3,0,0,'Données projet'!$E$12+1,1))</f>
        <v>204.6927427024138</v>
      </c>
      <c r="CE84" s="59">
        <f t="shared" si="94"/>
        <v>115.74231133146816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36.309815967676471</v>
      </c>
      <c r="CL84" s="21">
        <f>EXP(-LN(2)/25)*CL83+(1-EXP(-LN(2)/25))/(LN(2)/25)*Calculateur!CG84*Calculateur!CI84*VLOOKUP('Données projet'!$B$12,Paramètres!$A$1:$I$89,3,0)*0.475*44/12</f>
        <v>2.7340652222261812</v>
      </c>
      <c r="CM84" s="21">
        <f>EXP(-LN(2)/2)*CM83+(1-EXP(-LN(2)/2))/(LN(2)/2)*CG84*CJ84*VLOOKUP('Données projet'!$B$12,Paramètres!$A$1:$I$89,3,0)*0.475*44/12</f>
        <v>0.87635183064175237</v>
      </c>
      <c r="CN84" s="22">
        <f t="shared" si="66"/>
        <v>39.920233020544401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204.15575418077316</v>
      </c>
      <c r="CZ84" s="59">
        <f t="shared" si="96"/>
        <v>473.73726605265045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28.53827976942004</v>
      </c>
      <c r="DG84" s="21">
        <f>EXP(-LN(2)/25)*DG83+(1-EXP(-LN(2)/25))/(LN(2)/25)*Calculateur!DB84*Calculateur!DD84*VLOOKUP('Données projet'!$B$13,Paramètres!$A$1:$I$89,3,0)*0.475*44/12</f>
        <v>11.163142499861209</v>
      </c>
      <c r="DH84" s="21">
        <f>EXP(-LN(2)/2)*DH83+(1-EXP(-LN(2)/2))/(LN(2)/2)*DB84*DE84*VLOOKUP('Données projet'!$B$13,Paramètres!$A$1:$I$89,3,0)*0.475*44/12</f>
        <v>1.1350577329982263E-7</v>
      </c>
      <c r="DI84" s="22">
        <f t="shared" si="69"/>
        <v>39.701422382787023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216.83230520434313</v>
      </c>
      <c r="T85" s="59">
        <f t="shared" si="88"/>
        <v>275.41891707278205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62.260970680470251</v>
      </c>
      <c r="AA85" s="21">
        <f>EXP(-LN(2)/25)*AA84+(1-EXP(-LN(2)/25))/(LN(2)/25)*Calculateur!V85*Calculateur!X85*VLOOKUP('Données projet'!$B$9,Paramètres!$A$1:$I$89,3,0)*0.475*44/12</f>
        <v>9.0528132775488732</v>
      </c>
      <c r="AB85" s="21">
        <f>EXP(-LN(2)/2)*AB84+(1-EXP(-LN(2)/2))/(LN(2)/2)*V85*Y85*VLOOKUP('Données projet'!$B$9,Paramètres!$A$1:$I$89,3,0)*0.475*44/12</f>
        <v>1.5487757852454423E-4</v>
      </c>
      <c r="AC85" s="22">
        <f t="shared" si="57"/>
        <v>71.313938835597654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255.12239999999991</v>
      </c>
      <c r="AK85" s="13">
        <f t="shared" si="89"/>
        <v>61.681527554261443</v>
      </c>
      <c r="AL85" s="20">
        <f t="shared" si="58"/>
        <v>551.7668404903385</v>
      </c>
      <c r="AM85" s="59">
        <f t="shared" si="59"/>
        <v>845.10017382367187</v>
      </c>
      <c r="AN85" s="59">
        <f ca="1">AVERAGE(OFFSET($AM$3,0,0,'Données projet'!$E$10+1,1))-AVERAGE(OFFSET($H$3,0,0,'Données projet'!$E$10+1,1))</f>
        <v>292.42154837691379</v>
      </c>
      <c r="AO85" s="59">
        <f t="shared" si="90"/>
        <v>193.18009444354601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46.4820585713993</v>
      </c>
      <c r="AV85" s="21">
        <f>EXP(-LN(2)/25)*AV84+(1-EXP(-LN(2)/25))/(LN(2)/25)*Calculateur!AQ85*Calculateur!AS85*VLOOKUP('Données projet'!$B$10,Paramètres!$A$1:$I$89,3,0)*0.475*44/12</f>
        <v>2.4459670422141726</v>
      </c>
      <c r="AW85" s="21">
        <f>EXP(-LN(2)/2)*AW84+(1-EXP(-LN(2)/2))/(LN(2)/2)*AQ85*AT85*VLOOKUP('Données projet'!$B$10,Paramètres!$A$1:$I$89,3,0)*0.475*44/12</f>
        <v>0.7321760681938092</v>
      </c>
      <c r="AX85" s="21">
        <f t="shared" si="60"/>
        <v>49.66020168180728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</v>
      </c>
      <c r="BD85" s="12">
        <f>IF('Données projet'!$A$88&gt;35,BD84+BC85-BL84,IF(A85&lt;'Données projet'!$A$88,$BA$205^A85,IF(A85='Données projet'!$A$88,'Données projet'!$B$88,BD84+BC85-BL84)))</f>
        <v>324</v>
      </c>
      <c r="BE85" s="13">
        <f>BD85*VLOOKUP('Données projet'!$B$11,Paramètres!$A$1:$I$89,3,0)*VLOOKUP('Données projet'!$B$11,Paramètres!$A$1:$I$89,5,0)</f>
        <v>308.3184</v>
      </c>
      <c r="BF85" s="13">
        <f t="shared" si="91"/>
        <v>72.917534066293882</v>
      </c>
      <c r="BG85" s="20">
        <f t="shared" si="61"/>
        <v>663.98591849879517</v>
      </c>
      <c r="BH85" s="59">
        <f t="shared" si="62"/>
        <v>957.31925183212843</v>
      </c>
      <c r="BI85" s="59">
        <f ca="1">AVERAGE(OFFSET($BH$3,0,0,'Données projet'!$E$11+1,1))-AVERAGE(OFFSET($H$3,0,0,'Données projet'!$E$11+1,1))</f>
        <v>339.00921630742886</v>
      </c>
      <c r="BJ85" s="59">
        <f t="shared" si="92"/>
        <v>314.95763895978303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46.509170255817679</v>
      </c>
      <c r="BQ85" s="21">
        <f>EXP(-LN(2)/25)*BQ84+(1-EXP(-LN(2)/25))/(LN(2)/25)*Calculateur!BL85*Calculateur!BN85*VLOOKUP('Données projet'!$B$11,Paramètres!$A$1:$I$89,3,0)*0.475*44/12</f>
        <v>2.6577805231376401</v>
      </c>
      <c r="BR85" s="21">
        <f>EXP(-LN(2)/2)*BR84+(1-EXP(-LN(2)/2))/(LN(2)/2)*BL85*BO85*VLOOKUP('Données projet'!$B$11,Paramètres!$A$1:$I$89,3,0)*0.475*44/12</f>
        <v>0.69308523980265369</v>
      </c>
      <c r="BS85" s="22">
        <f t="shared" si="63"/>
        <v>49.860036018757974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7</v>
      </c>
      <c r="BY85" s="12">
        <f>IF('Données projet'!$A$114&gt;35,BY84+BX85-CG84,IF(A85&lt;'Données projet'!$A$114,$BV$205^A85,IF(A85='Données projet'!$A$114,'Données projet'!$B$114,BY84+BX85-CG84)))</f>
        <v>262.99999999999977</v>
      </c>
      <c r="BZ85" s="13">
        <f>BY85*VLOOKUP('Données projet'!$B$12,Paramètres!$A$1:$I$89,3,0)*VLOOKUP('Données projet'!$B$12,Paramètres!$A$1:$I$89,5,0)</f>
        <v>225.65399999999983</v>
      </c>
      <c r="CA85" s="13">
        <f t="shared" si="93"/>
        <v>55.341933960508968</v>
      </c>
      <c r="CB85" s="20">
        <f t="shared" si="64"/>
        <v>489.40125164788623</v>
      </c>
      <c r="CC85" s="59">
        <f t="shared" si="65"/>
        <v>782.73458498121954</v>
      </c>
      <c r="CD85" s="59">
        <f ca="1">AVERAGE(OFFSET($CC$3,0,0,'Données projet'!$E$12+1,1))-AVERAGE(OFFSET($H$3,0,0,'Données projet'!$E$12+1,1))</f>
        <v>204.6927427024138</v>
      </c>
      <c r="CE85" s="59">
        <f t="shared" si="94"/>
        <v>115.74231133146816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35.597802623351264</v>
      </c>
      <c r="CL85" s="21">
        <f>EXP(-LN(2)/25)*CL84+(1-EXP(-LN(2)/25))/(LN(2)/25)*Calculateur!CG85*Calculateur!CI85*VLOOKUP('Données projet'!$B$12,Paramètres!$A$1:$I$89,3,0)*0.475*44/12</f>
        <v>2.6593020649461652</v>
      </c>
      <c r="CM85" s="21">
        <f>EXP(-LN(2)/2)*CM84+(1-EXP(-LN(2)/2))/(LN(2)/2)*CG85*CJ85*VLOOKUP('Données projet'!$B$12,Paramètres!$A$1:$I$89,3,0)*0.475*44/12</f>
        <v>0.619674322152028</v>
      </c>
      <c r="CN85" s="22">
        <f t="shared" si="66"/>
        <v>38.876779010449461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204.15575418077316</v>
      </c>
      <c r="CZ85" s="59">
        <f t="shared" si="96"/>
        <v>473.73726605265045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27.978661509773609</v>
      </c>
      <c r="DG85" s="21">
        <f>EXP(-LN(2)/25)*DG84+(1-EXP(-LN(2)/25))/(LN(2)/25)*Calculateur!DB85*Calculateur!DD85*VLOOKUP('Données projet'!$B$13,Paramètres!$A$1:$I$89,3,0)*0.475*44/12</f>
        <v>10.857885781158354</v>
      </c>
      <c r="DH85" s="21">
        <f>EXP(-LN(2)/2)*DH84+(1-EXP(-LN(2)/2))/(LN(2)/2)*DB85*DE85*VLOOKUP('Données projet'!$B$13,Paramètres!$A$1:$I$89,3,0)*0.475*44/12</f>
        <v>8.0260702004127549E-8</v>
      </c>
      <c r="DI85" s="22">
        <f t="shared" si="69"/>
        <v>38.836547371192665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216.83230520434313</v>
      </c>
      <c r="T86" s="59">
        <f t="shared" si="88"/>
        <v>275.41891707278205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61.040071020868581</v>
      </c>
      <c r="AA86" s="21">
        <f>EXP(-LN(2)/25)*AA85+(1-EXP(-LN(2)/25))/(LN(2)/25)*Calculateur!V86*Calculateur!X86*VLOOKUP('Données projet'!$B$9,Paramètres!$A$1:$I$89,3,0)*0.475*44/12</f>
        <v>8.8052636224075389</v>
      </c>
      <c r="AB86" s="21">
        <f>EXP(-LN(2)/2)*AB85+(1-EXP(-LN(2)/2))/(LN(2)/2)*V86*Y86*VLOOKUP('Données projet'!$B$9,Paramètres!$A$1:$I$89,3,0)*0.475*44/12</f>
        <v>1.0951498602845723E-4</v>
      </c>
      <c r="AC86" s="22">
        <f t="shared" si="57"/>
        <v>69.84544415826214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261.00359999999995</v>
      </c>
      <c r="AK86" s="13">
        <f t="shared" si="89"/>
        <v>62.936256929541173</v>
      </c>
      <c r="AL86" s="20">
        <f t="shared" si="58"/>
        <v>564.19525081895074</v>
      </c>
      <c r="AM86" s="59">
        <f t="shared" si="59"/>
        <v>857.52858415228411</v>
      </c>
      <c r="AN86" s="59">
        <f ca="1">AVERAGE(OFFSET($AM$3,0,0,'Données projet'!$E$10+1,1))-AVERAGE(OFFSET($H$3,0,0,'Données projet'!$E$10+1,1))</f>
        <v>292.42154837691379</v>
      </c>
      <c r="AO86" s="59">
        <f t="shared" si="90"/>
        <v>193.18009444354601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45.570573754070431</v>
      </c>
      <c r="AV86" s="21">
        <f>EXP(-LN(2)/25)*AV85+(1-EXP(-LN(2)/25))/(LN(2)/25)*Calculateur!AQ86*Calculateur!AS86*VLOOKUP('Données projet'!$B$10,Paramètres!$A$1:$I$89,3,0)*0.475*44/12</f>
        <v>2.3790819448170097</v>
      </c>
      <c r="AW86" s="21">
        <f>EXP(-LN(2)/2)*AW85+(1-EXP(-LN(2)/2))/(LN(2)/2)*AQ86*AT86*VLOOKUP('Données projet'!$B$10,Paramètres!$A$1:$I$89,3,0)*0.475*44/12</f>
        <v>0.51772666284234659</v>
      </c>
      <c r="AX86" s="21">
        <f t="shared" si="60"/>
        <v>48.46738236172979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</v>
      </c>
      <c r="BD86" s="12">
        <f>IF('Données projet'!$A$88&gt;35,BD85+BC86-BL85,IF(A86&lt;'Données projet'!$A$88,$BA$205^A86,IF(A86='Données projet'!$A$88,'Données projet'!$B$88,BD85+BC86-BL85)))</f>
        <v>330</v>
      </c>
      <c r="BE86" s="13">
        <f>BD86*VLOOKUP('Données projet'!$B$11,Paramètres!$A$1:$I$89,3,0)*VLOOKUP('Données projet'!$B$11,Paramètres!$A$1:$I$89,5,0)</f>
        <v>314.02799999999996</v>
      </c>
      <c r="BF86" s="13">
        <f t="shared" si="91"/>
        <v>74.109403804428752</v>
      </c>
      <c r="BG86" s="20">
        <f t="shared" si="61"/>
        <v>676.00597829271317</v>
      </c>
      <c r="BH86" s="59">
        <f t="shared" si="62"/>
        <v>969.33931162604654</v>
      </c>
      <c r="BI86" s="59">
        <f ca="1">AVERAGE(OFFSET($BH$3,0,0,'Données projet'!$E$11+1,1))-AVERAGE(OFFSET($H$3,0,0,'Données projet'!$E$11+1,1))</f>
        <v>339.00921630742886</v>
      </c>
      <c r="BJ86" s="59">
        <f t="shared" si="92"/>
        <v>314.95763895978303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45.597153794893863</v>
      </c>
      <c r="BQ86" s="21">
        <f>EXP(-LN(2)/25)*BQ85+(1-EXP(-LN(2)/25))/(LN(2)/25)*Calculateur!BL86*Calculateur!BN86*VLOOKUP('Données projet'!$B$11,Paramètres!$A$1:$I$89,3,0)*0.475*44/12</f>
        <v>2.5851033749658381</v>
      </c>
      <c r="BR86" s="21">
        <f>EXP(-LN(2)/2)*BR85+(1-EXP(-LN(2)/2))/(LN(2)/2)*BL86*BO86*VLOOKUP('Données projet'!$B$11,Paramètres!$A$1:$I$89,3,0)*0.475*44/12</f>
        <v>0.4900852730047609</v>
      </c>
      <c r="BS86" s="22">
        <f t="shared" si="63"/>
        <v>48.672342442864462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7</v>
      </c>
      <c r="BY86" s="12">
        <f>IF('Données projet'!$A$114&gt;35,BY85+BX86-CG85,IF(A86&lt;'Données projet'!$A$114,$BV$205^A86,IF(A86='Données projet'!$A$114,'Données projet'!$B$114,BY85+BX86-CG85)))</f>
        <v>269.99999999999977</v>
      </c>
      <c r="BZ86" s="13">
        <f>BY86*VLOOKUP('Données projet'!$B$12,Paramètres!$A$1:$I$89,3,0)*VLOOKUP('Données projet'!$B$12,Paramètres!$A$1:$I$89,5,0)</f>
        <v>231.65999999999983</v>
      </c>
      <c r="CA86" s="13">
        <f t="shared" si="93"/>
        <v>56.641461975682716</v>
      </c>
      <c r="CB86" s="20">
        <f t="shared" si="64"/>
        <v>502.12504627431366</v>
      </c>
      <c r="CC86" s="59">
        <f t="shared" si="65"/>
        <v>795.45837960764698</v>
      </c>
      <c r="CD86" s="59">
        <f ca="1">AVERAGE(OFFSET($CC$3,0,0,'Données projet'!$E$12+1,1))-AVERAGE(OFFSET($H$3,0,0,'Données projet'!$E$12+1,1))</f>
        <v>204.6927427024138</v>
      </c>
      <c r="CE86" s="59">
        <f t="shared" si="94"/>
        <v>115.74231133146816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34.899751426423016</v>
      </c>
      <c r="CL86" s="21">
        <f>EXP(-LN(2)/25)*CL85+(1-EXP(-LN(2)/25))/(LN(2)/25)*Calculateur!CG86*Calculateur!CI86*VLOOKUP('Données projet'!$B$12,Paramètres!$A$1:$I$89,3,0)*0.475*44/12</f>
        <v>2.5865833101335944</v>
      </c>
      <c r="CM86" s="21">
        <f>EXP(-LN(2)/2)*CM85+(1-EXP(-LN(2)/2))/(LN(2)/2)*CG86*CJ86*VLOOKUP('Données projet'!$B$12,Paramètres!$A$1:$I$89,3,0)*0.475*44/12</f>
        <v>0.43817591532087624</v>
      </c>
      <c r="CN86" s="22">
        <f t="shared" si="66"/>
        <v>37.92451065187749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204.15575418077316</v>
      </c>
      <c r="CZ86" s="59">
        <f t="shared" si="96"/>
        <v>473.73726605265045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27.43001702286541</v>
      </c>
      <c r="DG86" s="21">
        <f>EXP(-LN(2)/25)*DG85+(1-EXP(-LN(2)/25))/(LN(2)/25)*Calculateur!DB86*Calculateur!DD86*VLOOKUP('Données projet'!$B$13,Paramètres!$A$1:$I$89,3,0)*0.475*44/12</f>
        <v>10.560976323481182</v>
      </c>
      <c r="DH86" s="21">
        <f>EXP(-LN(2)/2)*DH85+(1-EXP(-LN(2)/2))/(LN(2)/2)*DB86*DE86*VLOOKUP('Données projet'!$B$13,Paramètres!$A$1:$I$89,3,0)*0.475*44/12</f>
        <v>5.6752886649911316E-8</v>
      </c>
      <c r="DI86" s="22">
        <f t="shared" si="69"/>
        <v>37.99099340309948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216.83230520434313</v>
      </c>
      <c r="T87" s="59">
        <f t="shared" si="88"/>
        <v>275.41891707278205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59.843112458916437</v>
      </c>
      <c r="AA87" s="21">
        <f>EXP(-LN(2)/25)*AA86+(1-EXP(-LN(2)/25))/(LN(2)/25)*Calculateur!V87*Calculateur!X87*VLOOKUP('Données projet'!$B$9,Paramètres!$A$1:$I$89,3,0)*0.475*44/12</f>
        <v>8.5644832256041159</v>
      </c>
      <c r="AB87" s="21">
        <f>EXP(-LN(2)/2)*AB86+(1-EXP(-LN(2)/2))/(LN(2)/2)*V87*Y87*VLOOKUP('Données projet'!$B$9,Paramètres!$A$1:$I$89,3,0)*0.475*44/12</f>
        <v>7.7438789262272115E-5</v>
      </c>
      <c r="AC87" s="22">
        <f t="shared" si="57"/>
        <v>68.40767312330982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266.88479999999993</v>
      </c>
      <c r="AK87" s="13">
        <f t="shared" si="89"/>
        <v>64.18769936370569</v>
      </c>
      <c r="AL87" s="20">
        <f t="shared" si="58"/>
        <v>576.61793639178723</v>
      </c>
      <c r="AM87" s="59">
        <f t="shared" si="59"/>
        <v>869.95126972512048</v>
      </c>
      <c r="AN87" s="59">
        <f ca="1">AVERAGE(OFFSET($AM$3,0,0,'Données projet'!$E$10+1,1))-AVERAGE(OFFSET($H$3,0,0,'Données projet'!$E$10+1,1))</f>
        <v>292.42154837691379</v>
      </c>
      <c r="AO87" s="59">
        <f t="shared" si="90"/>
        <v>193.18009444354601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44.676962598058537</v>
      </c>
      <c r="AV87" s="21">
        <f>EXP(-LN(2)/25)*AV86+(1-EXP(-LN(2)/25))/(LN(2)/25)*Calculateur!AQ87*Calculateur!AS87*VLOOKUP('Données projet'!$B$10,Paramètres!$A$1:$I$89,3,0)*0.475*44/12</f>
        <v>2.3140258239255065</v>
      </c>
      <c r="AW87" s="21">
        <f>EXP(-LN(2)/2)*AW86+(1-EXP(-LN(2)/2))/(LN(2)/2)*AQ87*AT87*VLOOKUP('Données projet'!$B$10,Paramètres!$A$1:$I$89,3,0)*0.475*44/12</f>
        <v>0.36608803409690466</v>
      </c>
      <c r="AX87" s="21">
        <f t="shared" si="60"/>
        <v>47.357076456080947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</v>
      </c>
      <c r="BD87" s="12">
        <f>IF('Données projet'!$A$88&gt;35,BD86+BC87-BL86,IF(A87&lt;'Données projet'!$A$88,$BA$205^A87,IF(A87='Données projet'!$A$88,'Données projet'!$B$88,BD86+BC87-BL86)))</f>
        <v>336</v>
      </c>
      <c r="BE87" s="13">
        <f>BD87*VLOOKUP('Données projet'!$B$11,Paramètres!$A$1:$I$89,3,0)*VLOOKUP('Données projet'!$B$11,Paramètres!$A$1:$I$89,5,0)</f>
        <v>319.73760000000004</v>
      </c>
      <c r="BF87" s="13">
        <f t="shared" si="91"/>
        <v>75.298753633323187</v>
      </c>
      <c r="BG87" s="20">
        <f t="shared" si="61"/>
        <v>688.02164924470469</v>
      </c>
      <c r="BH87" s="59">
        <f t="shared" si="62"/>
        <v>981.35498257803806</v>
      </c>
      <c r="BI87" s="59">
        <f ca="1">AVERAGE(OFFSET($BH$3,0,0,'Données projet'!$E$11+1,1))-AVERAGE(OFFSET($H$3,0,0,'Données projet'!$E$11+1,1))</f>
        <v>339.00921630742886</v>
      </c>
      <c r="BJ87" s="59">
        <f t="shared" si="92"/>
        <v>314.95763895978303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44.703021420493648</v>
      </c>
      <c r="BQ87" s="21">
        <f>EXP(-LN(2)/25)*BQ86+(1-EXP(-LN(2)/25))/(LN(2)/25)*Calculateur!BL87*Calculateur!BN87*VLOOKUP('Données projet'!$B$11,Paramètres!$A$1:$I$89,3,0)*0.475*44/12</f>
        <v>2.5144135872327191</v>
      </c>
      <c r="BR87" s="21">
        <f>EXP(-LN(2)/2)*BR86+(1-EXP(-LN(2)/2))/(LN(2)/2)*BL87*BO87*VLOOKUP('Données projet'!$B$11,Paramètres!$A$1:$I$89,3,0)*0.475*44/12</f>
        <v>0.3465426199013269</v>
      </c>
      <c r="BS87" s="22">
        <f t="shared" si="63"/>
        <v>47.563977627627693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7</v>
      </c>
      <c r="BY87" s="12">
        <f>IF('Données projet'!$A$114&gt;35,BY86+BX87-CG86,IF(A87&lt;'Données projet'!$A$114,$BV$205^A87,IF(A87='Données projet'!$A$114,'Données projet'!$B$114,BY86+BX87-CG86)))</f>
        <v>276.99999999999977</v>
      </c>
      <c r="BZ87" s="13">
        <f>BY87*VLOOKUP('Données projet'!$B$12,Paramètres!$A$1:$I$89,3,0)*VLOOKUP('Données projet'!$B$12,Paramètres!$A$1:$I$89,5,0)</f>
        <v>237.66599999999983</v>
      </c>
      <c r="CA87" s="13">
        <f t="shared" si="93"/>
        <v>57.937073751904528</v>
      </c>
      <c r="CB87" s="20">
        <f t="shared" si="64"/>
        <v>514.84202011790001</v>
      </c>
      <c r="CC87" s="59">
        <f t="shared" si="65"/>
        <v>808.17535345123338</v>
      </c>
      <c r="CD87" s="59">
        <f ca="1">AVERAGE(OFFSET($CC$3,0,0,'Données projet'!$E$12+1,1))-AVERAGE(OFFSET($H$3,0,0,'Données projet'!$E$12+1,1))</f>
        <v>204.6927427024138</v>
      </c>
      <c r="CE87" s="59">
        <f t="shared" si="94"/>
        <v>115.74231133146816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34.21538858769734</v>
      </c>
      <c r="CL87" s="21">
        <f>EXP(-LN(2)/25)*CL86+(1-EXP(-LN(2)/25))/(LN(2)/25)*Calculateur!CG87*Calculateur!CI87*VLOOKUP('Données projet'!$B$12,Paramètres!$A$1:$I$89,3,0)*0.475*44/12</f>
        <v>2.5158530534954866</v>
      </c>
      <c r="CM87" s="21">
        <f>EXP(-LN(2)/2)*CM86+(1-EXP(-LN(2)/2))/(LN(2)/2)*CG87*CJ87*VLOOKUP('Données projet'!$B$12,Paramètres!$A$1:$I$89,3,0)*0.475*44/12</f>
        <v>0.30983716107601406</v>
      </c>
      <c r="CN87" s="22">
        <f t="shared" si="66"/>
        <v>37.041078802268835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204.15575418077316</v>
      </c>
      <c r="CZ87" s="59">
        <f t="shared" si="96"/>
        <v>473.73726605265045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26.89213111970539</v>
      </c>
      <c r="DG87" s="21">
        <f>EXP(-LN(2)/25)*DG86+(1-EXP(-LN(2)/25))/(LN(2)/25)*Calculateur!DB87*Calculateur!DD87*VLOOKUP('Données projet'!$B$13,Paramètres!$A$1:$I$89,3,0)*0.475*44/12</f>
        <v>10.272185870537982</v>
      </c>
      <c r="DH87" s="21">
        <f>EXP(-LN(2)/2)*DH86+(1-EXP(-LN(2)/2))/(LN(2)/2)*DB87*DE87*VLOOKUP('Données projet'!$B$13,Paramètres!$A$1:$I$89,3,0)*0.475*44/12</f>
        <v>4.0130351002063775E-8</v>
      </c>
      <c r="DI87" s="22">
        <f t="shared" si="69"/>
        <v>37.164317030373724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216.83230520434313</v>
      </c>
      <c r="T88" s="59">
        <f t="shared" si="88"/>
        <v>275.41891707278205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58.66962552429154</v>
      </c>
      <c r="AA88" s="21">
        <f>EXP(-LN(2)/25)*AA87+(1-EXP(-LN(2)/25))/(LN(2)/25)*Calculateur!V88*Calculateur!X88*VLOOKUP('Données projet'!$B$9,Paramètres!$A$1:$I$89,3,0)*0.475*44/12</f>
        <v>8.3302869814133729</v>
      </c>
      <c r="AB88" s="21">
        <f>EXP(-LN(2)/2)*AB87+(1-EXP(-LN(2)/2))/(LN(2)/2)*V88*Y88*VLOOKUP('Données projet'!$B$9,Paramètres!$A$1:$I$89,3,0)*0.475*44/12</f>
        <v>5.4757493014228615E-5</v>
      </c>
      <c r="AC88" s="22">
        <f t="shared" si="57"/>
        <v>66.999967263197931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272.76599999999996</v>
      </c>
      <c r="AK88" s="13">
        <f t="shared" si="89"/>
        <v>65.43593563008757</v>
      </c>
      <c r="AL88" s="20">
        <f t="shared" si="58"/>
        <v>589.03503788906914</v>
      </c>
      <c r="AM88" s="59">
        <f t="shared" si="59"/>
        <v>882.3683712224024</v>
      </c>
      <c r="AN88" s="59">
        <f ca="1">AVERAGE(OFFSET($AM$3,0,0,'Données projet'!$E$10+1,1))-AVERAGE(OFFSET($H$3,0,0,'Données projet'!$E$10+1,1))</f>
        <v>292.42154837691379</v>
      </c>
      <c r="AO88" s="59">
        <f t="shared" si="90"/>
        <v>193.18009444354601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0.34400000000000003</v>
      </c>
      <c r="AS88" s="16">
        <f>IF(ISNA(VLOOKUP(A88,'Données projet'!$A$61:$I$81,6,0)),0%,VLOOKUP(A88,'Données projet'!$A$61:$I$81,6,0)*VLOOKUP('Données projet'!$B$10,Paramètres!$A$1:$I$89,7,0))</f>
        <v>1.72E-2</v>
      </c>
      <c r="AT88" s="16">
        <f>IF(ISNA(VLOOKUP(A88,'Données projet'!$A$61:$I$81,7,0)),0%,VLOOKUP(A88,'Données projet'!$A$61:$I$81,7,0))</f>
        <v>0.06</v>
      </c>
      <c r="AU88" s="21">
        <f>EXP(-LN(2)/35)*AU87+(1-EXP(-LN(2)/35))/(LN(2)/35)*AQ88*AR88*VLOOKUP('Données projet'!$B$10,Paramètres!$A$1:$I$89,3,0)*0.475*44/12</f>
        <v>51.898595485817538</v>
      </c>
      <c r="AV88" s="21">
        <f>EXP(-LN(2)/25)*AV87+(1-EXP(-LN(2)/25))/(LN(2)/25)*Calculateur!AQ88*Calculateur!AS88*VLOOKUP('Données projet'!$B$10,Paramètres!$A$1:$I$89,3,0)*0.475*44/12</f>
        <v>2.6540405191557235</v>
      </c>
      <c r="AW88" s="21">
        <f>EXP(-LN(2)/2)*AW87+(1-EXP(-LN(2)/2))/(LN(2)/2)*AQ88*AT88*VLOOKUP('Données projet'!$B$10,Paramètres!$A$1:$I$89,3,0)*0.475*44/12</f>
        <v>1.4643510585976016</v>
      </c>
      <c r="AX88" s="21">
        <f t="shared" si="60"/>
        <v>56.016987063570859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342</v>
      </c>
      <c r="BB88" s="12">
        <f>VLOOKUP(A88,'Données projet'!$A$87:$I$107,9,0)</f>
        <v>6</v>
      </c>
      <c r="BC88" s="12">
        <f t="array" ref="BC88">INDEX(BB:BB,MIN(IF(ISNUMBER(BB88:BB284),ROW(BB88:BB284),"")))</f>
        <v>6</v>
      </c>
      <c r="BD88" s="12">
        <f>IF('Données projet'!$A$88&gt;35,BD87+BC88-BL87,IF(A88&lt;'Données projet'!$A$88,$BA$205^A88,IF(A88='Données projet'!$A$88,'Données projet'!$B$88,BD87+BC88-BL87)))</f>
        <v>342</v>
      </c>
      <c r="BE88" s="13">
        <f>BD88*VLOOKUP('Données projet'!$B$11,Paramètres!$A$1:$I$89,3,0)*VLOOKUP('Données projet'!$B$11,Paramètres!$A$1:$I$89,5,0)</f>
        <v>325.44720000000001</v>
      </c>
      <c r="BF88" s="13">
        <f t="shared" si="91"/>
        <v>76.485633742372229</v>
      </c>
      <c r="BG88" s="20">
        <f t="shared" si="61"/>
        <v>700.03301876796502</v>
      </c>
      <c r="BH88" s="59">
        <f t="shared" si="62"/>
        <v>993.36635210129839</v>
      </c>
      <c r="BI88" s="59">
        <f ca="1">AVERAGE(OFFSET($BH$3,0,0,'Données projet'!$E$11+1,1))-AVERAGE(OFFSET($H$3,0,0,'Données projet'!$E$11+1,1))</f>
        <v>339.00921630742886</v>
      </c>
      <c r="BJ88" s="59">
        <f t="shared" si="92"/>
        <v>314.95763895978303</v>
      </c>
      <c r="BK88" s="15">
        <f>IF(ISNA(VLOOKUP(A88,'Données projet'!$A$87:$I$107,3,0)),0,VLOOKUP(A88,'Données projet'!$A$87:$I$107,3,0))</f>
        <v>15</v>
      </c>
      <c r="BL88" s="15">
        <f>IF(ISNA(VLOOKUP(A88,'Données projet'!$A$87:$I$107,4,0)),0,VLOOKUP(A88,'Données projet'!$A$87:$I$107,4,0))</f>
        <v>20</v>
      </c>
      <c r="BM88" s="16">
        <f>IF(ISNA(VLOOKUP(A88,'Données projet'!$A$87:$I$107,5,0)),0%,VLOOKUP(A88,'Données projet'!$A$87:$I$107,5,0)*VLOOKUP('Données projet'!$B$11,Paramètres!$A$1:$I$89,7,0))</f>
        <v>0.34400000000000003</v>
      </c>
      <c r="BN88" s="16">
        <f>IF(ISNA(VLOOKUP(A88,'Données projet'!$A$87:$I$107,6,0)),0%,VLOOKUP(A88,'Données projet'!$A$87:$I$107,6,0)*VLOOKUP('Données projet'!$B$11,Paramètres!$A$1:$I$89,7,0))</f>
        <v>1.72E-2</v>
      </c>
      <c r="BO88" s="16">
        <f>IF(ISNA(VLOOKUP(A88,'Données projet'!$A$87:$I$107,7,0)),0%,VLOOKUP(A88,'Données projet'!$A$87:$I$107,7,0))</f>
        <v>0.06</v>
      </c>
      <c r="BP88" s="21">
        <f>EXP(-LN(2)/35)*BP87+(1-EXP(-LN(2)/35))/(LN(2)/35)*BL88*BM88*VLOOKUP('Données projet'!$B$11,Paramètres!$A$1:$I$89,3,0)*0.475*44/12</f>
        <v>51.063945855153783</v>
      </c>
      <c r="BQ88" s="21">
        <f>EXP(-LN(2)/25)*BQ87+(1-EXP(-LN(2)/25))/(LN(2)/25)*Calculateur!BL88*Calculateur!BN88*VLOOKUP('Données projet'!$B$11,Paramètres!$A$1:$I$89,3,0)*0.475*44/12</f>
        <v>2.806108142020264</v>
      </c>
      <c r="BR88" s="21">
        <f>EXP(-LN(2)/2)*BR87+(1-EXP(-LN(2)/2))/(LN(2)/2)*BL88*BO88*VLOOKUP('Données projet'!$B$11,Paramètres!$A$1:$I$89,3,0)*0.475*44/12</f>
        <v>1.3224748908285655</v>
      </c>
      <c r="BS88" s="22">
        <f t="shared" si="63"/>
        <v>55.192528888002613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284</v>
      </c>
      <c r="BW88" s="12">
        <f>VLOOKUP(A88,'Données projet'!$A$113:$I$133,9,0)</f>
        <v>7</v>
      </c>
      <c r="BX88" s="12">
        <f t="array" ref="BX88">INDEX(BW:BW,MIN(IF(ISNUMBER(BW88:BW284),ROW(BW88:BW284),"")))</f>
        <v>7</v>
      </c>
      <c r="BY88" s="12">
        <f>IF('Données projet'!$A$114&gt;35,BY87+BX88-CG87,IF(A88&lt;'Données projet'!$A$114,$BV$205^A88,IF(A88='Données projet'!$A$114,'Données projet'!$B$114,BY87+BX88-CG87)))</f>
        <v>283.99999999999977</v>
      </c>
      <c r="BZ88" s="13">
        <f>BY88*VLOOKUP('Données projet'!$B$12,Paramètres!$A$1:$I$89,3,0)*VLOOKUP('Données projet'!$B$12,Paramètres!$A$1:$I$89,5,0)</f>
        <v>243.67199999999983</v>
      </c>
      <c r="CA88" s="13">
        <f t="shared" si="93"/>
        <v>59.228879636606152</v>
      </c>
      <c r="CB88" s="20">
        <f t="shared" si="64"/>
        <v>527.55236536708867</v>
      </c>
      <c r="CC88" s="59">
        <f t="shared" si="65"/>
        <v>820.88569870042193</v>
      </c>
      <c r="CD88" s="59">
        <f ca="1">AVERAGE(OFFSET($CC$3,0,0,'Données projet'!$E$12+1,1))-AVERAGE(OFFSET($H$3,0,0,'Données projet'!$E$12+1,1))</f>
        <v>204.6927427024138</v>
      </c>
      <c r="CE88" s="59">
        <f t="shared" si="94"/>
        <v>115.74231133146816</v>
      </c>
      <c r="CF88" s="15">
        <f>IF(ISNA(VLOOKUP(A88,'Données projet'!$A$113:$I$133,3,0)),0,VLOOKUP(A88,'Données projet'!$A$113:$I$133,3,0))</f>
        <v>12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0.42400000000000004</v>
      </c>
      <c r="CI88" s="16">
        <f>IF(ISNA(VLOOKUP(A88,'Données projet'!$A$113:$I$133,6,0)),0%,VLOOKUP(A88,'Données projet'!$A$113:$I$133,6,0)*VLOOKUP('Données projet'!$B$12,Paramètres!$A$1:$I$89,7,0))</f>
        <v>2.12E-2</v>
      </c>
      <c r="CJ88" s="16">
        <f>IF(ISNA(VLOOKUP(A88,'Données projet'!$A$113:$I$133,7,0)),0%,VLOOKUP(A88,'Données projet'!$A$113:$I$133,7,0))</f>
        <v>0.06</v>
      </c>
      <c r="CK88" s="21">
        <f>EXP(-LN(2)/35)*CK87+(1-EXP(-LN(2)/35))/(LN(2)/35)*CG88*CH88*VLOOKUP('Données projet'!$B$12,Paramètres!$A$1:$I$89,3,0)*0.475*44/12</f>
        <v>41.989832573351038</v>
      </c>
      <c r="CL88" s="21">
        <f>EXP(-LN(2)/25)*CL87+(1-EXP(-LN(2)/25))/(LN(2)/25)*Calculateur!CG88*Calculateur!CI88*VLOOKUP('Données projet'!$B$12,Paramètres!$A$1:$I$89,3,0)*0.475*44/12</f>
        <v>2.8676636284654458</v>
      </c>
      <c r="CM88" s="21">
        <f>EXP(-LN(2)/2)*CM87+(1-EXP(-LN(2)/2))/(LN(2)/2)*CG88*CJ88*VLOOKUP('Données projet'!$B$12,Paramètres!$A$1:$I$89,3,0)*0.475*44/12</f>
        <v>1.2391160345020313</v>
      </c>
      <c r="CN88" s="22">
        <f t="shared" si="66"/>
        <v>46.096612236318514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204.15575418077316</v>
      </c>
      <c r="CZ88" s="59">
        <f t="shared" si="96"/>
        <v>473.73726605265045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26.364792831028328</v>
      </c>
      <c r="DG88" s="21">
        <f>EXP(-LN(2)/25)*DG87+(1-EXP(-LN(2)/25))/(LN(2)/25)*Calculateur!DB88*Calculateur!DD88*VLOOKUP('Données projet'!$B$13,Paramètres!$A$1:$I$89,3,0)*0.475*44/12</f>
        <v>9.9912924077173422</v>
      </c>
      <c r="DH88" s="21">
        <f>EXP(-LN(2)/2)*DH87+(1-EXP(-LN(2)/2))/(LN(2)/2)*DB88*DE88*VLOOKUP('Données projet'!$B$13,Paramètres!$A$1:$I$89,3,0)*0.475*44/12</f>
        <v>2.8376443324955658E-8</v>
      </c>
      <c r="DI88" s="22">
        <f t="shared" si="69"/>
        <v>36.356085267122111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216.83230520434313</v>
      </c>
      <c r="T89" s="59">
        <f t="shared" si="88"/>
        <v>275.41891707278205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57.519149952698285</v>
      </c>
      <c r="AA89" s="21">
        <f>EXP(-LN(2)/25)*AA88+(1-EXP(-LN(2)/25))/(LN(2)/25)*Calculateur!V89*Calculateur!X89*VLOOKUP('Données projet'!$B$9,Paramètres!$A$1:$I$89,3,0)*0.475*44/12</f>
        <v>8.1024948458358708</v>
      </c>
      <c r="AB89" s="21">
        <f>EXP(-LN(2)/2)*AB88+(1-EXP(-LN(2)/2))/(LN(2)/2)*V89*Y89*VLOOKUP('Données projet'!$B$9,Paramètres!$A$1:$I$89,3,0)*0.475*44/12</f>
        <v>3.8719394631136058E-5</v>
      </c>
      <c r="AC89" s="22">
        <f t="shared" si="57"/>
        <v>65.621683517928801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256.94759999999991</v>
      </c>
      <c r="AK89" s="13">
        <f t="shared" si="89"/>
        <v>62.071283104858246</v>
      </c>
      <c r="AL89" s="20">
        <f t="shared" si="58"/>
        <v>555.62455474096134</v>
      </c>
      <c r="AM89" s="59">
        <f t="shared" si="59"/>
        <v>848.95788807429471</v>
      </c>
      <c r="AN89" s="59">
        <f ca="1">AVERAGE(OFFSET($AM$3,0,0,'Données projet'!$E$10+1,1))-AVERAGE(OFFSET($H$3,0,0,'Données projet'!$E$10+1,1))</f>
        <v>292.42154837691379</v>
      </c>
      <c r="AO89" s="59">
        <f t="shared" si="90"/>
        <v>193.18009444354601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50.880895683358226</v>
      </c>
      <c r="AV89" s="21">
        <f>EXP(-LN(2)/25)*AV88+(1-EXP(-LN(2)/25))/(LN(2)/25)*Calculateur!AQ89*Calculateur!AS89*VLOOKUP('Données projet'!$B$10,Paramètres!$A$1:$I$89,3,0)*0.475*44/12</f>
        <v>2.5814656415894852</v>
      </c>
      <c r="AW89" s="21">
        <f>EXP(-LN(2)/2)*AW88+(1-EXP(-LN(2)/2))/(LN(2)/2)*AQ89*AT89*VLOOKUP('Données projet'!$B$10,Paramètres!$A$1:$I$89,3,0)*0.475*44/12</f>
        <v>1.0354525635720635</v>
      </c>
      <c r="AX89" s="21">
        <f t="shared" si="60"/>
        <v>54.497813888519772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322</v>
      </c>
      <c r="BE89" s="13">
        <f>BD89*VLOOKUP('Données projet'!$B$11,Paramètres!$A$1:$I$89,3,0)*VLOOKUP('Données projet'!$B$11,Paramètres!$A$1:$I$89,5,0)</f>
        <v>306.41519999999997</v>
      </c>
      <c r="BF89" s="13">
        <f t="shared" si="91"/>
        <v>72.519675217547672</v>
      </c>
      <c r="BG89" s="20">
        <f t="shared" si="61"/>
        <v>659.9782410038955</v>
      </c>
      <c r="BH89" s="59">
        <f t="shared" si="62"/>
        <v>953.31157433722888</v>
      </c>
      <c r="BI89" s="59">
        <f ca="1">AVERAGE(OFFSET($BH$3,0,0,'Données projet'!$E$11+1,1))-AVERAGE(OFFSET($H$3,0,0,'Données projet'!$E$11+1,1))</f>
        <v>339.00921630742886</v>
      </c>
      <c r="BJ89" s="59">
        <f t="shared" si="92"/>
        <v>314.95763895978303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50.062613022865783</v>
      </c>
      <c r="BQ89" s="21">
        <f>EXP(-LN(2)/25)*BQ88+(1-EXP(-LN(2)/25))/(LN(2)/25)*Calculateur!BL89*Calculateur!BN89*VLOOKUP('Données projet'!$B$11,Paramètres!$A$1:$I$89,3,0)*0.475*44/12</f>
        <v>2.7293749673099064</v>
      </c>
      <c r="BR89" s="21">
        <f>EXP(-LN(2)/2)*BR88+(1-EXP(-LN(2)/2))/(LN(2)/2)*BL89*BO89*VLOOKUP('Données projet'!$B$11,Paramètres!$A$1:$I$89,3,0)*0.475*44/12</f>
        <v>0.93513096325381784</v>
      </c>
      <c r="BS89" s="22">
        <f t="shared" si="63"/>
        <v>53.72711895342951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6.6</v>
      </c>
      <c r="BY89" s="12">
        <f>IF('Données projet'!$A$114&gt;35,BY88+BX89-CG88,IF(A89&lt;'Données projet'!$A$114,$BV$205^A89,IF(A89='Données projet'!$A$114,'Données projet'!$B$114,BY88+BX89-CG88)))</f>
        <v>269.5999999999998</v>
      </c>
      <c r="BZ89" s="13">
        <f>BY89*VLOOKUP('Données projet'!$B$12,Paramètres!$A$1:$I$89,3,0)*VLOOKUP('Données projet'!$B$12,Paramètres!$A$1:$I$89,5,0)</f>
        <v>231.31679999999983</v>
      </c>
      <c r="CA89" s="13">
        <f t="shared" si="93"/>
        <v>56.567309807584202</v>
      </c>
      <c r="CB89" s="20">
        <f t="shared" si="64"/>
        <v>501.39815791487553</v>
      </c>
      <c r="CC89" s="59">
        <f t="shared" si="65"/>
        <v>794.73149124820884</v>
      </c>
      <c r="CD89" s="59">
        <f ca="1">AVERAGE(OFFSET($CC$3,0,0,'Données projet'!$E$12+1,1))-AVERAGE(OFFSET($H$3,0,0,'Données projet'!$E$12+1,1))</f>
        <v>204.6927427024138</v>
      </c>
      <c r="CE89" s="59">
        <f t="shared" si="94"/>
        <v>115.74231133146816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41.16643756785659</v>
      </c>
      <c r="CL89" s="21">
        <f>EXP(-LN(2)/25)*CL88+(1-EXP(-LN(2)/25))/(LN(2)/25)*Calculateur!CG89*Calculateur!CI89*VLOOKUP('Données projet'!$B$12,Paramètres!$A$1:$I$89,3,0)*0.475*44/12</f>
        <v>2.7892472157411818</v>
      </c>
      <c r="CM89" s="21">
        <f>EXP(-LN(2)/2)*CM88+(1-EXP(-LN(2)/2))/(LN(2)/2)*CG89*CJ89*VLOOKUP('Données projet'!$B$12,Paramètres!$A$1:$I$89,3,0)*0.475*44/12</f>
        <v>0.87618735067337039</v>
      </c>
      <c r="CN89" s="22">
        <f t="shared" si="66"/>
        <v>44.831872134271144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204.15575418077316</v>
      </c>
      <c r="CZ89" s="59">
        <f t="shared" si="96"/>
        <v>473.73726605265045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25.847795324547629</v>
      </c>
      <c r="DG89" s="21">
        <f>EXP(-LN(2)/25)*DG88+(1-EXP(-LN(2)/25))/(LN(2)/25)*Calculateur!DB89*Calculateur!DD89*VLOOKUP('Données projet'!$B$13,Paramètres!$A$1:$I$89,3,0)*0.475*44/12</f>
        <v>9.7180799914090787</v>
      </c>
      <c r="DH89" s="21">
        <f>EXP(-LN(2)/2)*DH88+(1-EXP(-LN(2)/2))/(LN(2)/2)*DB89*DE89*VLOOKUP('Données projet'!$B$13,Paramètres!$A$1:$I$89,3,0)*0.475*44/12</f>
        <v>2.0065175501031887E-8</v>
      </c>
      <c r="DI89" s="22">
        <f t="shared" si="69"/>
        <v>35.565875336021882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216.83230520434313</v>
      </c>
      <c r="T90" s="59">
        <f t="shared" si="88"/>
        <v>275.41891707278205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56.391234505343164</v>
      </c>
      <c r="AA90" s="21">
        <f>EXP(-LN(2)/25)*AA89+(1-EXP(-LN(2)/25))/(LN(2)/25)*Calculateur!V90*Calculateur!X90*VLOOKUP('Données projet'!$B$9,Paramètres!$A$1:$I$89,3,0)*0.475*44/12</f>
        <v>7.8809316981848037</v>
      </c>
      <c r="AB90" s="21">
        <f>EXP(-LN(2)/2)*AB89+(1-EXP(-LN(2)/2))/(LN(2)/2)*V90*Y90*VLOOKUP('Données projet'!$B$9,Paramètres!$A$1:$I$89,3,0)*0.475*44/12</f>
        <v>2.7378746507114307E-5</v>
      </c>
      <c r="AC90" s="22">
        <f t="shared" si="57"/>
        <v>64.272193582274483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262.42319999999989</v>
      </c>
      <c r="AK90" s="13">
        <f t="shared" si="89"/>
        <v>63.238627062047733</v>
      </c>
      <c r="AL90" s="20">
        <f t="shared" si="58"/>
        <v>567.19434879973289</v>
      </c>
      <c r="AM90" s="59">
        <f t="shared" si="59"/>
        <v>860.52768213306626</v>
      </c>
      <c r="AN90" s="59">
        <f ca="1">AVERAGE(OFFSET($AM$3,0,0,'Données projet'!$E$10+1,1))-AVERAGE(OFFSET($H$3,0,0,'Données projet'!$E$10+1,1))</f>
        <v>292.42154837691379</v>
      </c>
      <c r="AO90" s="59">
        <f t="shared" si="90"/>
        <v>193.18009444354601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49.88315235328956</v>
      </c>
      <c r="AV90" s="21">
        <f>EXP(-LN(2)/25)*AV89+(1-EXP(-LN(2)/25))/(LN(2)/25)*Calculateur!AQ90*Calculateur!AS90*VLOOKUP('Données projet'!$B$10,Paramètres!$A$1:$I$89,3,0)*0.475*44/12</f>
        <v>2.5108753278668425</v>
      </c>
      <c r="AW90" s="21">
        <f>EXP(-LN(2)/2)*AW89+(1-EXP(-LN(2)/2))/(LN(2)/2)*AQ90*AT90*VLOOKUP('Données projet'!$B$10,Paramètres!$A$1:$I$89,3,0)*0.475*44/12</f>
        <v>0.73217552929880081</v>
      </c>
      <c r="AX90" s="21">
        <f t="shared" si="60"/>
        <v>53.126203210455202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322</v>
      </c>
      <c r="BE90" s="13">
        <f>BD90*VLOOKUP('Données projet'!$B$11,Paramètres!$A$1:$I$89,3,0)*VLOOKUP('Données projet'!$B$11,Paramètres!$A$1:$I$89,5,0)</f>
        <v>306.41519999999997</v>
      </c>
      <c r="BF90" s="13">
        <f t="shared" si="91"/>
        <v>72.519675217547672</v>
      </c>
      <c r="BG90" s="20">
        <f t="shared" si="61"/>
        <v>659.9782410038955</v>
      </c>
      <c r="BH90" s="59">
        <f t="shared" si="62"/>
        <v>953.31157433722888</v>
      </c>
      <c r="BI90" s="59">
        <f ca="1">AVERAGE(OFFSET($BH$3,0,0,'Données projet'!$E$11+1,1))-AVERAGE(OFFSET($H$3,0,0,'Données projet'!$E$11+1,1))</f>
        <v>339.00921630742886</v>
      </c>
      <c r="BJ90" s="59">
        <f t="shared" si="92"/>
        <v>314.95763895978303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49.080915716666233</v>
      </c>
      <c r="BQ90" s="21">
        <f>EXP(-LN(2)/25)*BQ89+(1-EXP(-LN(2)/25))/(LN(2)/25)*Calculateur!BL90*Calculateur!BN90*VLOOKUP('Données projet'!$B$11,Paramètres!$A$1:$I$89,3,0)*0.475*44/12</f>
        <v>2.6547400652972257</v>
      </c>
      <c r="BR90" s="21">
        <f>EXP(-LN(2)/2)*BR89+(1-EXP(-LN(2)/2))/(LN(2)/2)*BL90*BO90*VLOOKUP('Données projet'!$B$11,Paramètres!$A$1:$I$89,3,0)*0.475*44/12</f>
        <v>0.66123744541428287</v>
      </c>
      <c r="BS90" s="22">
        <f t="shared" si="63"/>
        <v>52.396893227377738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6.6</v>
      </c>
      <c r="BY90" s="12">
        <f>IF('Données projet'!$A$114&gt;35,BY89+BX90-CG89,IF(A90&lt;'Données projet'!$A$114,$BV$205^A90,IF(A90='Données projet'!$A$114,'Données projet'!$B$114,BY89+BX90-CG89)))</f>
        <v>276.19999999999982</v>
      </c>
      <c r="BZ90" s="13">
        <f>BY90*VLOOKUP('Données projet'!$B$12,Paramètres!$A$1:$I$89,3,0)*VLOOKUP('Données projet'!$B$12,Paramètres!$A$1:$I$89,5,0)</f>
        <v>236.97959999999986</v>
      </c>
      <c r="CA90" s="13">
        <f t="shared" si="93"/>
        <v>57.789198481081975</v>
      </c>
      <c r="CB90" s="20">
        <f t="shared" si="64"/>
        <v>513.38899068788419</v>
      </c>
      <c r="CC90" s="59">
        <f t="shared" si="65"/>
        <v>806.72232402121745</v>
      </c>
      <c r="CD90" s="59">
        <f ca="1">AVERAGE(OFFSET($CC$3,0,0,'Données projet'!$E$12+1,1))-AVERAGE(OFFSET($H$3,0,0,'Données projet'!$E$12+1,1))</f>
        <v>204.6927427024138</v>
      </c>
      <c r="CE90" s="59">
        <f t="shared" si="94"/>
        <v>115.74231133146816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40.359188836198527</v>
      </c>
      <c r="CL90" s="21">
        <f>EXP(-LN(2)/25)*CL89+(1-EXP(-LN(2)/25))/(LN(2)/25)*Calculateur!CG90*Calculateur!CI90*VLOOKUP('Données projet'!$B$12,Paramètres!$A$1:$I$89,3,0)*0.475*44/12</f>
        <v>2.712975103946603</v>
      </c>
      <c r="CM90" s="21">
        <f>EXP(-LN(2)/2)*CM89+(1-EXP(-LN(2)/2))/(LN(2)/2)*CG90*CJ90*VLOOKUP('Données projet'!$B$12,Paramètres!$A$1:$I$89,3,0)*0.475*44/12</f>
        <v>0.61955801725101578</v>
      </c>
      <c r="CN90" s="22">
        <f t="shared" si="66"/>
        <v>43.691721957396148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204.15575418077316</v>
      </c>
      <c r="CZ90" s="59">
        <f t="shared" si="96"/>
        <v>473.73726605265045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25.340935823831675</v>
      </c>
      <c r="DG90" s="21">
        <f>EXP(-LN(2)/25)*DG89+(1-EXP(-LN(2)/25))/(LN(2)/25)*Calculateur!DB90*Calculateur!DD90*VLOOKUP('Données projet'!$B$13,Paramètres!$A$1:$I$89,3,0)*0.475*44/12</f>
        <v>9.4523385829923825</v>
      </c>
      <c r="DH90" s="21">
        <f>EXP(-LN(2)/2)*DH89+(1-EXP(-LN(2)/2))/(LN(2)/2)*DB90*DE90*VLOOKUP('Données projet'!$B$13,Paramètres!$A$1:$I$89,3,0)*0.475*44/12</f>
        <v>1.4188221662477829E-8</v>
      </c>
      <c r="DI90" s="22">
        <f t="shared" si="69"/>
        <v>34.793274421012278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216.83230520434313</v>
      </c>
      <c r="T91" s="59">
        <f t="shared" si="88"/>
        <v>275.41891707278205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55.285436791950183</v>
      </c>
      <c r="AA91" s="21">
        <f>EXP(-LN(2)/25)*AA90+(1-EXP(-LN(2)/25))/(LN(2)/25)*Calculateur!V91*Calculateur!X91*VLOOKUP('Données projet'!$B$9,Paramètres!$A$1:$I$89,3,0)*0.475*44/12</f>
        <v>7.6654272064577542</v>
      </c>
      <c r="AB91" s="21">
        <f>EXP(-LN(2)/2)*AB90+(1-EXP(-LN(2)/2))/(LN(2)/2)*V91*Y91*VLOOKUP('Données projet'!$B$9,Paramètres!$A$1:$I$89,3,0)*0.475*44/12</f>
        <v>1.9359697315568029E-5</v>
      </c>
      <c r="AC91" s="22">
        <f t="shared" si="57"/>
        <v>62.950883358105258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267.89879999999988</v>
      </c>
      <c r="AK91" s="13">
        <f t="shared" si="89"/>
        <v>64.403139057834508</v>
      </c>
      <c r="AL91" s="20">
        <f t="shared" si="58"/>
        <v>578.75921052572812</v>
      </c>
      <c r="AM91" s="59">
        <f t="shared" si="59"/>
        <v>872.09254385906138</v>
      </c>
      <c r="AN91" s="59">
        <f ca="1">AVERAGE(OFFSET($AM$3,0,0,'Données projet'!$E$10+1,1))-AVERAGE(OFFSET($H$3,0,0,'Données projet'!$E$10+1,1))</f>
        <v>292.42154837691379</v>
      </c>
      <c r="AO91" s="59">
        <f t="shared" si="90"/>
        <v>193.18009444354601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48.904974161360194</v>
      </c>
      <c r="AV91" s="21">
        <f>EXP(-LN(2)/25)*AV90+(1-EXP(-LN(2)/25))/(LN(2)/25)*Calculateur!AQ91*Calculateur!AS91*VLOOKUP('Données projet'!$B$10,Paramètres!$A$1:$I$89,3,0)*0.475*44/12</f>
        <v>2.4422153099851287</v>
      </c>
      <c r="AW91" s="21">
        <f>EXP(-LN(2)/2)*AW90+(1-EXP(-LN(2)/2))/(LN(2)/2)*AQ91*AT91*VLOOKUP('Données projet'!$B$10,Paramètres!$A$1:$I$89,3,0)*0.475*44/12</f>
        <v>0.51772628178603175</v>
      </c>
      <c r="AX91" s="21">
        <f t="shared" si="60"/>
        <v>51.864915753131356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322</v>
      </c>
      <c r="BE91" s="13">
        <f>BD91*VLOOKUP('Données projet'!$B$11,Paramètres!$A$1:$I$89,3,0)*VLOOKUP('Données projet'!$B$11,Paramètres!$A$1:$I$89,5,0)</f>
        <v>306.41519999999997</v>
      </c>
      <c r="BF91" s="13">
        <f t="shared" si="91"/>
        <v>72.519675217547672</v>
      </c>
      <c r="BG91" s="20">
        <f t="shared" si="61"/>
        <v>659.9782410038955</v>
      </c>
      <c r="BH91" s="59">
        <f t="shared" si="62"/>
        <v>953.31157433722888</v>
      </c>
      <c r="BI91" s="59">
        <f ca="1">AVERAGE(OFFSET($BH$3,0,0,'Données projet'!$E$11+1,1))-AVERAGE(OFFSET($H$3,0,0,'Données projet'!$E$11+1,1))</f>
        <v>339.00921630742886</v>
      </c>
      <c r="BJ91" s="59">
        <f t="shared" si="92"/>
        <v>314.95763895978303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48.118468895865021</v>
      </c>
      <c r="BQ91" s="21">
        <f>EXP(-LN(2)/25)*BQ90+(1-EXP(-LN(2)/25))/(LN(2)/25)*Calculateur!BL91*Calculateur!BN91*VLOOKUP('Données projet'!$B$11,Paramètres!$A$1:$I$89,3,0)*0.475*44/12</f>
        <v>2.5821460586049607</v>
      </c>
      <c r="BR91" s="21">
        <f>EXP(-LN(2)/2)*BR90+(1-EXP(-LN(2)/2))/(LN(2)/2)*BL91*BO91*VLOOKUP('Données projet'!$B$11,Paramètres!$A$1:$I$89,3,0)*0.475*44/12</f>
        <v>0.46756548162690903</v>
      </c>
      <c r="BS91" s="22">
        <f t="shared" si="63"/>
        <v>51.16818043609689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6.6</v>
      </c>
      <c r="BY91" s="12">
        <f>IF('Données projet'!$A$114&gt;35,BY90+BX91-CG90,IF(A91&lt;'Données projet'!$A$114,$BV$205^A91,IF(A91='Données projet'!$A$114,'Données projet'!$B$114,BY90+BX91-CG90)))</f>
        <v>282.79999999999984</v>
      </c>
      <c r="BZ91" s="13">
        <f>BY91*VLOOKUP('Données projet'!$B$12,Paramètres!$A$1:$I$89,3,0)*VLOOKUP('Données projet'!$B$12,Paramètres!$A$1:$I$89,5,0)</f>
        <v>242.6423999999999</v>
      </c>
      <c r="CA91" s="13">
        <f t="shared" si="93"/>
        <v>59.007692897618249</v>
      </c>
      <c r="CB91" s="20">
        <f t="shared" si="64"/>
        <v>525.37391179668487</v>
      </c>
      <c r="CC91" s="59">
        <f t="shared" si="65"/>
        <v>818.70724513001824</v>
      </c>
      <c r="CD91" s="59">
        <f ca="1">AVERAGE(OFFSET($CC$3,0,0,'Données projet'!$E$12+1,1))-AVERAGE(OFFSET($H$3,0,0,'Données projet'!$E$12+1,1))</f>
        <v>204.6927427024138</v>
      </c>
      <c r="CE91" s="59">
        <f t="shared" si="94"/>
        <v>115.74231133146816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39.567769759795169</v>
      </c>
      <c r="CL91" s="21">
        <f>EXP(-LN(2)/25)*CL90+(1-EXP(-LN(2)/25))/(LN(2)/25)*Calculateur!CG91*Calculateur!CI91*VLOOKUP('Données projet'!$B$12,Paramètres!$A$1:$I$89,3,0)*0.475*44/12</f>
        <v>2.6387886570600232</v>
      </c>
      <c r="CM91" s="21">
        <f>EXP(-LN(2)/2)*CM90+(1-EXP(-LN(2)/2))/(LN(2)/2)*CG91*CJ91*VLOOKUP('Données projet'!$B$12,Paramètres!$A$1:$I$89,3,0)*0.475*44/12</f>
        <v>0.43809367533668531</v>
      </c>
      <c r="CN91" s="22">
        <f t="shared" si="66"/>
        <v>42.644652092191883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204.15575418077316</v>
      </c>
      <c r="CZ91" s="59">
        <f t="shared" si="96"/>
        <v>473.73726605265045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24.844015528770992</v>
      </c>
      <c r="DG91" s="21">
        <f>EXP(-LN(2)/25)*DG90+(1-EXP(-LN(2)/25))/(LN(2)/25)*Calculateur!DB91*Calculateur!DD91*VLOOKUP('Données projet'!$B$13,Paramètres!$A$1:$I$89,3,0)*0.475*44/12</f>
        <v>9.1938638873635732</v>
      </c>
      <c r="DH91" s="21">
        <f>EXP(-LN(2)/2)*DH90+(1-EXP(-LN(2)/2))/(LN(2)/2)*DB91*DE91*VLOOKUP('Données projet'!$B$13,Paramètres!$A$1:$I$89,3,0)*0.475*44/12</f>
        <v>1.0032587750515944E-8</v>
      </c>
      <c r="DI91" s="22">
        <f t="shared" si="69"/>
        <v>34.037879426167152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216.83230520434313</v>
      </c>
      <c r="T92" s="59">
        <f t="shared" si="88"/>
        <v>275.41891707278205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54.201323097246835</v>
      </c>
      <c r="AA92" s="21">
        <f>EXP(-LN(2)/25)*AA91+(1-EXP(-LN(2)/25))/(LN(2)/25)*Calculateur!V92*Calculateur!X92*VLOOKUP('Données projet'!$B$9,Paramètres!$A$1:$I$89,3,0)*0.475*44/12</f>
        <v>7.4558156963898696</v>
      </c>
      <c r="AB92" s="21">
        <f>EXP(-LN(2)/2)*AB91+(1-EXP(-LN(2)/2))/(LN(2)/2)*V92*Y92*VLOOKUP('Données projet'!$B$9,Paramètres!$A$1:$I$89,3,0)*0.475*44/12</f>
        <v>1.3689373253557154E-5</v>
      </c>
      <c r="AC92" s="22">
        <f t="shared" si="57"/>
        <v>61.657152483009959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273.37439999999987</v>
      </c>
      <c r="AK92" s="13">
        <f t="shared" si="89"/>
        <v>65.564883644654373</v>
      </c>
      <c r="AL92" s="20">
        <f t="shared" si="58"/>
        <v>590.3192523477727</v>
      </c>
      <c r="AM92" s="59">
        <f t="shared" si="59"/>
        <v>883.65258568110607</v>
      </c>
      <c r="AN92" s="59">
        <f ca="1">AVERAGE(OFFSET($AM$3,0,0,'Données projet'!$E$10+1,1))-AVERAGE(OFFSET($H$3,0,0,'Données projet'!$E$10+1,1))</f>
        <v>292.42154837691379</v>
      </c>
      <c r="AO92" s="59">
        <f t="shared" si="90"/>
        <v>193.18009444354601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47.945977447144784</v>
      </c>
      <c r="AV92" s="21">
        <f>EXP(-LN(2)/25)*AV91+(1-EXP(-LN(2)/25))/(LN(2)/25)*Calculateur!AQ92*Calculateur!AS92*VLOOKUP('Données projet'!$B$10,Paramètres!$A$1:$I$89,3,0)*0.475*44/12</f>
        <v>2.3754328039030641</v>
      </c>
      <c r="AW92" s="21">
        <f>EXP(-LN(2)/2)*AW91+(1-EXP(-LN(2)/2))/(LN(2)/2)*AQ92*AT92*VLOOKUP('Données projet'!$B$10,Paramètres!$A$1:$I$89,3,0)*0.475*44/12</f>
        <v>0.3660877646494004</v>
      </c>
      <c r="AX92" s="21">
        <f t="shared" si="60"/>
        <v>50.687498015697251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322</v>
      </c>
      <c r="BE92" s="13">
        <f>BD92*VLOOKUP('Données projet'!$B$11,Paramètres!$A$1:$I$89,3,0)*VLOOKUP('Données projet'!$B$11,Paramètres!$A$1:$I$89,5,0)</f>
        <v>306.41519999999997</v>
      </c>
      <c r="BF92" s="13">
        <f t="shared" si="91"/>
        <v>72.519675217547672</v>
      </c>
      <c r="BG92" s="20">
        <f t="shared" si="61"/>
        <v>659.9782410038955</v>
      </c>
      <c r="BH92" s="59">
        <f t="shared" si="62"/>
        <v>953.31157433722888</v>
      </c>
      <c r="BI92" s="59">
        <f ca="1">AVERAGE(OFFSET($BH$3,0,0,'Données projet'!$E$11+1,1))-AVERAGE(OFFSET($H$3,0,0,'Données projet'!$E$11+1,1))</f>
        <v>339.00921630742886</v>
      </c>
      <c r="BJ92" s="59">
        <f t="shared" si="92"/>
        <v>314.95763895978303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47.174895070185123</v>
      </c>
      <c r="BQ92" s="21">
        <f>EXP(-LN(2)/25)*BQ91+(1-EXP(-LN(2)/25))/(LN(2)/25)*Calculateur!BL92*Calculateur!BN92*VLOOKUP('Données projet'!$B$11,Paramètres!$A$1:$I$89,3,0)*0.475*44/12</f>
        <v>2.5115371388432486</v>
      </c>
      <c r="BR92" s="21">
        <f>EXP(-LN(2)/2)*BR91+(1-EXP(-LN(2)/2))/(LN(2)/2)*BL92*BO92*VLOOKUP('Données projet'!$B$11,Paramètres!$A$1:$I$89,3,0)*0.475*44/12</f>
        <v>0.33061872270714149</v>
      </c>
      <c r="BS92" s="22">
        <f t="shared" si="63"/>
        <v>50.017050931735511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6.6</v>
      </c>
      <c r="BY92" s="12">
        <f>IF('Données projet'!$A$114&gt;35,BY91+BX92-CG91,IF(A92&lt;'Données projet'!$A$114,$BV$205^A92,IF(A92='Données projet'!$A$114,'Données projet'!$B$114,BY91+BX92-CG91)))</f>
        <v>289.39999999999986</v>
      </c>
      <c r="BZ92" s="13">
        <f>BY92*VLOOKUP('Données projet'!$B$12,Paramètres!$A$1:$I$89,3,0)*VLOOKUP('Données projet'!$B$12,Paramètres!$A$1:$I$89,5,0)</f>
        <v>248.3051999999999</v>
      </c>
      <c r="CA92" s="13">
        <f t="shared" si="93"/>
        <v>60.222881389387204</v>
      </c>
      <c r="CB92" s="20">
        <f t="shared" si="64"/>
        <v>537.3530750865159</v>
      </c>
      <c r="CC92" s="59">
        <f t="shared" si="65"/>
        <v>830.68640841984916</v>
      </c>
      <c r="CD92" s="59">
        <f ca="1">AVERAGE(OFFSET($CC$3,0,0,'Données projet'!$E$12+1,1))-AVERAGE(OFFSET($H$3,0,0,'Données projet'!$E$12+1,1))</f>
        <v>204.6927427024138</v>
      </c>
      <c r="CE92" s="59">
        <f t="shared" si="94"/>
        <v>115.74231133146816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38.791869928762111</v>
      </c>
      <c r="CL92" s="21">
        <f>EXP(-LN(2)/25)*CL91+(1-EXP(-LN(2)/25))/(LN(2)/25)*Calculateur!CG92*Calculateur!CI92*VLOOKUP('Données projet'!$B$12,Paramètres!$A$1:$I$89,3,0)*0.475*44/12</f>
        <v>2.5666308424648525</v>
      </c>
      <c r="CM92" s="21">
        <f>EXP(-LN(2)/2)*CM91+(1-EXP(-LN(2)/2))/(LN(2)/2)*CG92*CJ92*VLOOKUP('Données projet'!$B$12,Paramètres!$A$1:$I$89,3,0)*0.475*44/12</f>
        <v>0.30977900862550795</v>
      </c>
      <c r="CN92" s="22">
        <f t="shared" si="66"/>
        <v>41.668279779852469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204.15575418077316</v>
      </c>
      <c r="CZ92" s="59">
        <f t="shared" si="96"/>
        <v>473.73726605265045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24.356839537604998</v>
      </c>
      <c r="DG92" s="21">
        <f>EXP(-LN(2)/25)*DG91+(1-EXP(-LN(2)/25))/(LN(2)/25)*Calculateur!DB92*Calculateur!DD92*VLOOKUP('Données projet'!$B$13,Paramètres!$A$1:$I$89,3,0)*0.475*44/12</f>
        <v>8.942457195879328</v>
      </c>
      <c r="DH92" s="21">
        <f>EXP(-LN(2)/2)*DH91+(1-EXP(-LN(2)/2))/(LN(2)/2)*DB92*DE92*VLOOKUP('Données projet'!$B$13,Paramètres!$A$1:$I$89,3,0)*0.475*44/12</f>
        <v>7.0941108312389145E-9</v>
      </c>
      <c r="DI92" s="22">
        <f t="shared" si="69"/>
        <v>33.299296740578434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216.83230520434313</v>
      </c>
      <c r="T93" s="59">
        <f t="shared" si="88"/>
        <v>275.41891707278205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53.138468210852558</v>
      </c>
      <c r="AA93" s="21">
        <f>EXP(-LN(2)/25)*AA92+(1-EXP(-LN(2)/25))/(LN(2)/25)*Calculateur!V93*Calculateur!X93*VLOOKUP('Données projet'!$B$9,Paramètres!$A$1:$I$89,3,0)*0.475*44/12</f>
        <v>7.2519360240877813</v>
      </c>
      <c r="AB93" s="21">
        <f>EXP(-LN(2)/2)*AB92+(1-EXP(-LN(2)/2))/(LN(2)/2)*V93*Y93*VLOOKUP('Données projet'!$B$9,Paramètres!$A$1:$I$89,3,0)*0.475*44/12</f>
        <v>9.6798486577840144E-6</v>
      </c>
      <c r="AC93" s="22">
        <f t="shared" si="57"/>
        <v>60.390413914789001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278.84999999999985</v>
      </c>
      <c r="AK93" s="13">
        <f t="shared" si="89"/>
        <v>66.723922641152967</v>
      </c>
      <c r="AL93" s="20">
        <f t="shared" si="58"/>
        <v>601.87458193334112</v>
      </c>
      <c r="AM93" s="59">
        <f t="shared" si="59"/>
        <v>895.20791526667449</v>
      </c>
      <c r="AN93" s="59">
        <f ca="1">AVERAGE(OFFSET($AM$3,0,0,'Données projet'!$E$10+1,1))-AVERAGE(OFFSET($H$3,0,0,'Données projet'!$E$10+1,1))</f>
        <v>292.42154837691379</v>
      </c>
      <c r="AO93" s="59">
        <f t="shared" si="90"/>
        <v>193.18009444354601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0.34400000000000003</v>
      </c>
      <c r="AS93" s="16">
        <f>IF(ISNA(VLOOKUP(A93,'Données projet'!$A$61:$I$81,6,0)),0%,VLOOKUP(A93,'Données projet'!$A$61:$I$81,6,0)*VLOOKUP('Données projet'!$B$10,Paramètres!$A$1:$I$89,7,0))</f>
        <v>1.72E-2</v>
      </c>
      <c r="AT93" s="16">
        <f>IF(ISNA(VLOOKUP(A93,'Données projet'!$A$61:$I$81,7,0)),0%,VLOOKUP(A93,'Données projet'!$A$61:$I$81,7,0))</f>
        <v>0.06</v>
      </c>
      <c r="AU93" s="21">
        <f>EXP(-LN(2)/35)*AU92+(1-EXP(-LN(2)/35))/(LN(2)/35)*AQ93*AR93*VLOOKUP('Données projet'!$B$10,Paramètres!$A$1:$I$89,3,0)*0.475*44/12</f>
        <v>55.103506947615379</v>
      </c>
      <c r="AV93" s="21">
        <f>EXP(-LN(2)/25)*AV92+(1-EXP(-LN(2)/25))/(LN(2)/25)*Calculateur!AQ93*Calculateur!AS93*VLOOKUP('Données projet'!$B$10,Paramètres!$A$1:$I$89,3,0)*0.475*44/12</f>
        <v>2.7137683220365423</v>
      </c>
      <c r="AW93" s="21">
        <f>EXP(-LN(2)/2)*AW92+(1-EXP(-LN(2)/2))/(LN(2)/2)*AQ93*AT93*VLOOKUP('Données projet'!$B$10,Paramètres!$A$1:$I$89,3,0)*0.475*44/12</f>
        <v>1.4643508680694444</v>
      </c>
      <c r="AX93" s="21">
        <f t="shared" si="60"/>
        <v>59.281626137721368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322</v>
      </c>
      <c r="BE93" s="13">
        <f>BD93*VLOOKUP('Données projet'!$B$11,Paramètres!$A$1:$I$89,3,0)*VLOOKUP('Données projet'!$B$11,Paramètres!$A$1:$I$89,5,0)</f>
        <v>306.41519999999997</v>
      </c>
      <c r="BF93" s="13">
        <f t="shared" si="91"/>
        <v>72.519675217547672</v>
      </c>
      <c r="BG93" s="20">
        <f t="shared" si="61"/>
        <v>659.9782410038955</v>
      </c>
      <c r="BH93" s="59">
        <f t="shared" si="62"/>
        <v>953.31157433722888</v>
      </c>
      <c r="BI93" s="59">
        <f ca="1">AVERAGE(OFFSET($BH$3,0,0,'Données projet'!$E$11+1,1))-AVERAGE(OFFSET($H$3,0,0,'Données projet'!$E$11+1,1))</f>
        <v>339.00921630742886</v>
      </c>
      <c r="BJ93" s="59">
        <f t="shared" si="92"/>
        <v>314.95763895978303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46.249824151703606</v>
      </c>
      <c r="BQ93" s="21">
        <f>EXP(-LN(2)/25)*BQ92+(1-EXP(-LN(2)/25))/(LN(2)/25)*Calculateur!BL93*Calculateur!BN93*VLOOKUP('Données projet'!$B$11,Paramètres!$A$1:$I$89,3,0)*0.475*44/12</f>
        <v>2.4428590237055818</v>
      </c>
      <c r="BR93" s="21">
        <f>EXP(-LN(2)/2)*BR92+(1-EXP(-LN(2)/2))/(LN(2)/2)*BL93*BO93*VLOOKUP('Données projet'!$B$11,Paramètres!$A$1:$I$89,3,0)*0.475*44/12</f>
        <v>0.23378274081345454</v>
      </c>
      <c r="BS93" s="22">
        <f t="shared" si="63"/>
        <v>48.926465916222639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296</v>
      </c>
      <c r="BW93" s="12">
        <f>VLOOKUP(A93,'Données projet'!$A$113:$I$133,9,0)</f>
        <v>6.6</v>
      </c>
      <c r="BX93" s="12">
        <f t="array" ref="BX93">INDEX(BW:BW,MIN(IF(ISNUMBER(BW93:BW289),ROW(BW93:BW289),"")))</f>
        <v>6.6</v>
      </c>
      <c r="BY93" s="12">
        <f>IF('Données projet'!$A$114&gt;35,BY92+BX93-CG92,IF(A93&lt;'Données projet'!$A$114,$BV$205^A93,IF(A93='Données projet'!$A$114,'Données projet'!$B$114,BY92+BX93-CG92)))</f>
        <v>295.99999999999989</v>
      </c>
      <c r="BZ93" s="13">
        <f>BY93*VLOOKUP('Données projet'!$B$12,Paramètres!$A$1:$I$89,3,0)*VLOOKUP('Données projet'!$B$12,Paramètres!$A$1:$I$89,5,0)</f>
        <v>253.96799999999993</v>
      </c>
      <c r="CA93" s="13">
        <f t="shared" si="93"/>
        <v>61.434848029666512</v>
      </c>
      <c r="CB93" s="20">
        <f t="shared" si="64"/>
        <v>549.32662698500235</v>
      </c>
      <c r="CC93" s="59">
        <f t="shared" si="65"/>
        <v>842.65996031833561</v>
      </c>
      <c r="CD93" s="59">
        <f ca="1">AVERAGE(OFFSET($CC$3,0,0,'Données projet'!$E$12+1,1))-AVERAGE(OFFSET($H$3,0,0,'Données projet'!$E$12+1,1))</f>
        <v>204.6927427024138</v>
      </c>
      <c r="CE93" s="59">
        <f t="shared" si="94"/>
        <v>115.74231133146816</v>
      </c>
      <c r="CF93" s="15">
        <f>IF(ISNA(VLOOKUP(A93,'Données projet'!$A$113:$I$133,3,0)),0,VLOOKUP(A93,'Données projet'!$A$113:$I$133,3,0))</f>
        <v>13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0.42400000000000004</v>
      </c>
      <c r="CI93" s="16">
        <f>IF(ISNA(VLOOKUP(A93,'Données projet'!$A$113:$I$133,6,0)),0%,VLOOKUP(A93,'Données projet'!$A$113:$I$133,6,0)*VLOOKUP('Données projet'!$B$12,Paramètres!$A$1:$I$89,7,0))</f>
        <v>2.12E-2</v>
      </c>
      <c r="CJ93" s="16">
        <f>IF(ISNA(VLOOKUP(A93,'Données projet'!$A$113:$I$133,7,0)),0%,VLOOKUP(A93,'Données projet'!$A$113:$I$133,7,0))</f>
        <v>0.06</v>
      </c>
      <c r="CK93" s="21">
        <f>EXP(-LN(2)/35)*CK92+(1-EXP(-LN(2)/35))/(LN(2)/35)*CG93*CH93*VLOOKUP('Données projet'!$B$12,Paramètres!$A$1:$I$89,3,0)*0.475*44/12</f>
        <v>46.476571906695511</v>
      </c>
      <c r="CL93" s="21">
        <f>EXP(-LN(2)/25)*CL92+(1-EXP(-LN(2)/25))/(LN(2)/25)*Calculateur!CG93*Calculateur!CI93*VLOOKUP('Données projet'!$B$12,Paramètres!$A$1:$I$89,3,0)*0.475*44/12</f>
        <v>2.9170528961251563</v>
      </c>
      <c r="CM93" s="21">
        <f>EXP(-LN(2)/2)*CM92+(1-EXP(-LN(2)/2))/(LN(2)/2)*CG93*CJ93*VLOOKUP('Données projet'!$B$12,Paramètres!$A$1:$I$89,3,0)*0.475*44/12</f>
        <v>1.239074914509936</v>
      </c>
      <c r="CN93" s="22">
        <f t="shared" si="66"/>
        <v>50.632699717330603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204.15575418077316</v>
      </c>
      <c r="CZ93" s="59">
        <f t="shared" si="96"/>
        <v>473.73726605265045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23.879216770477754</v>
      </c>
      <c r="DG93" s="21">
        <f>EXP(-LN(2)/25)*DG92+(1-EXP(-LN(2)/25))/(LN(2)/25)*Calculateur!DB93*Calculateur!DD93*VLOOKUP('Données projet'!$B$13,Paramètres!$A$1:$I$89,3,0)*0.475*44/12</f>
        <v>8.6979252335946224</v>
      </c>
      <c r="DH93" s="21">
        <f>EXP(-LN(2)/2)*DH92+(1-EXP(-LN(2)/2))/(LN(2)/2)*DB93*DE93*VLOOKUP('Données projet'!$B$13,Paramètres!$A$1:$I$89,3,0)*0.475*44/12</f>
        <v>5.0162938752579718E-9</v>
      </c>
      <c r="DI93" s="22">
        <f t="shared" si="69"/>
        <v>32.577142009088675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216.83230520434313</v>
      </c>
      <c r="T94" s="59">
        <f t="shared" si="88"/>
        <v>275.41891707278205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52.096455260502999</v>
      </c>
      <c r="AA94" s="21">
        <f>EXP(-LN(2)/25)*AA93+(1-EXP(-LN(2)/25))/(LN(2)/25)*Calculateur!V94*Calculateur!X94*VLOOKUP('Données projet'!$B$9,Paramètres!$A$1:$I$89,3,0)*0.475*44/12</f>
        <v>7.0536314521463597</v>
      </c>
      <c r="AB94" s="21">
        <f>EXP(-LN(2)/2)*AB93+(1-EXP(-LN(2)/2))/(LN(2)/2)*V94*Y94*VLOOKUP('Données projet'!$B$9,Paramètres!$A$1:$I$89,3,0)*0.475*44/12</f>
        <v>6.8446866267785769E-6</v>
      </c>
      <c r="AC94" s="22">
        <f t="shared" si="57"/>
        <v>59.150093557335985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262.62599999999986</v>
      </c>
      <c r="AK94" s="13">
        <f t="shared" si="89"/>
        <v>63.281807230823397</v>
      </c>
      <c r="AL94" s="20">
        <f t="shared" si="58"/>
        <v>567.62276426035044</v>
      </c>
      <c r="AM94" s="59">
        <f t="shared" si="59"/>
        <v>860.95609759368381</v>
      </c>
      <c r="AN94" s="59">
        <f ca="1">AVERAGE(OFFSET($AM$3,0,0,'Données projet'!$E$10+1,1))-AVERAGE(OFFSET($H$3,0,0,'Données projet'!$E$10+1,1))</f>
        <v>292.42154837691379</v>
      </c>
      <c r="AO94" s="59">
        <f t="shared" si="90"/>
        <v>193.18009444354601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54.022960786193188</v>
      </c>
      <c r="AV94" s="21">
        <f>EXP(-LN(2)/25)*AV93+(1-EXP(-LN(2)/25))/(LN(2)/25)*Calculateur!AQ94*Calculateur!AS94*VLOOKUP('Données projet'!$B$10,Paramètres!$A$1:$I$89,3,0)*0.475*44/12</f>
        <v>2.6395601845595795</v>
      </c>
      <c r="AW94" s="21">
        <f>EXP(-LN(2)/2)*AW93+(1-EXP(-LN(2)/2))/(LN(2)/2)*AQ94*AT94*VLOOKUP('Données projet'!$B$10,Paramètres!$A$1:$I$89,3,0)*0.475*44/12</f>
        <v>1.0354524288483116</v>
      </c>
      <c r="AX94" s="21">
        <f t="shared" si="60"/>
        <v>57.697973399601075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322</v>
      </c>
      <c r="BE94" s="13">
        <f>BD94*VLOOKUP('Données projet'!$B$11,Paramètres!$A$1:$I$89,3,0)*VLOOKUP('Données projet'!$B$11,Paramètres!$A$1:$I$89,5,0)</f>
        <v>306.41519999999997</v>
      </c>
      <c r="BF94" s="13">
        <f t="shared" si="91"/>
        <v>72.519675217547672</v>
      </c>
      <c r="BG94" s="20">
        <f t="shared" si="61"/>
        <v>659.9782410038955</v>
      </c>
      <c r="BH94" s="59">
        <f t="shared" si="62"/>
        <v>953.31157433722888</v>
      </c>
      <c r="BI94" s="59">
        <f ca="1">AVERAGE(OFFSET($BH$3,0,0,'Données projet'!$E$11+1,1))-AVERAGE(OFFSET($H$3,0,0,'Données projet'!$E$11+1,1))</f>
        <v>339.00921630742886</v>
      </c>
      <c r="BJ94" s="59">
        <f t="shared" si="92"/>
        <v>314.95763895978303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45.342893309695967</v>
      </c>
      <c r="BQ94" s="21">
        <f>EXP(-LN(2)/25)*BQ93+(1-EXP(-LN(2)/25))/(LN(2)/25)*Calculateur!BL94*Calculateur!BN94*VLOOKUP('Données projet'!$B$11,Paramètres!$A$1:$I$89,3,0)*0.475*44/12</f>
        <v>2.3760589152379801</v>
      </c>
      <c r="BR94" s="21">
        <f>EXP(-LN(2)/2)*BR93+(1-EXP(-LN(2)/2))/(LN(2)/2)*BL94*BO94*VLOOKUP('Données projet'!$B$11,Paramètres!$A$1:$I$89,3,0)*0.475*44/12</f>
        <v>0.16530936135357077</v>
      </c>
      <c r="BS94" s="22">
        <f t="shared" si="63"/>
        <v>47.884261586287515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6.2</v>
      </c>
      <c r="BY94" s="12">
        <f>IF('Données projet'!$A$114&gt;35,BY93+BX94-CG93,IF(A94&lt;'Données projet'!$A$114,$BV$205^A94,IF(A94='Données projet'!$A$114,'Données projet'!$B$114,BY93+BX94-CG93)))</f>
        <v>281.19999999999987</v>
      </c>
      <c r="BZ94" s="13">
        <f>BY94*VLOOKUP('Données projet'!$B$12,Paramètres!$A$1:$I$89,3,0)*VLOOKUP('Données projet'!$B$12,Paramètres!$A$1:$I$89,5,0)</f>
        <v>241.26959999999991</v>
      </c>
      <c r="CA94" s="13">
        <f t="shared" si="93"/>
        <v>58.71260717188342</v>
      </c>
      <c r="CB94" s="20">
        <f t="shared" si="64"/>
        <v>522.46901082436341</v>
      </c>
      <c r="CC94" s="59">
        <f t="shared" si="65"/>
        <v>815.80234415769678</v>
      </c>
      <c r="CD94" s="59">
        <f ca="1">AVERAGE(OFFSET($CC$3,0,0,'Données projet'!$E$12+1,1))-AVERAGE(OFFSET($H$3,0,0,'Données projet'!$E$12+1,1))</f>
        <v>204.6927427024138</v>
      </c>
      <c r="CE94" s="59">
        <f t="shared" si="94"/>
        <v>115.74231133146816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45.565194679514953</v>
      </c>
      <c r="CL94" s="21">
        <f>EXP(-LN(2)/25)*CL93+(1-EXP(-LN(2)/25))/(LN(2)/25)*Calculateur!CG94*Calculateur!CI94*VLOOKUP('Données projet'!$B$12,Paramètres!$A$1:$I$89,3,0)*0.475*44/12</f>
        <v>2.8372859312794692</v>
      </c>
      <c r="CM94" s="21">
        <f>EXP(-LN(2)/2)*CM93+(1-EXP(-LN(2)/2))/(LN(2)/2)*CG94*CJ94*VLOOKUP('Données projet'!$B$12,Paramètres!$A$1:$I$89,3,0)*0.475*44/12</f>
        <v>0.87615827444811745</v>
      </c>
      <c r="CN94" s="22">
        <f t="shared" si="66"/>
        <v>49.278638885242536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204.15575418077316</v>
      </c>
      <c r="CZ94" s="59">
        <f t="shared" si="96"/>
        <v>473.73726605265045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23.410959894492752</v>
      </c>
      <c r="DG94" s="21">
        <f>EXP(-LN(2)/25)*DG93+(1-EXP(-LN(2)/25))/(LN(2)/25)*Calculateur!DB94*Calculateur!DD94*VLOOKUP('Données projet'!$B$13,Paramètres!$A$1:$I$89,3,0)*0.475*44/12</f>
        <v>8.4600800106779683</v>
      </c>
      <c r="DH94" s="21">
        <f>EXP(-LN(2)/2)*DH93+(1-EXP(-LN(2)/2))/(LN(2)/2)*DB94*DE94*VLOOKUP('Données projet'!$B$13,Paramètres!$A$1:$I$89,3,0)*0.475*44/12</f>
        <v>3.5470554156194573E-9</v>
      </c>
      <c r="DI94" s="22">
        <f t="shared" si="69"/>
        <v>31.871039908717773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216.83230520434313</v>
      </c>
      <c r="T95" s="59">
        <f t="shared" si="88"/>
        <v>275.41891707278205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51.074875548544654</v>
      </c>
      <c r="AA95" s="21">
        <f>EXP(-LN(2)/25)*AA94+(1-EXP(-LN(2)/25))/(LN(2)/25)*Calculateur!V95*Calculateur!X95*VLOOKUP('Données projet'!$B$9,Paramètres!$A$1:$I$89,3,0)*0.475*44/12</f>
        <v>6.8607495291530611</v>
      </c>
      <c r="AB95" s="21">
        <f>EXP(-LN(2)/2)*AB94+(1-EXP(-LN(2)/2))/(LN(2)/2)*V95*Y95*VLOOKUP('Données projet'!$B$9,Paramètres!$A$1:$I$89,3,0)*0.475*44/12</f>
        <v>4.8399243288920072E-6</v>
      </c>
      <c r="AC95" s="22">
        <f t="shared" si="57"/>
        <v>57.935629917622045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267.69599999999986</v>
      </c>
      <c r="AK95" s="13">
        <f t="shared" si="89"/>
        <v>64.360058723585439</v>
      </c>
      <c r="AL95" s="20">
        <f t="shared" si="58"/>
        <v>578.33096894357766</v>
      </c>
      <c r="AM95" s="59">
        <f t="shared" si="59"/>
        <v>871.66430227691103</v>
      </c>
      <c r="AN95" s="59">
        <f ca="1">AVERAGE(OFFSET($AM$3,0,0,'Données projet'!$E$10+1,1))-AVERAGE(OFFSET($H$3,0,0,'Données projet'!$E$10+1,1))</f>
        <v>292.42154837691379</v>
      </c>
      <c r="AO95" s="59">
        <f t="shared" si="90"/>
        <v>193.18009444354601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52.963603475928402</v>
      </c>
      <c r="AV95" s="21">
        <f>EXP(-LN(2)/25)*AV94+(1-EXP(-LN(2)/25))/(LN(2)/25)*Calculateur!AQ95*Calculateur!AS95*VLOOKUP('Données projet'!$B$10,Paramètres!$A$1:$I$89,3,0)*0.475*44/12</f>
        <v>2.5673812725043605</v>
      </c>
      <c r="AW95" s="21">
        <f>EXP(-LN(2)/2)*AW94+(1-EXP(-LN(2)/2))/(LN(2)/2)*AQ95*AT95*VLOOKUP('Données projet'!$B$10,Paramètres!$A$1:$I$89,3,0)*0.475*44/12</f>
        <v>0.73217543403472229</v>
      </c>
      <c r="AX95" s="21">
        <f t="shared" si="60"/>
        <v>56.263160182467487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322</v>
      </c>
      <c r="BE95" s="13">
        <f>BD95*VLOOKUP('Données projet'!$B$11,Paramètres!$A$1:$I$89,3,0)*VLOOKUP('Données projet'!$B$11,Paramètres!$A$1:$I$89,5,0)</f>
        <v>306.41519999999997</v>
      </c>
      <c r="BF95" s="13">
        <f t="shared" si="91"/>
        <v>72.519675217547672</v>
      </c>
      <c r="BG95" s="20">
        <f t="shared" si="61"/>
        <v>659.9782410038955</v>
      </c>
      <c r="BH95" s="59">
        <f t="shared" si="62"/>
        <v>953.31157433722888</v>
      </c>
      <c r="BI95" s="59">
        <f ca="1">AVERAGE(OFFSET($BH$3,0,0,'Données projet'!$E$11+1,1))-AVERAGE(OFFSET($H$3,0,0,'Données projet'!$E$11+1,1))</f>
        <v>339.00921630742886</v>
      </c>
      <c r="BJ95" s="59">
        <f t="shared" si="92"/>
        <v>314.95763895978303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44.453746828326899</v>
      </c>
      <c r="BQ95" s="21">
        <f>EXP(-LN(2)/25)*BQ94+(1-EXP(-LN(2)/25))/(LN(2)/25)*Calculateur!BL95*Calculateur!BN95*VLOOKUP('Données projet'!$B$11,Paramètres!$A$1:$I$89,3,0)*0.475*44/12</f>
        <v>2.3110854592492895</v>
      </c>
      <c r="BR95" s="21">
        <f>EXP(-LN(2)/2)*BR94+(1-EXP(-LN(2)/2))/(LN(2)/2)*BL95*BO95*VLOOKUP('Données projet'!$B$11,Paramètres!$A$1:$I$89,3,0)*0.475*44/12</f>
        <v>0.11689137040672729</v>
      </c>
      <c r="BS95" s="22">
        <f t="shared" si="63"/>
        <v>46.881723657982917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6.2</v>
      </c>
      <c r="BY95" s="12">
        <f>IF('Données projet'!$A$114&gt;35,BY94+BX95-CG94,IF(A95&lt;'Données projet'!$A$114,$BV$205^A95,IF(A95='Données projet'!$A$114,'Données projet'!$B$114,BY94+BX95-CG94)))</f>
        <v>287.39999999999986</v>
      </c>
      <c r="BZ95" s="13">
        <f>BY95*VLOOKUP('Données projet'!$B$12,Paramètres!$A$1:$I$89,3,0)*VLOOKUP('Données projet'!$B$12,Paramètres!$A$1:$I$89,5,0)</f>
        <v>246.58919999999992</v>
      </c>
      <c r="CA95" s="13">
        <f t="shared" si="93"/>
        <v>59.854986461295475</v>
      </c>
      <c r="CB95" s="20">
        <f t="shared" si="64"/>
        <v>533.72362475342277</v>
      </c>
      <c r="CC95" s="59">
        <f t="shared" si="65"/>
        <v>827.05695808675614</v>
      </c>
      <c r="CD95" s="59">
        <f ca="1">AVERAGE(OFFSET($CC$3,0,0,'Données projet'!$E$12+1,1))-AVERAGE(OFFSET($H$3,0,0,'Données projet'!$E$12+1,1))</f>
        <v>204.6927427024138</v>
      </c>
      <c r="CE95" s="59">
        <f t="shared" si="94"/>
        <v>115.74231133146816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44.671689003874185</v>
      </c>
      <c r="CL95" s="21">
        <f>EXP(-LN(2)/25)*CL94+(1-EXP(-LN(2)/25))/(LN(2)/25)*Calculateur!CG95*Calculateur!CI95*VLOOKUP('Données projet'!$B$12,Paramètres!$A$1:$I$89,3,0)*0.475*44/12</f>
        <v>2.7597001982822498</v>
      </c>
      <c r="CM95" s="21">
        <f>EXP(-LN(2)/2)*CM94+(1-EXP(-LN(2)/2))/(LN(2)/2)*CG95*CJ95*VLOOKUP('Données projet'!$B$12,Paramètres!$A$1:$I$89,3,0)*0.475*44/12</f>
        <v>0.61953745725496812</v>
      </c>
      <c r="CN95" s="22">
        <f t="shared" si="66"/>
        <v>48.05092665941141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204.15575418077316</v>
      </c>
      <c r="CZ95" s="59">
        <f t="shared" si="96"/>
        <v>473.73726605265045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22.951885250237325</v>
      </c>
      <c r="DG95" s="21">
        <f>EXP(-LN(2)/25)*DG94+(1-EXP(-LN(2)/25))/(LN(2)/25)*Calculateur!DB95*Calculateur!DD95*VLOOKUP('Données projet'!$B$13,Paramètres!$A$1:$I$89,3,0)*0.475*44/12</f>
        <v>8.2287386778897069</v>
      </c>
      <c r="DH95" s="21">
        <f>EXP(-LN(2)/2)*DH94+(1-EXP(-LN(2)/2))/(LN(2)/2)*DB95*DE95*VLOOKUP('Données projet'!$B$13,Paramètres!$A$1:$I$89,3,0)*0.475*44/12</f>
        <v>2.5081469376289859E-9</v>
      </c>
      <c r="DI95" s="22">
        <f t="shared" si="69"/>
        <v>31.180623930635182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216.83230520434313</v>
      </c>
      <c r="T96" s="59">
        <f t="shared" si="88"/>
        <v>275.41891707278205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50.073328391635712</v>
      </c>
      <c r="AA96" s="21">
        <f>EXP(-LN(2)/25)*AA95+(1-EXP(-LN(2)/25))/(LN(2)/25)*Calculateur!V96*Calculateur!X96*VLOOKUP('Données projet'!$B$9,Paramètres!$A$1:$I$89,3,0)*0.475*44/12</f>
        <v>6.6731419724872332</v>
      </c>
      <c r="AB96" s="21">
        <f>EXP(-LN(2)/2)*AB95+(1-EXP(-LN(2)/2))/(LN(2)/2)*V96*Y96*VLOOKUP('Données projet'!$B$9,Paramètres!$A$1:$I$89,3,0)*0.475*44/12</f>
        <v>3.4223433133892884E-6</v>
      </c>
      <c r="AC96" s="22">
        <f t="shared" si="57"/>
        <v>56.746473786466254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272.76599999999985</v>
      </c>
      <c r="AK96" s="13">
        <f t="shared" si="89"/>
        <v>65.43593563008757</v>
      </c>
      <c r="AL96" s="20">
        <f t="shared" si="58"/>
        <v>589.03503788906892</v>
      </c>
      <c r="AM96" s="59">
        <f t="shared" si="59"/>
        <v>882.36837122240217</v>
      </c>
      <c r="AN96" s="59">
        <f ca="1">AVERAGE(OFFSET($AM$3,0,0,'Données projet'!$E$10+1,1))-AVERAGE(OFFSET($H$3,0,0,'Données projet'!$E$10+1,1))</f>
        <v>292.42154837691379</v>
      </c>
      <c r="AO96" s="59">
        <f t="shared" si="90"/>
        <v>193.18009444354601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51.925019516373752</v>
      </c>
      <c r="AV96" s="21">
        <f>EXP(-LN(2)/25)*AV95+(1-EXP(-LN(2)/25))/(LN(2)/25)*Calculateur!AQ96*Calculateur!AS96*VLOOKUP('Données projet'!$B$10,Paramètres!$A$1:$I$89,3,0)*0.475*44/12</f>
        <v>2.4971760965950156</v>
      </c>
      <c r="AW96" s="21">
        <f>EXP(-LN(2)/2)*AW95+(1-EXP(-LN(2)/2))/(LN(2)/2)*AQ96*AT96*VLOOKUP('Données projet'!$B$10,Paramètres!$A$1:$I$89,3,0)*0.475*44/12</f>
        <v>0.51772621442415589</v>
      </c>
      <c r="AX96" s="21">
        <f t="shared" si="60"/>
        <v>54.939921827392922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322</v>
      </c>
      <c r="BE96" s="13">
        <f>BD96*VLOOKUP('Données projet'!$B$11,Paramètres!$A$1:$I$89,3,0)*VLOOKUP('Données projet'!$B$11,Paramètres!$A$1:$I$89,5,0)</f>
        <v>306.41519999999997</v>
      </c>
      <c r="BF96" s="13">
        <f t="shared" si="91"/>
        <v>72.519675217547672</v>
      </c>
      <c r="BG96" s="20">
        <f t="shared" si="61"/>
        <v>659.9782410038955</v>
      </c>
      <c r="BH96" s="59">
        <f t="shared" si="62"/>
        <v>953.31157433722888</v>
      </c>
      <c r="BI96" s="59">
        <f ca="1">AVERAGE(OFFSET($BH$3,0,0,'Données projet'!$E$11+1,1))-AVERAGE(OFFSET($H$3,0,0,'Données projet'!$E$11+1,1))</f>
        <v>339.00921630742886</v>
      </c>
      <c r="BJ96" s="59">
        <f t="shared" si="92"/>
        <v>314.95763895978303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43.582035967131681</v>
      </c>
      <c r="BQ96" s="21">
        <f>EXP(-LN(2)/25)*BQ95+(1-EXP(-LN(2)/25))/(LN(2)/25)*Calculateur!BL96*Calculateur!BN96*VLOOKUP('Données projet'!$B$11,Paramètres!$A$1:$I$89,3,0)*0.475*44/12</f>
        <v>2.2478887058314156</v>
      </c>
      <c r="BR96" s="21">
        <f>EXP(-LN(2)/2)*BR95+(1-EXP(-LN(2)/2))/(LN(2)/2)*BL96*BO96*VLOOKUP('Données projet'!$B$11,Paramètres!$A$1:$I$89,3,0)*0.475*44/12</f>
        <v>8.2654680676785386E-2</v>
      </c>
      <c r="BS96" s="22">
        <f t="shared" si="63"/>
        <v>45.912579353639877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6.2</v>
      </c>
      <c r="BY96" s="12">
        <f>IF('Données projet'!$A$114&gt;35,BY95+BX96-CG95,IF(A96&lt;'Données projet'!$A$114,$BV$205^A96,IF(A96='Données projet'!$A$114,'Données projet'!$B$114,BY95+BX96-CG95)))</f>
        <v>293.59999999999985</v>
      </c>
      <c r="BZ96" s="13">
        <f>BY96*VLOOKUP('Données projet'!$B$12,Paramètres!$A$1:$I$89,3,0)*VLOOKUP('Données projet'!$B$12,Paramètres!$A$1:$I$89,5,0)</f>
        <v>251.9087999999999</v>
      </c>
      <c r="CA96" s="13">
        <f t="shared" si="93"/>
        <v>60.99450052606884</v>
      </c>
      <c r="CB96" s="20">
        <f t="shared" si="64"/>
        <v>544.97324841623629</v>
      </c>
      <c r="CC96" s="59">
        <f t="shared" si="65"/>
        <v>838.30658174956966</v>
      </c>
      <c r="CD96" s="59">
        <f ca="1">AVERAGE(OFFSET($CC$3,0,0,'Données projet'!$E$12+1,1))-AVERAGE(OFFSET($H$3,0,0,'Données projet'!$E$12+1,1))</f>
        <v>204.6927427024138</v>
      </c>
      <c r="CE96" s="59">
        <f t="shared" si="94"/>
        <v>115.74231133146816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43.795704429548081</v>
      </c>
      <c r="CL96" s="21">
        <f>EXP(-LN(2)/25)*CL95+(1-EXP(-LN(2)/25))/(LN(2)/25)*Calculateur!CG96*Calculateur!CI96*VLOOKUP('Données projet'!$B$12,Paramètres!$A$1:$I$89,3,0)*0.475*44/12</f>
        <v>2.6842360512338956</v>
      </c>
      <c r="CM96" s="21">
        <f>EXP(-LN(2)/2)*CM95+(1-EXP(-LN(2)/2))/(LN(2)/2)*CG96*CJ96*VLOOKUP('Données projet'!$B$12,Paramètres!$A$1:$I$89,3,0)*0.475*44/12</f>
        <v>0.43807913722405883</v>
      </c>
      <c r="CN96" s="22">
        <f t="shared" si="66"/>
        <v>46.918019618006035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204.15575418077316</v>
      </c>
      <c r="CZ96" s="59">
        <f t="shared" si="96"/>
        <v>473.73726605265045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22.501812779747862</v>
      </c>
      <c r="DG96" s="21">
        <f>EXP(-LN(2)/25)*DG95+(1-EXP(-LN(2)/25))/(LN(2)/25)*Calculateur!DB96*Calculateur!DD96*VLOOKUP('Données projet'!$B$13,Paramètres!$A$1:$I$89,3,0)*0.475*44/12</f>
        <v>8.0037233860122523</v>
      </c>
      <c r="DH96" s="21">
        <f>EXP(-LN(2)/2)*DH95+(1-EXP(-LN(2)/2))/(LN(2)/2)*DB96*DE96*VLOOKUP('Données projet'!$B$13,Paramètres!$A$1:$I$89,3,0)*0.475*44/12</f>
        <v>1.7735277078097286E-9</v>
      </c>
      <c r="DI96" s="22">
        <f t="shared" si="69"/>
        <v>30.505536167533641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216.83230520434313</v>
      </c>
      <c r="T97" s="59">
        <f t="shared" si="88"/>
        <v>275.41891707278205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49.091420963590309</v>
      </c>
      <c r="AA97" s="21">
        <f>EXP(-LN(2)/25)*AA96+(1-EXP(-LN(2)/25))/(LN(2)/25)*Calculateur!V97*Calculateur!X97*VLOOKUP('Données projet'!$B$9,Paramètres!$A$1:$I$89,3,0)*0.475*44/12</f>
        <v>6.4906645543242849</v>
      </c>
      <c r="AB97" s="21">
        <f>EXP(-LN(2)/2)*AB96+(1-EXP(-LN(2)/2))/(LN(2)/2)*V97*Y97*VLOOKUP('Données projet'!$B$9,Paramètres!$A$1:$I$89,3,0)*0.475*44/12</f>
        <v>2.4199621644460036E-6</v>
      </c>
      <c r="AC97" s="22">
        <f t="shared" si="57"/>
        <v>55.582087937876757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277.83599999999984</v>
      </c>
      <c r="AK97" s="13">
        <f t="shared" si="89"/>
        <v>66.509487177652261</v>
      </c>
      <c r="AL97" s="20">
        <f t="shared" si="58"/>
        <v>599.73505683441078</v>
      </c>
      <c r="AM97" s="59">
        <f t="shared" si="59"/>
        <v>893.06839016774416</v>
      </c>
      <c r="AN97" s="59">
        <f ca="1">AVERAGE(OFFSET($AM$3,0,0,'Données projet'!$E$10+1,1))-AVERAGE(OFFSET($H$3,0,0,'Données projet'!$E$10+1,1))</f>
        <v>292.42154837691379</v>
      </c>
      <c r="AO97" s="59">
        <f t="shared" si="90"/>
        <v>193.18009444354601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50.906801554792303</v>
      </c>
      <c r="AV97" s="21">
        <f>EXP(-LN(2)/25)*AV96+(1-EXP(-LN(2)/25))/(LN(2)/25)*Calculateur!AQ97*Calculateur!AS97*VLOOKUP('Données projet'!$B$10,Paramètres!$A$1:$I$89,3,0)*0.475*44/12</f>
        <v>2.4288906849128415</v>
      </c>
      <c r="AW97" s="21">
        <f>EXP(-LN(2)/2)*AW96+(1-EXP(-LN(2)/2))/(LN(2)/2)*AQ97*AT97*VLOOKUP('Données projet'!$B$10,Paramètres!$A$1:$I$89,3,0)*0.475*44/12</f>
        <v>0.3660877170173612</v>
      </c>
      <c r="AX97" s="21">
        <f t="shared" si="60"/>
        <v>53.701779956722504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322</v>
      </c>
      <c r="BE97" s="13">
        <f>BD97*VLOOKUP('Données projet'!$B$11,Paramètres!$A$1:$I$89,3,0)*VLOOKUP('Données projet'!$B$11,Paramètres!$A$1:$I$89,5,0)</f>
        <v>306.41519999999997</v>
      </c>
      <c r="BF97" s="13">
        <f t="shared" si="91"/>
        <v>72.519675217547672</v>
      </c>
      <c r="BG97" s="20">
        <f t="shared" si="61"/>
        <v>659.9782410038955</v>
      </c>
      <c r="BH97" s="59">
        <f t="shared" si="62"/>
        <v>953.31157433722888</v>
      </c>
      <c r="BI97" s="59">
        <f ca="1">AVERAGE(OFFSET($BH$3,0,0,'Données projet'!$E$11+1,1))-AVERAGE(OFFSET($H$3,0,0,'Données projet'!$E$11+1,1))</f>
        <v>339.00921630742886</v>
      </c>
      <c r="BJ97" s="59">
        <f t="shared" si="92"/>
        <v>314.95763895978303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42.727418824233375</v>
      </c>
      <c r="BQ97" s="21">
        <f>EXP(-LN(2)/25)*BQ96+(1-EXP(-LN(2)/25))/(LN(2)/25)*Calculateur!BL97*Calculateur!BN97*VLOOKUP('Données projet'!$B$11,Paramètres!$A$1:$I$89,3,0)*0.475*44/12</f>
        <v>2.1864200709591262</v>
      </c>
      <c r="BR97" s="21">
        <f>EXP(-LN(2)/2)*BR96+(1-EXP(-LN(2)/2))/(LN(2)/2)*BL97*BO97*VLOOKUP('Données projet'!$B$11,Paramètres!$A$1:$I$89,3,0)*0.475*44/12</f>
        <v>5.8445685203363643E-2</v>
      </c>
      <c r="BS97" s="22">
        <f t="shared" si="63"/>
        <v>44.972284580395865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6.2</v>
      </c>
      <c r="BY97" s="12">
        <f>IF('Données projet'!$A$114&gt;35,BY96+BX97-CG96,IF(A97&lt;'Données projet'!$A$114,$BV$205^A97,IF(A97='Données projet'!$A$114,'Données projet'!$B$114,BY96+BX97-CG96)))</f>
        <v>299.79999999999984</v>
      </c>
      <c r="BZ97" s="13">
        <f>BY97*VLOOKUP('Données projet'!$B$12,Paramètres!$A$1:$I$89,3,0)*VLOOKUP('Données projet'!$B$12,Paramètres!$A$1:$I$89,5,0)</f>
        <v>257.22839999999991</v>
      </c>
      <c r="CA97" s="13">
        <f t="shared" si="93"/>
        <v>62.131216841636373</v>
      </c>
      <c r="CB97" s="20">
        <f t="shared" si="64"/>
        <v>556.21799933251657</v>
      </c>
      <c r="CC97" s="59">
        <f t="shared" si="65"/>
        <v>849.55133266584994</v>
      </c>
      <c r="CD97" s="59">
        <f ca="1">AVERAGE(OFFSET($CC$3,0,0,'Données projet'!$E$12+1,1))-AVERAGE(OFFSET($H$3,0,0,'Données projet'!$E$12+1,1))</f>
        <v>204.6927427024138</v>
      </c>
      <c r="CE97" s="59">
        <f t="shared" si="94"/>
        <v>115.74231133146816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42.936897378426679</v>
      </c>
      <c r="CL97" s="21">
        <f>EXP(-LN(2)/25)*CL96+(1-EXP(-LN(2)/25))/(LN(2)/25)*Calculateur!CG97*Calculateur!CI97*VLOOKUP('Données projet'!$B$12,Paramètres!$A$1:$I$89,3,0)*0.475*44/12</f>
        <v>2.6108354752550658</v>
      </c>
      <c r="CM97" s="21">
        <f>EXP(-LN(2)/2)*CM96+(1-EXP(-LN(2)/2))/(LN(2)/2)*CG97*CJ97*VLOOKUP('Données projet'!$B$12,Paramètres!$A$1:$I$89,3,0)*0.475*44/12</f>
        <v>0.30976872862748411</v>
      </c>
      <c r="CN97" s="22">
        <f t="shared" si="66"/>
        <v>45.857501582309226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204.15575418077316</v>
      </c>
      <c r="CZ97" s="59">
        <f t="shared" si="96"/>
        <v>473.73726605265045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22.060565955887597</v>
      </c>
      <c r="DG97" s="21">
        <f>EXP(-LN(2)/25)*DG96+(1-EXP(-LN(2)/25))/(LN(2)/25)*Calculateur!DB97*Calculateur!DD97*VLOOKUP('Données projet'!$B$13,Paramètres!$A$1:$I$89,3,0)*0.475*44/12</f>
        <v>7.784861149124227</v>
      </c>
      <c r="DH97" s="21">
        <f>EXP(-LN(2)/2)*DH96+(1-EXP(-LN(2)/2))/(LN(2)/2)*DB97*DE97*VLOOKUP('Données projet'!$B$13,Paramètres!$A$1:$I$89,3,0)*0.475*44/12</f>
        <v>1.254073468814493E-9</v>
      </c>
      <c r="DI97" s="22">
        <f t="shared" si="69"/>
        <v>29.845427106265895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216.83230520434313</v>
      </c>
      <c r="T98" s="59">
        <f t="shared" si="88"/>
        <v>275.41891707278205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48.128768141304484</v>
      </c>
      <c r="AA98" s="21">
        <f>EXP(-LN(2)/25)*AA97+(1-EXP(-LN(2)/25))/(LN(2)/25)*Calculateur!V98*Calculateur!X98*VLOOKUP('Données projet'!$B$9,Paramètres!$A$1:$I$89,3,0)*0.475*44/12</f>
        <v>6.3131769907570732</v>
      </c>
      <c r="AB98" s="21">
        <f>EXP(-LN(2)/2)*AB97+(1-EXP(-LN(2)/2))/(LN(2)/2)*V98*Y98*VLOOKUP('Données projet'!$B$9,Paramètres!$A$1:$I$89,3,0)*0.475*44/12</f>
        <v>1.7111716566946442E-6</v>
      </c>
      <c r="AC98" s="22">
        <f t="shared" si="57"/>
        <v>54.441946843233211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282.90599999999989</v>
      </c>
      <c r="AK98" s="13">
        <f t="shared" si="89"/>
        <v>67.580760694123455</v>
      </c>
      <c r="AL98" s="20">
        <f t="shared" si="58"/>
        <v>610.43110820893151</v>
      </c>
      <c r="AM98" s="59">
        <f t="shared" si="59"/>
        <v>903.76444154226488</v>
      </c>
      <c r="AN98" s="59">
        <f ca="1">AVERAGE(OFFSET($AM$3,0,0,'Données projet'!$E$10+1,1))-AVERAGE(OFFSET($H$3,0,0,'Données projet'!$E$10+1,1))</f>
        <v>292.42154837691379</v>
      </c>
      <c r="AO98" s="59">
        <f t="shared" si="90"/>
        <v>193.18009444354601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0.34400000000000003</v>
      </c>
      <c r="AS98" s="16">
        <f>IF(ISNA(VLOOKUP(A98,'Données projet'!$A$61:$I$81,6,0)),0%,VLOOKUP(A98,'Données projet'!$A$61:$I$81,6,0)*VLOOKUP('Données projet'!$B$10,Paramètres!$A$1:$I$89,7,0))</f>
        <v>1.72E-2</v>
      </c>
      <c r="AT98" s="16">
        <f>IF(ISNA(VLOOKUP(A98,'Données projet'!$A$61:$I$81,7,0)),0%,VLOOKUP(A98,'Données projet'!$A$61:$I$81,7,0))</f>
        <v>0.06</v>
      </c>
      <c r="AU98" s="21">
        <f>EXP(-LN(2)/35)*AU97+(1-EXP(-LN(2)/35))/(LN(2)/35)*AQ98*AR98*VLOOKUP('Données projet'!$B$10,Paramètres!$A$1:$I$89,3,0)*0.475*44/12</f>
        <v>58.006271100436315</v>
      </c>
      <c r="AV98" s="21">
        <f>EXP(-LN(2)/25)*AV97+(1-EXP(-LN(2)/25))/(LN(2)/25)*Calculateur!AQ98*Calculateur!AS98*VLOOKUP('Données projet'!$B$10,Paramètres!$A$1:$I$89,3,0)*0.475*44/12</f>
        <v>2.7657643944788792</v>
      </c>
      <c r="AW98" s="21">
        <f>EXP(-LN(2)/2)*AW97+(1-EXP(-LN(2)/2))/(LN(2)/2)*AQ98*AT98*VLOOKUP('Données projet'!$B$10,Paramètres!$A$1:$I$89,3,0)*0.475*44/12</f>
        <v>1.4643508343885063</v>
      </c>
      <c r="AX98" s="21">
        <f t="shared" si="60"/>
        <v>62.236386329303699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322</v>
      </c>
      <c r="BE98" s="13">
        <f>BD98*VLOOKUP('Données projet'!$B$11,Paramètres!$A$1:$I$89,3,0)*VLOOKUP('Données projet'!$B$11,Paramètres!$A$1:$I$89,5,0)</f>
        <v>306.41519999999997</v>
      </c>
      <c r="BF98" s="13">
        <f t="shared" si="91"/>
        <v>72.519675217547672</v>
      </c>
      <c r="BG98" s="20">
        <f t="shared" si="61"/>
        <v>659.9782410038955</v>
      </c>
      <c r="BH98" s="59">
        <f t="shared" si="62"/>
        <v>953.31157433722888</v>
      </c>
      <c r="BI98" s="59">
        <f ca="1">AVERAGE(OFFSET($BH$3,0,0,'Données projet'!$E$11+1,1))-AVERAGE(OFFSET($H$3,0,0,'Données projet'!$E$11+1,1))</f>
        <v>339.00921630742886</v>
      </c>
      <c r="BJ98" s="59">
        <f t="shared" si="92"/>
        <v>314.95763895978303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41.889560202242315</v>
      </c>
      <c r="BQ98" s="21">
        <f>EXP(-LN(2)/25)*BQ97+(1-EXP(-LN(2)/25))/(LN(2)/25)*Calculateur!BL98*Calculateur!BN98*VLOOKUP('Données projet'!$B$11,Paramètres!$A$1:$I$89,3,0)*0.475*44/12</f>
        <v>2.1266322991399145</v>
      </c>
      <c r="BR98" s="21">
        <f>EXP(-LN(2)/2)*BR97+(1-EXP(-LN(2)/2))/(LN(2)/2)*BL98*BO98*VLOOKUP('Données projet'!$B$11,Paramètres!$A$1:$I$89,3,0)*0.475*44/12</f>
        <v>4.1327340338392693E-2</v>
      </c>
      <c r="BS98" s="22">
        <f t="shared" si="63"/>
        <v>44.05751984172062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306</v>
      </c>
      <c r="BW98" s="12">
        <f>VLOOKUP(A98,'Données projet'!$A$113:$I$133,9,0)</f>
        <v>6.2</v>
      </c>
      <c r="BX98" s="12">
        <f t="array" ref="BX98">INDEX(BW:BW,MIN(IF(ISNUMBER(BW98:BW294),ROW(BW98:BW294),"")))</f>
        <v>6.2</v>
      </c>
      <c r="BY98" s="12">
        <f>IF('Données projet'!$A$114&gt;35,BY97+BX98-CG97,IF(A98&lt;'Données projet'!$A$114,$BV$205^A98,IF(A98='Données projet'!$A$114,'Données projet'!$B$114,BY97+BX98-CG97)))</f>
        <v>305.99999999999983</v>
      </c>
      <c r="BZ98" s="13">
        <f>BY98*VLOOKUP('Données projet'!$B$12,Paramètres!$A$1:$I$89,3,0)*VLOOKUP('Données projet'!$B$12,Paramètres!$A$1:$I$89,5,0)</f>
        <v>262.54799999999989</v>
      </c>
      <c r="CA98" s="13">
        <f t="shared" si="93"/>
        <v>63.265199933079387</v>
      </c>
      <c r="CB98" s="20">
        <f t="shared" si="64"/>
        <v>567.45798988344643</v>
      </c>
      <c r="CC98" s="59">
        <f t="shared" si="65"/>
        <v>860.7913232167798</v>
      </c>
      <c r="CD98" s="59">
        <f ca="1">AVERAGE(OFFSET($CC$3,0,0,'Données projet'!$E$12+1,1))-AVERAGE(OFFSET($H$3,0,0,'Données projet'!$E$12+1,1))</f>
        <v>204.6927427024138</v>
      </c>
      <c r="CE98" s="59">
        <f t="shared" si="94"/>
        <v>115.74231133146816</v>
      </c>
      <c r="CF98" s="15">
        <f>IF(ISNA(VLOOKUP(A98,'Données projet'!$A$113:$I$133,3,0)),0,VLOOKUP(A98,'Données projet'!$A$113:$I$133,3,0))</f>
        <v>14</v>
      </c>
      <c r="CG98" s="15">
        <f>IF(ISNA(VLOOKUP(A98,'Données projet'!$A$113:$I$133,4,0)),0,VLOOKUP(A98,'Données projet'!$A$113:$I$133,4,0))</f>
        <v>20</v>
      </c>
      <c r="CH98" s="16">
        <f>IF(ISNA(VLOOKUP(A98,'Données projet'!$A$113:$I$133,5,0)),0%,VLOOKUP(A98,'Données projet'!$A$113:$I$133,5,0)*VLOOKUP('Données projet'!$B$12,Paramètres!$A$1:$I$89,7,0))</f>
        <v>0.42400000000000004</v>
      </c>
      <c r="CI98" s="16">
        <f>IF(ISNA(VLOOKUP(A98,'Données projet'!$A$113:$I$133,6,0)),0%,VLOOKUP(A98,'Données projet'!$A$113:$I$133,6,0)*VLOOKUP('Données projet'!$B$12,Paramètres!$A$1:$I$89,7,0))</f>
        <v>2.12E-2</v>
      </c>
      <c r="CJ98" s="16">
        <f>IF(ISNA(VLOOKUP(A98,'Données projet'!$A$113:$I$133,7,0)),0%,VLOOKUP(A98,'Données projet'!$A$113:$I$133,7,0))</f>
        <v>0.06</v>
      </c>
      <c r="CK98" s="21">
        <f>EXP(-LN(2)/35)*CK97+(1-EXP(-LN(2)/35))/(LN(2)/35)*CG98*CH98*VLOOKUP('Données projet'!$B$12,Paramètres!$A$1:$I$89,3,0)*0.475*44/12</f>
        <v>50.138156615978211</v>
      </c>
      <c r="CL98" s="21">
        <f>EXP(-LN(2)/25)*CL97+(1-EXP(-LN(2)/25))/(LN(2)/25)*Calculateur!CG98*Calculateur!CI98*VLOOKUP('Données projet'!$B$12,Paramètres!$A$1:$I$89,3,0)*0.475*44/12</f>
        <v>2.940019860001351</v>
      </c>
      <c r="CM98" s="21">
        <f>EXP(-LN(2)/2)*CM97+(1-EXP(-LN(2)/2))/(LN(2)/2)*CG98*CJ98*VLOOKUP('Données projet'!$B$12,Paramètres!$A$1:$I$89,3,0)*0.475*44/12</f>
        <v>1.1904948798897372</v>
      </c>
      <c r="CN98" s="22">
        <f t="shared" si="66"/>
        <v>54.268671355869301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204.15575418077316</v>
      </c>
      <c r="CZ98" s="59">
        <f t="shared" si="96"/>
        <v>473.73726605265045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21.627971713109243</v>
      </c>
      <c r="DG98" s="21">
        <f>EXP(-LN(2)/25)*DG97+(1-EXP(-LN(2)/25))/(LN(2)/25)*Calculateur!DB98*Calculateur!DD98*VLOOKUP('Données projet'!$B$13,Paramètres!$A$1:$I$89,3,0)*0.475*44/12</f>
        <v>7.5719837116133695</v>
      </c>
      <c r="DH98" s="21">
        <f>EXP(-LN(2)/2)*DH97+(1-EXP(-LN(2)/2))/(LN(2)/2)*DB98*DE98*VLOOKUP('Données projet'!$B$13,Paramètres!$A$1:$I$89,3,0)*0.475*44/12</f>
        <v>8.8676385390486431E-10</v>
      </c>
      <c r="DI98" s="22">
        <f t="shared" si="69"/>
        <v>29.199955425609378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216.83230520434313</v>
      </c>
      <c r="T99" s="59">
        <f t="shared" si="88"/>
        <v>275.41891707278205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47.184992353703443</v>
      </c>
      <c r="AA99" s="21">
        <f>EXP(-LN(2)/25)*AA98+(1-EXP(-LN(2)/25))/(LN(2)/25)*Calculateur!V99*Calculateur!X99*VLOOKUP('Données projet'!$B$9,Paramètres!$A$1:$I$89,3,0)*0.475*44/12</f>
        <v>6.1405428339492723</v>
      </c>
      <c r="AB99" s="21">
        <f>EXP(-LN(2)/2)*AB98+(1-EXP(-LN(2)/2))/(LN(2)/2)*V99*Y99*VLOOKUP('Données projet'!$B$9,Paramètres!$A$1:$I$89,3,0)*0.475*44/12</f>
        <v>1.2099810822230018E-6</v>
      </c>
      <c r="AC99" s="22">
        <f t="shared" si="57"/>
        <v>53.325536397633797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266.47919999999988</v>
      </c>
      <c r="AK99" s="13">
        <f t="shared" si="89"/>
        <v>64.101496824889622</v>
      </c>
      <c r="AL99" s="20">
        <f t="shared" si="58"/>
        <v>575.76138030334926</v>
      </c>
      <c r="AM99" s="59">
        <f t="shared" si="59"/>
        <v>869.09471363668263</v>
      </c>
      <c r="AN99" s="59">
        <f ca="1">AVERAGE(OFFSET($AM$3,0,0,'Données projet'!$E$10+1,1))-AVERAGE(OFFSET($H$3,0,0,'Données projet'!$E$10+1,1))</f>
        <v>292.42154837691379</v>
      </c>
      <c r="AO99" s="59">
        <f t="shared" si="90"/>
        <v>193.18009444354601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56.868803504488611</v>
      </c>
      <c r="AV99" s="21">
        <f>EXP(-LN(2)/25)*AV98+(1-EXP(-LN(2)/25))/(LN(2)/25)*Calculateur!AQ99*Calculateur!AS99*VLOOKUP('Données projet'!$B$10,Paramètres!$A$1:$I$89,3,0)*0.475*44/12</f>
        <v>2.6901344216666261</v>
      </c>
      <c r="AW99" s="21">
        <f>EXP(-LN(2)/2)*AW98+(1-EXP(-LN(2)/2))/(LN(2)/2)*AQ99*AT99*VLOOKUP('Données projet'!$B$10,Paramètres!$A$1:$I$89,3,0)*0.475*44/12</f>
        <v>1.035452405032292</v>
      </c>
      <c r="AX99" s="21">
        <f t="shared" si="60"/>
        <v>60.594390331187533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322</v>
      </c>
      <c r="BE99" s="13">
        <f>BD99*VLOOKUP('Données projet'!$B$11,Paramètres!$A$1:$I$89,3,0)*VLOOKUP('Données projet'!$B$11,Paramètres!$A$1:$I$89,5,0)</f>
        <v>306.41519999999997</v>
      </c>
      <c r="BF99" s="13">
        <f t="shared" si="91"/>
        <v>72.519675217547672</v>
      </c>
      <c r="BG99" s="20">
        <f t="shared" si="61"/>
        <v>659.9782410038955</v>
      </c>
      <c r="BH99" s="59">
        <f t="shared" si="62"/>
        <v>953.31157433722888</v>
      </c>
      <c r="BI99" s="59">
        <f ca="1">AVERAGE(OFFSET($BH$3,0,0,'Données projet'!$E$11+1,1))-AVERAGE(OFFSET($H$3,0,0,'Données projet'!$E$11+1,1))</f>
        <v>339.00921630742886</v>
      </c>
      <c r="BJ99" s="59">
        <f t="shared" si="92"/>
        <v>314.95763895978303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41.068131476785204</v>
      </c>
      <c r="BQ99" s="21">
        <f>EXP(-LN(2)/25)*BQ98+(1-EXP(-LN(2)/25))/(LN(2)/25)*Calculateur!BL99*Calculateur!BN99*VLOOKUP('Données projet'!$B$11,Paramètres!$A$1:$I$89,3,0)*0.475*44/12</f>
        <v>2.0684794270852014</v>
      </c>
      <c r="BR99" s="21">
        <f>EXP(-LN(2)/2)*BR98+(1-EXP(-LN(2)/2))/(LN(2)/2)*BL99*BO99*VLOOKUP('Données projet'!$B$11,Paramètres!$A$1:$I$89,3,0)*0.475*44/12</f>
        <v>2.9222842601681821E-2</v>
      </c>
      <c r="BS99" s="22">
        <f t="shared" si="63"/>
        <v>43.165833746472089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</v>
      </c>
      <c r="BY99" s="12">
        <f>IF('Données projet'!$A$114&gt;35,BY98+BX99-CG98,IF(A99&lt;'Données projet'!$A$114,$BV$205^A99,IF(A99='Données projet'!$A$114,'Données projet'!$B$114,BY98+BX99-CG98)))</f>
        <v>291.99999999999983</v>
      </c>
      <c r="BZ99" s="13">
        <f>BY99*VLOOKUP('Données projet'!$B$12,Paramètres!$A$1:$I$89,3,0)*VLOOKUP('Données projet'!$B$12,Paramètres!$A$1:$I$89,5,0)</f>
        <v>250.53599999999986</v>
      </c>
      <c r="CA99" s="13">
        <f t="shared" si="93"/>
        <v>60.700702874726744</v>
      </c>
      <c r="CB99" s="20">
        <f t="shared" si="64"/>
        <v>542.07059084014872</v>
      </c>
      <c r="CC99" s="59">
        <f t="shared" si="65"/>
        <v>835.40392417348198</v>
      </c>
      <c r="CD99" s="59">
        <f ca="1">AVERAGE(OFFSET($CC$3,0,0,'Données projet'!$E$12+1,1))-AVERAGE(OFFSET($H$3,0,0,'Données projet'!$E$12+1,1))</f>
        <v>204.6927427024138</v>
      </c>
      <c r="CE99" s="59">
        <f t="shared" si="94"/>
        <v>115.74231133146816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49.154977945994766</v>
      </c>
      <c r="CL99" s="21">
        <f>EXP(-LN(2)/25)*CL98+(1-EXP(-LN(2)/25))/(LN(2)/25)*Calculateur!CG99*Calculateur!CI99*VLOOKUP('Données projet'!$B$12,Paramètres!$A$1:$I$89,3,0)*0.475*44/12</f>
        <v>2.8596248623206892</v>
      </c>
      <c r="CM99" s="21">
        <f>EXP(-LN(2)/2)*CM98+(1-EXP(-LN(2)/2))/(LN(2)/2)*CG99*CJ99*VLOOKUP('Données projet'!$B$12,Paramètres!$A$1:$I$89,3,0)*0.475*44/12</f>
        <v>0.84180700253789764</v>
      </c>
      <c r="CN99" s="22">
        <f t="shared" si="66"/>
        <v>52.85640981085335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204.15575418077316</v>
      </c>
      <c r="CZ99" s="59">
        <f t="shared" si="96"/>
        <v>473.73726605265045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21.203860379575339</v>
      </c>
      <c r="DG99" s="21">
        <f>EXP(-LN(2)/25)*DG98+(1-EXP(-LN(2)/25))/(LN(2)/25)*Calculateur!DB99*Calculateur!DD99*VLOOKUP('Données projet'!$B$13,Paramètres!$A$1:$I$89,3,0)*0.475*44/12</f>
        <v>7.3649274188259843</v>
      </c>
      <c r="DH99" s="21">
        <f>EXP(-LN(2)/2)*DH98+(1-EXP(-LN(2)/2))/(LN(2)/2)*DB99*DE99*VLOOKUP('Données projet'!$B$13,Paramètres!$A$1:$I$89,3,0)*0.475*44/12</f>
        <v>6.2703673440724648E-10</v>
      </c>
      <c r="DI99" s="22">
        <f t="shared" si="69"/>
        <v>28.56878779902836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216.83230520434313</v>
      </c>
      <c r="T100" s="59">
        <f t="shared" si="88"/>
        <v>275.41891707278205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46.259723433650862</v>
      </c>
      <c r="AA100" s="21">
        <f>EXP(-LN(2)/25)*AA99+(1-EXP(-LN(2)/25))/(LN(2)/25)*Calculateur!V100*Calculateur!X100*VLOOKUP('Données projet'!$B$9,Paramètres!$A$1:$I$89,3,0)*0.475*44/12</f>
        <v>5.9726293672378166</v>
      </c>
      <c r="AB100" s="21">
        <f>EXP(-LN(2)/2)*AB99+(1-EXP(-LN(2)/2))/(LN(2)/2)*V100*Y100*VLOOKUP('Données projet'!$B$9,Paramètres!$A$1:$I$89,3,0)*0.475*44/12</f>
        <v>8.5558582834732211E-7</v>
      </c>
      <c r="AC100" s="22">
        <f t="shared" si="57"/>
        <v>52.232353656474508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271.34639999999985</v>
      </c>
      <c r="AK100" s="13">
        <f t="shared" si="89"/>
        <v>65.134926573557308</v>
      </c>
      <c r="AL100" s="20">
        <f t="shared" si="58"/>
        <v>586.03831044894537</v>
      </c>
      <c r="AM100" s="59">
        <f t="shared" si="59"/>
        <v>879.37164378227862</v>
      </c>
      <c r="AN100" s="59">
        <f ca="1">AVERAGE(OFFSET($AM$3,0,0,'Données projet'!$E$10+1,1))-AVERAGE(OFFSET($H$3,0,0,'Données projet'!$E$10+1,1))</f>
        <v>292.42154837691379</v>
      </c>
      <c r="AO100" s="59">
        <f t="shared" si="90"/>
        <v>193.18009444354601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55.753640954310718</v>
      </c>
      <c r="AV100" s="21">
        <f>EXP(-LN(2)/25)*AV99+(1-EXP(-LN(2)/25))/(LN(2)/25)*Calculateur!AQ100*Calculateur!AS100*VLOOKUP('Données projet'!$B$10,Paramètres!$A$1:$I$89,3,0)*0.475*44/12</f>
        <v>2.6165725544381315</v>
      </c>
      <c r="AW100" s="21">
        <f>EXP(-LN(2)/2)*AW99+(1-EXP(-LN(2)/2))/(LN(2)/2)*AQ100*AT100*VLOOKUP('Données projet'!$B$10,Paramètres!$A$1:$I$89,3,0)*0.475*44/12</f>
        <v>0.73217541719425328</v>
      </c>
      <c r="AX100" s="21">
        <f t="shared" si="60"/>
        <v>59.102388925943103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322</v>
      </c>
      <c r="BE100" s="13">
        <f>BD100*VLOOKUP('Données projet'!$B$11,Paramètres!$A$1:$I$89,3,0)*VLOOKUP('Données projet'!$B$11,Paramètres!$A$1:$I$89,5,0)</f>
        <v>306.41519999999997</v>
      </c>
      <c r="BF100" s="13">
        <f t="shared" si="91"/>
        <v>72.519675217547672</v>
      </c>
      <c r="BG100" s="20">
        <f t="shared" si="61"/>
        <v>659.9782410038955</v>
      </c>
      <c r="BH100" s="59">
        <f t="shared" si="62"/>
        <v>953.31157433722888</v>
      </c>
      <c r="BI100" s="59">
        <f ca="1">AVERAGE(OFFSET($BH$3,0,0,'Données projet'!$E$11+1,1))-AVERAGE(OFFSET($H$3,0,0,'Données projet'!$E$11+1,1))</f>
        <v>339.00921630742886</v>
      </c>
      <c r="BJ100" s="59">
        <f t="shared" si="92"/>
        <v>314.95763895978303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40.262810467612255</v>
      </c>
      <c r="BQ100" s="21">
        <f>EXP(-LN(2)/25)*BQ99+(1-EXP(-LN(2)/25))/(LN(2)/25)*Calculateur!BL100*Calculateur!BN100*VLOOKUP('Données projet'!$B$11,Paramètres!$A$1:$I$89,3,0)*0.475*44/12</f>
        <v>2.0119167483749512</v>
      </c>
      <c r="BR100" s="21">
        <f>EXP(-LN(2)/2)*BR99+(1-EXP(-LN(2)/2))/(LN(2)/2)*BL100*BO100*VLOOKUP('Données projet'!$B$11,Paramètres!$A$1:$I$89,3,0)*0.475*44/12</f>
        <v>2.0663670169196346E-2</v>
      </c>
      <c r="BS100" s="22">
        <f t="shared" si="63"/>
        <v>42.295390886156405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</v>
      </c>
      <c r="BY100" s="12">
        <f>IF('Données projet'!$A$114&gt;35,BY99+BX100-CG99,IF(A100&lt;'Données projet'!$A$114,$BV$205^A100,IF(A100='Données projet'!$A$114,'Données projet'!$B$114,BY99+BX100-CG99)))</f>
        <v>297.99999999999983</v>
      </c>
      <c r="BZ100" s="13">
        <f>BY100*VLOOKUP('Données projet'!$B$12,Paramètres!$A$1:$I$89,3,0)*VLOOKUP('Données projet'!$B$12,Paramètres!$A$1:$I$89,5,0)</f>
        <v>255.68399999999988</v>
      </c>
      <c r="CA100" s="13">
        <f t="shared" si="93"/>
        <v>61.801486802993999</v>
      </c>
      <c r="CB100" s="20">
        <f t="shared" si="64"/>
        <v>552.9538895152142</v>
      </c>
      <c r="CC100" s="59">
        <f t="shared" si="65"/>
        <v>846.28722284854757</v>
      </c>
      <c r="CD100" s="59">
        <f ca="1">AVERAGE(OFFSET($CC$3,0,0,'Données projet'!$E$12+1,1))-AVERAGE(OFFSET($H$3,0,0,'Données projet'!$E$12+1,1))</f>
        <v>204.6927427024138</v>
      </c>
      <c r="CE100" s="59">
        <f t="shared" si="94"/>
        <v>115.74231133146816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48.191078810049923</v>
      </c>
      <c r="CL100" s="21">
        <f>EXP(-LN(2)/25)*CL99+(1-EXP(-LN(2)/25))/(LN(2)/25)*Calculateur!CG100*Calculateur!CI100*VLOOKUP('Données projet'!$B$12,Paramètres!$A$1:$I$89,3,0)*0.475*44/12</f>
        <v>2.7814282700793944</v>
      </c>
      <c r="CM100" s="21">
        <f>EXP(-LN(2)/2)*CM99+(1-EXP(-LN(2)/2))/(LN(2)/2)*CG100*CJ100*VLOOKUP('Données projet'!$B$12,Paramètres!$A$1:$I$89,3,0)*0.475*44/12</f>
        <v>0.59524743994486873</v>
      </c>
      <c r="CN100" s="22">
        <f t="shared" si="66"/>
        <v>51.567754520074189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204.15575418077316</v>
      </c>
      <c r="CZ100" s="59">
        <f t="shared" si="96"/>
        <v>473.73726605265045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20.788065610609664</v>
      </c>
      <c r="DG100" s="21">
        <f>EXP(-LN(2)/25)*DG99+(1-EXP(-LN(2)/25))/(LN(2)/25)*Calculateur!DB100*Calculateur!DD100*VLOOKUP('Données projet'!$B$13,Paramètres!$A$1:$I$89,3,0)*0.475*44/12</f>
        <v>7.1635330912534876</v>
      </c>
      <c r="DH100" s="21">
        <f>EXP(-LN(2)/2)*DH99+(1-EXP(-LN(2)/2))/(LN(2)/2)*DB100*DE100*VLOOKUP('Données projet'!$B$13,Paramètres!$A$1:$I$89,3,0)*0.475*44/12</f>
        <v>4.4338192695243216E-10</v>
      </c>
      <c r="DI100" s="22">
        <f t="shared" si="69"/>
        <v>27.951598702306534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216.83230520434313</v>
      </c>
      <c r="T101" s="59">
        <f t="shared" si="88"/>
        <v>275.41891707278205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45.352598472762203</v>
      </c>
      <c r="AA101" s="21">
        <f>EXP(-LN(2)/25)*AA100+(1-EXP(-LN(2)/25))/(LN(2)/25)*Calculateur!V101*Calculateur!X101*VLOOKUP('Données projet'!$B$9,Paramètres!$A$1:$I$89,3,0)*0.475*44/12</f>
        <v>5.8093075031037706</v>
      </c>
      <c r="AB101" s="21">
        <f>EXP(-LN(2)/2)*AB100+(1-EXP(-LN(2)/2))/(LN(2)/2)*V101*Y101*VLOOKUP('Données projet'!$B$9,Paramètres!$A$1:$I$89,3,0)*0.475*44/12</f>
        <v>6.049905411115009E-7</v>
      </c>
      <c r="AC101" s="22">
        <f t="shared" si="57"/>
        <v>51.161906580856517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276.21359999999987</v>
      </c>
      <c r="AK101" s="13">
        <f t="shared" si="89"/>
        <v>66.166200760877416</v>
      </c>
      <c r="AL101" s="20">
        <f t="shared" si="58"/>
        <v>596.31148632519455</v>
      </c>
      <c r="AM101" s="59">
        <f t="shared" si="59"/>
        <v>889.64481965852792</v>
      </c>
      <c r="AN101" s="59">
        <f ca="1">AVERAGE(OFFSET($AM$3,0,0,'Données projet'!$E$10+1,1))-AVERAGE(OFFSET($H$3,0,0,'Données projet'!$E$10+1,1))</f>
        <v>292.42154837691379</v>
      </c>
      <c r="AO101" s="59">
        <f t="shared" si="90"/>
        <v>193.18009444354601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54.660346061559821</v>
      </c>
      <c r="AV101" s="21">
        <f>EXP(-LN(2)/25)*AV100+(1-EXP(-LN(2)/25))/(LN(2)/25)*Calculateur!AQ101*Calculateur!AS101*VLOOKUP('Données projet'!$B$10,Paramètres!$A$1:$I$89,3,0)*0.475*44/12</f>
        <v>2.5450222403374503</v>
      </c>
      <c r="AW101" s="21">
        <f>EXP(-LN(2)/2)*AW100+(1-EXP(-LN(2)/2))/(LN(2)/2)*AQ101*AT101*VLOOKUP('Données projet'!$B$10,Paramètres!$A$1:$I$89,3,0)*0.475*44/12</f>
        <v>0.51772620251614598</v>
      </c>
      <c r="AX101" s="21">
        <f t="shared" si="60"/>
        <v>57.723094504413417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322</v>
      </c>
      <c r="BE101" s="13">
        <f>BD101*VLOOKUP('Données projet'!$B$11,Paramètres!$A$1:$I$89,3,0)*VLOOKUP('Données projet'!$B$11,Paramètres!$A$1:$I$89,5,0)</f>
        <v>306.41519999999997</v>
      </c>
      <c r="BF101" s="13">
        <f t="shared" si="91"/>
        <v>72.519675217547672</v>
      </c>
      <c r="BG101" s="20">
        <f t="shared" si="61"/>
        <v>659.9782410038955</v>
      </c>
      <c r="BH101" s="59">
        <f t="shared" si="62"/>
        <v>953.31157433722888</v>
      </c>
      <c r="BI101" s="59">
        <f ca="1">AVERAGE(OFFSET($BH$3,0,0,'Données projet'!$E$11+1,1))-AVERAGE(OFFSET($H$3,0,0,'Données projet'!$E$11+1,1))</f>
        <v>339.00921630742886</v>
      </c>
      <c r="BJ101" s="59">
        <f t="shared" si="92"/>
        <v>314.95763895978303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39.473281312231876</v>
      </c>
      <c r="BQ101" s="21">
        <f>EXP(-LN(2)/25)*BQ100+(1-EXP(-LN(2)/25))/(LN(2)/25)*Calculateur!BL101*Calculateur!BN101*VLOOKUP('Données projet'!$B$11,Paramètres!$A$1:$I$89,3,0)*0.475*44/12</f>
        <v>1.9569007790885347</v>
      </c>
      <c r="BR101" s="21">
        <f>EXP(-LN(2)/2)*BR100+(1-EXP(-LN(2)/2))/(LN(2)/2)*BL101*BO101*VLOOKUP('Données projet'!$B$11,Paramètres!$A$1:$I$89,3,0)*0.475*44/12</f>
        <v>1.4611421300840911E-2</v>
      </c>
      <c r="BS101" s="22">
        <f t="shared" si="63"/>
        <v>41.444793512621253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</v>
      </c>
      <c r="BY101" s="12">
        <f>IF('Données projet'!$A$114&gt;35,BY100+BX101-CG100,IF(A101&lt;'Données projet'!$A$114,$BV$205^A101,IF(A101='Données projet'!$A$114,'Données projet'!$B$114,BY100+BX101-CG100)))</f>
        <v>303.99999999999983</v>
      </c>
      <c r="BZ101" s="13">
        <f>BY101*VLOOKUP('Données projet'!$B$12,Paramètres!$A$1:$I$89,3,0)*VLOOKUP('Données projet'!$B$12,Paramètres!$A$1:$I$89,5,0)</f>
        <v>260.83199999999988</v>
      </c>
      <c r="CA101" s="13">
        <f t="shared" si="93"/>
        <v>62.899693744110721</v>
      </c>
      <c r="CB101" s="20">
        <f t="shared" si="64"/>
        <v>563.8326999376593</v>
      </c>
      <c r="CC101" s="59">
        <f t="shared" si="65"/>
        <v>857.16603327099256</v>
      </c>
      <c r="CD101" s="59">
        <f ca="1">AVERAGE(OFFSET($CC$3,0,0,'Données projet'!$E$12+1,1))-AVERAGE(OFFSET($H$3,0,0,'Données projet'!$E$12+1,1))</f>
        <v>204.6927427024138</v>
      </c>
      <c r="CE101" s="59">
        <f t="shared" si="94"/>
        <v>115.74231133146816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47.246081148240535</v>
      </c>
      <c r="CL101" s="21">
        <f>EXP(-LN(2)/25)*CL100+(1-EXP(-LN(2)/25))/(LN(2)/25)*Calculateur!CG101*Calculateur!CI101*VLOOKUP('Données projet'!$B$12,Paramètres!$A$1:$I$89,3,0)*0.475*44/12</f>
        <v>2.7053699677651175</v>
      </c>
      <c r="CM101" s="21">
        <f>EXP(-LN(2)/2)*CM100+(1-EXP(-LN(2)/2))/(LN(2)/2)*CG101*CJ101*VLOOKUP('Données projet'!$B$12,Paramètres!$A$1:$I$89,3,0)*0.475*44/12</f>
        <v>0.42090350126894893</v>
      </c>
      <c r="CN101" s="22">
        <f t="shared" si="66"/>
        <v>50.372354617274596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204.15575418077316</v>
      </c>
      <c r="CZ101" s="59">
        <f t="shared" si="96"/>
        <v>473.73726605265045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20.380424323453639</v>
      </c>
      <c r="DG101" s="21">
        <f>EXP(-LN(2)/25)*DG100+(1-EXP(-LN(2)/25))/(LN(2)/25)*Calculateur!DB101*Calculateur!DD101*VLOOKUP('Données projet'!$B$13,Paramètres!$A$1:$I$89,3,0)*0.475*44/12</f>
        <v>6.9676459021593278</v>
      </c>
      <c r="DH101" s="21">
        <f>EXP(-LN(2)/2)*DH100+(1-EXP(-LN(2)/2))/(LN(2)/2)*DB101*DE101*VLOOKUP('Données projet'!$B$13,Paramètres!$A$1:$I$89,3,0)*0.475*44/12</f>
        <v>3.1351836720362324E-10</v>
      </c>
      <c r="DI101" s="22">
        <f t="shared" si="69"/>
        <v>27.348070225926485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216.83230520434313</v>
      </c>
      <c r="T102" s="59">
        <f t="shared" si="88"/>
        <v>275.41891707278205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44.463261679064971</v>
      </c>
      <c r="AA102" s="21">
        <f>EXP(-LN(2)/25)*AA101+(1-EXP(-LN(2)/25))/(LN(2)/25)*Calculateur!V102*Calculateur!X102*VLOOKUP('Données projet'!$B$9,Paramètres!$A$1:$I$89,3,0)*0.475*44/12</f>
        <v>5.650451683933194</v>
      </c>
      <c r="AB102" s="21">
        <f>EXP(-LN(2)/2)*AB101+(1-EXP(-LN(2)/2))/(LN(2)/2)*V102*Y102*VLOOKUP('Données projet'!$B$9,Paramètres!$A$1:$I$89,3,0)*0.475*44/12</f>
        <v>4.2779291417366105E-7</v>
      </c>
      <c r="AC102" s="22">
        <f t="shared" si="57"/>
        <v>50.113713790791074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281.0807999999999</v>
      </c>
      <c r="AK102" s="13">
        <f t="shared" si="89"/>
        <v>67.19536175254612</v>
      </c>
      <c r="AL102" s="20">
        <f t="shared" si="58"/>
        <v>606.58098171901759</v>
      </c>
      <c r="AM102" s="59">
        <f t="shared" si="59"/>
        <v>899.91431505235096</v>
      </c>
      <c r="AN102" s="59">
        <f ca="1">AVERAGE(OFFSET($AM$3,0,0,'Données projet'!$E$10+1,1))-AVERAGE(OFFSET($H$3,0,0,'Données projet'!$E$10+1,1))</f>
        <v>292.42154837691379</v>
      </c>
      <c r="AO102" s="59">
        <f t="shared" si="90"/>
        <v>193.18009444354601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53.588490014811725</v>
      </c>
      <c r="AV102" s="21">
        <f>EXP(-LN(2)/25)*AV101+(1-EXP(-LN(2)/25))/(LN(2)/25)*Calculateur!AQ102*Calculateur!AS102*VLOOKUP('Données projet'!$B$10,Paramètres!$A$1:$I$89,3,0)*0.475*44/12</f>
        <v>2.4754284733385199</v>
      </c>
      <c r="AW102" s="21">
        <f>EXP(-LN(2)/2)*AW101+(1-EXP(-LN(2)/2))/(LN(2)/2)*AQ102*AT102*VLOOKUP('Données projet'!$B$10,Paramètres!$A$1:$I$89,3,0)*0.475*44/12</f>
        <v>0.36608770859712664</v>
      </c>
      <c r="AX102" s="21">
        <f t="shared" si="60"/>
        <v>56.430006196747371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322</v>
      </c>
      <c r="BE102" s="13">
        <f>BD102*VLOOKUP('Données projet'!$B$11,Paramètres!$A$1:$I$89,3,0)*VLOOKUP('Données projet'!$B$11,Paramètres!$A$1:$I$89,5,0)</f>
        <v>306.41519999999997</v>
      </c>
      <c r="BF102" s="13">
        <f t="shared" si="91"/>
        <v>72.519675217547672</v>
      </c>
      <c r="BG102" s="20">
        <f t="shared" si="61"/>
        <v>659.9782410038955</v>
      </c>
      <c r="BH102" s="59">
        <f t="shared" si="62"/>
        <v>953.31157433722888</v>
      </c>
      <c r="BI102" s="59">
        <f ca="1">AVERAGE(OFFSET($BH$3,0,0,'Données projet'!$E$11+1,1))-AVERAGE(OFFSET($H$3,0,0,'Données projet'!$E$11+1,1))</f>
        <v>339.00921630742886</v>
      </c>
      <c r="BJ102" s="59">
        <f t="shared" si="92"/>
        <v>314.95763895978303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38.699234342023267</v>
      </c>
      <c r="BQ102" s="21">
        <f>EXP(-LN(2)/25)*BQ101+(1-EXP(-LN(2)/25))/(LN(2)/25)*Calculateur!BL102*Calculateur!BN102*VLOOKUP('Données projet'!$B$11,Paramètres!$A$1:$I$89,3,0)*0.475*44/12</f>
        <v>1.9033892243754194</v>
      </c>
      <c r="BR102" s="21">
        <f>EXP(-LN(2)/2)*BR101+(1-EXP(-LN(2)/2))/(LN(2)/2)*BL102*BO102*VLOOKUP('Données projet'!$B$11,Paramètres!$A$1:$I$89,3,0)*0.475*44/12</f>
        <v>1.0331835084598173E-2</v>
      </c>
      <c r="BS102" s="22">
        <f t="shared" si="63"/>
        <v>40.612955401483283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</v>
      </c>
      <c r="BY102" s="12">
        <f>IF('Données projet'!$A$114&gt;35,BY101+BX102-CG101,IF(A102&lt;'Données projet'!$A$114,$BV$205^A102,IF(A102='Données projet'!$A$114,'Données projet'!$B$114,BY101+BX102-CG101)))</f>
        <v>309.99999999999983</v>
      </c>
      <c r="BZ102" s="13">
        <f>BY102*VLOOKUP('Données projet'!$B$12,Paramètres!$A$1:$I$89,3,0)*VLOOKUP('Données projet'!$B$12,Paramètres!$A$1:$I$89,5,0)</f>
        <v>265.9799999999999</v>
      </c>
      <c r="CA102" s="13">
        <f t="shared" si="93"/>
        <v>63.995380422211589</v>
      </c>
      <c r="CB102" s="20">
        <f t="shared" si="64"/>
        <v>574.70712090201835</v>
      </c>
      <c r="CC102" s="59">
        <f t="shared" si="65"/>
        <v>868.04045423535172</v>
      </c>
      <c r="CD102" s="59">
        <f ca="1">AVERAGE(OFFSET($CC$3,0,0,'Données projet'!$E$12+1,1))-AVERAGE(OFFSET($H$3,0,0,'Données projet'!$E$12+1,1))</f>
        <v>204.6927427024138</v>
      </c>
      <c r="CE102" s="59">
        <f t="shared" si="94"/>
        <v>115.74231133146816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46.319614314187568</v>
      </c>
      <c r="CL102" s="21">
        <f>EXP(-LN(2)/25)*CL101+(1-EXP(-LN(2)/25))/(LN(2)/25)*Calculateur!CG102*Calculateur!CI102*VLOOKUP('Données projet'!$B$12,Paramètres!$A$1:$I$89,3,0)*0.475*44/12</f>
        <v>2.6313914837273571</v>
      </c>
      <c r="CM102" s="21">
        <f>EXP(-LN(2)/2)*CM101+(1-EXP(-LN(2)/2))/(LN(2)/2)*CG102*CJ102*VLOOKUP('Données projet'!$B$12,Paramètres!$A$1:$I$89,3,0)*0.475*44/12</f>
        <v>0.29762371997243442</v>
      </c>
      <c r="CN102" s="22">
        <f t="shared" si="66"/>
        <v>49.248629517887359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204.15575418077316</v>
      </c>
      <c r="CZ102" s="59">
        <f t="shared" si="96"/>
        <v>473.73726605265045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19.980776633302106</v>
      </c>
      <c r="DG102" s="21">
        <f>EXP(-LN(2)/25)*DG101+(1-EXP(-LN(2)/25))/(LN(2)/25)*Calculateur!DB102*Calculateur!DD102*VLOOKUP('Données projet'!$B$13,Paramètres!$A$1:$I$89,3,0)*0.475*44/12</f>
        <v>6.7771152585522074</v>
      </c>
      <c r="DH102" s="21">
        <f>EXP(-LN(2)/2)*DH101+(1-EXP(-LN(2)/2))/(LN(2)/2)*DB102*DE102*VLOOKUP('Données projet'!$B$13,Paramètres!$A$1:$I$89,3,0)*0.475*44/12</f>
        <v>2.2169096347621608E-10</v>
      </c>
      <c r="DI102" s="22">
        <f t="shared" si="69"/>
        <v>26.757891892076003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216.83230520434313</v>
      </c>
      <c r="T103" s="59">
        <f t="shared" si="88"/>
        <v>275.41891707278205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43.591364237450264</v>
      </c>
      <c r="AA103" s="21">
        <f>EXP(-LN(2)/25)*AA102+(1-EXP(-LN(2)/25))/(LN(2)/25)*Calculateur!V103*Calculateur!X103*VLOOKUP('Données projet'!$B$9,Paramètres!$A$1:$I$89,3,0)*0.475*44/12</f>
        <v>5.4959397854917009</v>
      </c>
      <c r="AB103" s="21">
        <f>EXP(-LN(2)/2)*AB102+(1-EXP(-LN(2)/2))/(LN(2)/2)*V103*Y103*VLOOKUP('Données projet'!$B$9,Paramètres!$A$1:$I$89,3,0)*0.475*44/12</f>
        <v>3.0249527055575045E-7</v>
      </c>
      <c r="AC103" s="22">
        <f t="shared" si="57"/>
        <v>49.087304325437238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285.94799999999992</v>
      </c>
      <c r="AK103" s="13">
        <f t="shared" si="89"/>
        <v>68.222450362989363</v>
      </c>
      <c r="AL103" s="20">
        <f t="shared" si="58"/>
        <v>616.84686771553959</v>
      </c>
      <c r="AM103" s="59">
        <f t="shared" si="59"/>
        <v>910.18020104887296</v>
      </c>
      <c r="AN103" s="59">
        <f ca="1">AVERAGE(OFFSET($AM$3,0,0,'Données projet'!$E$10+1,1))-AVERAGE(OFFSET($H$3,0,0,'Données projet'!$E$10+1,1))</f>
        <v>292.42154837691379</v>
      </c>
      <c r="AO103" s="59">
        <f t="shared" si="90"/>
        <v>193.18009444354601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1.72E-2</v>
      </c>
      <c r="AT103" s="16">
        <f>IF(ISNA(VLOOKUP(A103,'Données projet'!$A$61:$I$81,7,0)),0%,VLOOKUP(A103,'Données projet'!$A$61:$I$81,7,0))</f>
        <v>0.06</v>
      </c>
      <c r="AU103" s="21">
        <f>EXP(-LN(2)/35)*AU102+(1-EXP(-LN(2)/35))/(LN(2)/35)*AQ103*AR103*VLOOKUP('Données projet'!$B$10,Paramètres!$A$1:$I$89,3,0)*0.475*44/12</f>
        <v>60.635373285423206</v>
      </c>
      <c r="AV103" s="21">
        <f>EXP(-LN(2)/25)*AV102+(1-EXP(-LN(2)/25))/(LN(2)/25)*Calculateur!AQ103*Calculateur!AS103*VLOOKUP('Données projet'!$B$10,Paramètres!$A$1:$I$89,3,0)*0.475*44/12</f>
        <v>2.8110296046327417</v>
      </c>
      <c r="AW103" s="21">
        <f>EXP(-LN(2)/2)*AW102+(1-EXP(-LN(2)/2))/(LN(2)/2)*AQ103*AT103*VLOOKUP('Données projet'!$B$10,Paramètres!$A$1:$I$89,3,0)*0.475*44/12</f>
        <v>1.4643508284345015</v>
      </c>
      <c r="AX103" s="21">
        <f t="shared" si="60"/>
        <v>64.910753718490454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322</v>
      </c>
      <c r="BE103" s="13">
        <f>BD103*VLOOKUP('Données projet'!$B$11,Paramètres!$A$1:$I$89,3,0)*VLOOKUP('Données projet'!$B$11,Paramètres!$A$1:$I$89,5,0)</f>
        <v>306.41519999999997</v>
      </c>
      <c r="BF103" s="13">
        <f t="shared" si="91"/>
        <v>72.519675217547672</v>
      </c>
      <c r="BG103" s="20">
        <f t="shared" si="61"/>
        <v>659.9782410038955</v>
      </c>
      <c r="BH103" s="59">
        <f t="shared" si="62"/>
        <v>953.31157433722888</v>
      </c>
      <c r="BI103" s="59">
        <f ca="1">AVERAGE(OFFSET($BH$3,0,0,'Données projet'!$E$11+1,1))-AVERAGE(OFFSET($H$3,0,0,'Données projet'!$E$11+1,1))</f>
        <v>339.00921630742886</v>
      </c>
      <c r="BJ103" s="59">
        <f t="shared" si="92"/>
        <v>314.95763895978303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37.940365960778415</v>
      </c>
      <c r="BQ103" s="21">
        <f>EXP(-LN(2)/25)*BQ102+(1-EXP(-LN(2)/25))/(LN(2)/25)*Calculateur!BL103*Calculateur!BN103*VLOOKUP('Données projet'!$B$11,Paramètres!$A$1:$I$89,3,0)*0.475*44/12</f>
        <v>1.8513409459399846</v>
      </c>
      <c r="BR103" s="21">
        <f>EXP(-LN(2)/2)*BR102+(1-EXP(-LN(2)/2))/(LN(2)/2)*BL103*BO103*VLOOKUP('Données projet'!$B$11,Paramètres!$A$1:$I$89,3,0)*0.475*44/12</f>
        <v>7.3057106504204553E-3</v>
      </c>
      <c r="BS103" s="22">
        <f t="shared" si="63"/>
        <v>39.799012617368824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316</v>
      </c>
      <c r="BW103" s="12">
        <f>VLOOKUP(A103,'Données projet'!$A$113:$I$133,9,0)</f>
        <v>6</v>
      </c>
      <c r="BX103" s="12">
        <f t="array" ref="BX103">INDEX(BW:BW,MIN(IF(ISNUMBER(BW103:BW299),ROW(BW103:BW299),"")))</f>
        <v>6</v>
      </c>
      <c r="BY103" s="12">
        <f>IF('Données projet'!$A$114&gt;35,BY102+BX103-CG102,IF(A103&lt;'Données projet'!$A$114,$BV$205^A103,IF(A103='Données projet'!$A$114,'Données projet'!$B$114,BY102+BX103-CG102)))</f>
        <v>315.99999999999983</v>
      </c>
      <c r="BZ103" s="13">
        <f>BY103*VLOOKUP('Données projet'!$B$12,Paramètres!$A$1:$I$89,3,0)*VLOOKUP('Données projet'!$B$12,Paramètres!$A$1:$I$89,5,0)</f>
        <v>271.12799999999987</v>
      </c>
      <c r="CA103" s="13">
        <f t="shared" si="93"/>
        <v>65.088601240045278</v>
      </c>
      <c r="CB103" s="20">
        <f t="shared" si="64"/>
        <v>585.5772471597453</v>
      </c>
      <c r="CC103" s="59">
        <f t="shared" si="65"/>
        <v>878.91058049307867</v>
      </c>
      <c r="CD103" s="59">
        <f ca="1">AVERAGE(OFFSET($CC$3,0,0,'Données projet'!$E$12+1,1))-AVERAGE(OFFSET($H$3,0,0,'Données projet'!$E$12+1,1))</f>
        <v>204.6927427024138</v>
      </c>
      <c r="CE103" s="59">
        <f t="shared" si="94"/>
        <v>115.74231133146816</v>
      </c>
      <c r="CF103" s="15">
        <f>IF(ISNA(VLOOKUP(A103,'Données projet'!$A$113:$I$133,3,0)),0,VLOOKUP(A103,'Données projet'!$A$113:$I$133,3,0))</f>
        <v>15</v>
      </c>
      <c r="CG103" s="15">
        <f>IF(ISNA(VLOOKUP(A103,'Données projet'!$A$113:$I$133,4,0)),0,VLOOKUP(A103,'Données projet'!$A$113:$I$133,4,0))</f>
        <v>19</v>
      </c>
      <c r="CH103" s="16">
        <f>IF(ISNA(VLOOKUP(A103,'Données projet'!$A$113:$I$133,5,0)),0%,VLOOKUP(A103,'Données projet'!$A$113:$I$133,5,0)*VLOOKUP('Données projet'!$B$12,Paramètres!$A$1:$I$89,7,0))</f>
        <v>0.42400000000000004</v>
      </c>
      <c r="CI103" s="16">
        <f>IF(ISNA(VLOOKUP(A103,'Données projet'!$A$113:$I$133,6,0)),0%,VLOOKUP(A103,'Données projet'!$A$113:$I$133,6,0)*VLOOKUP('Données projet'!$B$12,Paramètres!$A$1:$I$89,7,0))</f>
        <v>2.12E-2</v>
      </c>
      <c r="CJ103" s="16">
        <f>IF(ISNA(VLOOKUP(A103,'Données projet'!$A$113:$I$133,7,0)),0%,VLOOKUP(A103,'Données projet'!$A$113:$I$133,7,0))</f>
        <v>0.06</v>
      </c>
      <c r="CK103" s="21">
        <f>EXP(-LN(2)/35)*CK102+(1-EXP(-LN(2)/35))/(LN(2)/35)*CG103*CH103*VLOOKUP('Données projet'!$B$12,Paramètres!$A$1:$I$89,3,0)*0.475*44/12</f>
        <v>53.052379255571381</v>
      </c>
      <c r="CL103" s="21">
        <f>EXP(-LN(2)/25)*CL102+(1-EXP(-LN(2)/25))/(LN(2)/25)*Calculateur!CG103*Calculateur!CI103*VLOOKUP('Données projet'!$B$12,Paramètres!$A$1:$I$89,3,0)*0.475*44/12</f>
        <v>2.9399848724352236</v>
      </c>
      <c r="CM103" s="21">
        <f>EXP(-LN(2)/2)*CM102+(1-EXP(-LN(2)/2))/(LN(2)/2)*CG103*CJ103*VLOOKUP('Données projet'!$B$12,Paramètres!$A$1:$I$89,3,0)*0.475*44/12</f>
        <v>1.1333342963482971</v>
      </c>
      <c r="CN103" s="22">
        <f t="shared" si="66"/>
        <v>57.125698424354901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204.15575418077316</v>
      </c>
      <c r="CZ103" s="59">
        <f t="shared" si="96"/>
        <v>473.73726605265045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19.588965790593424</v>
      </c>
      <c r="DG103" s="21">
        <f>EXP(-LN(2)/25)*DG102+(1-EXP(-LN(2)/25))/(LN(2)/25)*Calculateur!DB103*Calculateur!DD103*VLOOKUP('Données projet'!$B$13,Paramètres!$A$1:$I$89,3,0)*0.475*44/12</f>
        <v>6.5917946854140954</v>
      </c>
      <c r="DH103" s="21">
        <f>EXP(-LN(2)/2)*DH102+(1-EXP(-LN(2)/2))/(LN(2)/2)*DB103*DE103*VLOOKUP('Données projet'!$B$13,Paramètres!$A$1:$I$89,3,0)*0.475*44/12</f>
        <v>1.5675918360181162E-10</v>
      </c>
      <c r="DI103" s="22">
        <f t="shared" si="69"/>
        <v>26.180760476164281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216.83230520434313</v>
      </c>
      <c r="T104" s="59">
        <f t="shared" si="88"/>
        <v>275.41891707278205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42.736564172860689</v>
      </c>
      <c r="AA104" s="21">
        <f>EXP(-LN(2)/25)*AA103+(1-EXP(-LN(2)/25))/(LN(2)/25)*Calculateur!V104*Calculateur!X104*VLOOKUP('Données projet'!$B$9,Paramètres!$A$1:$I$89,3,0)*0.475*44/12</f>
        <v>5.3456530230385182</v>
      </c>
      <c r="AB104" s="21">
        <f>EXP(-LN(2)/2)*AB103+(1-EXP(-LN(2)/2))/(LN(2)/2)*V104*Y104*VLOOKUP('Données projet'!$B$9,Paramètres!$A$1:$I$89,3,0)*0.475*44/12</f>
        <v>2.1389645708683053E-7</v>
      </c>
      <c r="AC104" s="22">
        <f t="shared" si="57"/>
        <v>48.082217409795661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269.31839999999994</v>
      </c>
      <c r="AK104" s="13">
        <f t="shared" si="89"/>
        <v>64.70459529265311</v>
      </c>
      <c r="AL104" s="20">
        <f t="shared" si="58"/>
        <v>581.75671680137077</v>
      </c>
      <c r="AM104" s="59">
        <f t="shared" si="59"/>
        <v>875.09005013470414</v>
      </c>
      <c r="AN104" s="59">
        <f ca="1">AVERAGE(OFFSET($AM$3,0,0,'Données projet'!$E$10+1,1))-AVERAGE(OFFSET($H$3,0,0,'Données projet'!$E$10+1,1))</f>
        <v>292.42154837691379</v>
      </c>
      <c r="AO104" s="59">
        <f t="shared" si="90"/>
        <v>193.18009444354601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59.446350599221901</v>
      </c>
      <c r="AV104" s="21">
        <f>EXP(-LN(2)/25)*AV103+(1-EXP(-LN(2)/25))/(LN(2)/25)*Calculateur!AQ104*Calculateur!AS104*VLOOKUP('Données projet'!$B$10,Paramètres!$A$1:$I$89,3,0)*0.475*44/12</f>
        <v>2.734161852268437</v>
      </c>
      <c r="AW104" s="21">
        <f>EXP(-LN(2)/2)*AW103+(1-EXP(-LN(2)/2))/(LN(2)/2)*AQ104*AT104*VLOOKUP('Données projet'!$B$10,Paramètres!$A$1:$I$89,3,0)*0.475*44/12</f>
        <v>1.0354524008221746</v>
      </c>
      <c r="AX104" s="21">
        <f t="shared" si="60"/>
        <v>63.21596485231251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322</v>
      </c>
      <c r="BE104" s="13">
        <f>BD104*VLOOKUP('Données projet'!$B$11,Paramètres!$A$1:$I$89,3,0)*VLOOKUP('Données projet'!$B$11,Paramètres!$A$1:$I$89,5,0)</f>
        <v>306.41519999999997</v>
      </c>
      <c r="BF104" s="13">
        <f t="shared" si="91"/>
        <v>72.519675217547672</v>
      </c>
      <c r="BG104" s="20">
        <f t="shared" si="61"/>
        <v>659.9782410038955</v>
      </c>
      <c r="BH104" s="59">
        <f t="shared" si="62"/>
        <v>953.31157433722888</v>
      </c>
      <c r="BI104" s="59">
        <f ca="1">AVERAGE(OFFSET($BH$3,0,0,'Données projet'!$E$11+1,1))-AVERAGE(OFFSET($H$3,0,0,'Données projet'!$E$11+1,1))</f>
        <v>339.00921630742886</v>
      </c>
      <c r="BJ104" s="59">
        <f t="shared" si="92"/>
        <v>314.95763895978303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37.196378525625768</v>
      </c>
      <c r="BQ104" s="21">
        <f>EXP(-LN(2)/25)*BQ103+(1-EXP(-LN(2)/25))/(LN(2)/25)*Calculateur!BL104*Calculateur!BN104*VLOOKUP('Données projet'!$B$11,Paramètres!$A$1:$I$89,3,0)*0.475*44/12</f>
        <v>1.8007159304154665</v>
      </c>
      <c r="BR104" s="21">
        <f>EXP(-LN(2)/2)*BR103+(1-EXP(-LN(2)/2))/(LN(2)/2)*BL104*BO104*VLOOKUP('Données projet'!$B$11,Paramètres!$A$1:$I$89,3,0)*0.475*44/12</f>
        <v>5.1659175422990866E-3</v>
      </c>
      <c r="BS104" s="22">
        <f t="shared" si="63"/>
        <v>39.002260373583532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296.99999999999983</v>
      </c>
      <c r="BZ104" s="13">
        <f>BY104*VLOOKUP('Données projet'!$B$12,Paramètres!$A$1:$I$89,3,0)*VLOOKUP('Données projet'!$B$12,Paramètres!$A$1:$I$89,5,0)</f>
        <v>254.82599999999988</v>
      </c>
      <c r="CA104" s="13">
        <f t="shared" si="93"/>
        <v>61.61820333959453</v>
      </c>
      <c r="CB104" s="20">
        <f t="shared" si="64"/>
        <v>551.1403208164603</v>
      </c>
      <c r="CC104" s="59">
        <f t="shared" si="65"/>
        <v>844.47365414979367</v>
      </c>
      <c r="CD104" s="59">
        <f ca="1">AVERAGE(OFFSET($CC$3,0,0,'Données projet'!$E$12+1,1))-AVERAGE(OFFSET($H$3,0,0,'Données projet'!$E$12+1,1))</f>
        <v>204.6927427024138</v>
      </c>
      <c r="CE104" s="59">
        <f t="shared" si="94"/>
        <v>115.74231133146816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52.012054457125814</v>
      </c>
      <c r="CL104" s="21">
        <f>EXP(-LN(2)/25)*CL103+(1-EXP(-LN(2)/25))/(LN(2)/25)*Calculateur!CG104*Calculateur!CI104*VLOOKUP('Données projet'!$B$12,Paramètres!$A$1:$I$89,3,0)*0.475*44/12</f>
        <v>2.8595908314913974</v>
      </c>
      <c r="CM104" s="21">
        <f>EXP(-LN(2)/2)*CM103+(1-EXP(-LN(2)/2))/(LN(2)/2)*CG104*CJ104*VLOOKUP('Données projet'!$B$12,Paramètres!$A$1:$I$89,3,0)*0.475*44/12</f>
        <v>0.80138836629916521</v>
      </c>
      <c r="CN104" s="22">
        <f t="shared" si="66"/>
        <v>55.673033654916374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204.15575418077316</v>
      </c>
      <c r="CZ104" s="59">
        <f t="shared" si="96"/>
        <v>473.73726605265045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19.204838119529242</v>
      </c>
      <c r="DG104" s="21">
        <f>EXP(-LN(2)/25)*DG103+(1-EXP(-LN(2)/25))/(LN(2)/25)*Calculateur!DB104*Calculateur!DD104*VLOOKUP('Données projet'!$B$13,Paramètres!$A$1:$I$89,3,0)*0.475*44/12</f>
        <v>6.4115417130940306</v>
      </c>
      <c r="DH104" s="21">
        <f>EXP(-LN(2)/2)*DH103+(1-EXP(-LN(2)/2))/(LN(2)/2)*DB104*DE104*VLOOKUP('Données projet'!$B$13,Paramètres!$A$1:$I$89,3,0)*0.475*44/12</f>
        <v>1.1084548173810804E-10</v>
      </c>
      <c r="DI104" s="22">
        <f t="shared" si="69"/>
        <v>25.616379832734118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216.83230520434313</v>
      </c>
      <c r="T105" s="59">
        <f t="shared" si="88"/>
        <v>275.41891707278205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41.898526216161159</v>
      </c>
      <c r="AA105" s="21">
        <f>EXP(-LN(2)/25)*AA104+(1-EXP(-LN(2)/25))/(LN(2)/25)*Calculateur!V105*Calculateur!X105*VLOOKUP('Données projet'!$B$9,Paramètres!$A$1:$I$89,3,0)*0.475*44/12</f>
        <v>5.1994758600078548</v>
      </c>
      <c r="AB105" s="21">
        <f>EXP(-LN(2)/2)*AB104+(1-EXP(-LN(2)/2))/(LN(2)/2)*V105*Y105*VLOOKUP('Données projet'!$B$9,Paramètres!$A$1:$I$89,3,0)*0.475*44/12</f>
        <v>1.5124763527787522E-7</v>
      </c>
      <c r="AC105" s="22">
        <f t="shared" si="57"/>
        <v>47.098002227416643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273.98279999999994</v>
      </c>
      <c r="AK105" s="13">
        <f t="shared" si="89"/>
        <v>65.693798259477774</v>
      </c>
      <c r="AL105" s="20">
        <f t="shared" si="58"/>
        <v>591.6034086352571</v>
      </c>
      <c r="AM105" s="59">
        <f t="shared" si="59"/>
        <v>884.93674196859047</v>
      </c>
      <c r="AN105" s="59">
        <f ca="1">AVERAGE(OFFSET($AM$3,0,0,'Données projet'!$E$10+1,1))-AVERAGE(OFFSET($H$3,0,0,'Données projet'!$E$10+1,1))</f>
        <v>292.42154837691379</v>
      </c>
      <c r="AO105" s="59">
        <f t="shared" si="90"/>
        <v>193.18009444354601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58.28064392266478</v>
      </c>
      <c r="AV105" s="21">
        <f>EXP(-LN(2)/25)*AV104+(1-EXP(-LN(2)/25))/(LN(2)/25)*Calculateur!AQ105*Calculateur!AS105*VLOOKUP('Données projet'!$B$10,Paramètres!$A$1:$I$89,3,0)*0.475*44/12</f>
        <v>2.6593960526348339</v>
      </c>
      <c r="AW105" s="21">
        <f>EXP(-LN(2)/2)*AW104+(1-EXP(-LN(2)/2))/(LN(2)/2)*AQ105*AT105*VLOOKUP('Données projet'!$B$10,Paramètres!$A$1:$I$89,3,0)*0.475*44/12</f>
        <v>0.73217541421725074</v>
      </c>
      <c r="AX105" s="21">
        <f t="shared" si="60"/>
        <v>61.672215389516865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322</v>
      </c>
      <c r="BE105" s="13">
        <f>BD105*VLOOKUP('Données projet'!$B$11,Paramètres!$A$1:$I$89,3,0)*VLOOKUP('Données projet'!$B$11,Paramètres!$A$1:$I$89,5,0)</f>
        <v>306.41519999999997</v>
      </c>
      <c r="BF105" s="13">
        <f t="shared" si="91"/>
        <v>72.519675217547672</v>
      </c>
      <c r="BG105" s="20">
        <f t="shared" si="61"/>
        <v>659.9782410038955</v>
      </c>
      <c r="BH105" s="59">
        <f t="shared" si="62"/>
        <v>953.31157433722888</v>
      </c>
      <c r="BI105" s="59">
        <f ca="1">AVERAGE(OFFSET($BH$3,0,0,'Données projet'!$E$11+1,1))-AVERAGE(OFFSET($H$3,0,0,'Données projet'!$E$11+1,1))</f>
        <v>339.00921630742886</v>
      </c>
      <c r="BJ105" s="59">
        <f t="shared" si="92"/>
        <v>314.95763895978303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36.466980230288939</v>
      </c>
      <c r="BQ105" s="21">
        <f>EXP(-LN(2)/25)*BQ104+(1-EXP(-LN(2)/25))/(LN(2)/25)*Calculateur!BL105*Calculateur!BN105*VLOOKUP('Données projet'!$B$11,Paramètres!$A$1:$I$89,3,0)*0.475*44/12</f>
        <v>1.7514752586027205</v>
      </c>
      <c r="BR105" s="21">
        <f>EXP(-LN(2)/2)*BR104+(1-EXP(-LN(2)/2))/(LN(2)/2)*BL105*BO105*VLOOKUP('Données projet'!$B$11,Paramètres!$A$1:$I$89,3,0)*0.475*44/12</f>
        <v>3.6528553252102277E-3</v>
      </c>
      <c r="BS105" s="22">
        <f t="shared" si="63"/>
        <v>38.222108344216863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296.99999999999983</v>
      </c>
      <c r="BZ105" s="13">
        <f>BY105*VLOOKUP('Données projet'!$B$12,Paramètres!$A$1:$I$89,3,0)*VLOOKUP('Données projet'!$B$12,Paramètres!$A$1:$I$89,5,0)</f>
        <v>254.82599999999988</v>
      </c>
      <c r="CA105" s="13">
        <f t="shared" si="93"/>
        <v>61.61820333959453</v>
      </c>
      <c r="CB105" s="20">
        <f t="shared" si="64"/>
        <v>551.1403208164603</v>
      </c>
      <c r="CC105" s="59">
        <f t="shared" si="65"/>
        <v>844.47365414979367</v>
      </c>
      <c r="CD105" s="59">
        <f ca="1">AVERAGE(OFFSET($CC$3,0,0,'Données projet'!$E$12+1,1))-AVERAGE(OFFSET($H$3,0,0,'Données projet'!$E$12+1,1))</f>
        <v>204.6927427024138</v>
      </c>
      <c r="CE105" s="59">
        <f t="shared" si="94"/>
        <v>115.74231133146816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50.992129793442288</v>
      </c>
      <c r="CL105" s="21">
        <f>EXP(-LN(2)/25)*CL104+(1-EXP(-LN(2)/25))/(LN(2)/25)*Calculateur!CG105*Calculateur!CI105*VLOOKUP('Données projet'!$B$12,Paramètres!$A$1:$I$89,3,0)*0.475*44/12</f>
        <v>2.7813951698249189</v>
      </c>
      <c r="CM105" s="21">
        <f>EXP(-LN(2)/2)*CM104+(1-EXP(-LN(2)/2))/(LN(2)/2)*CG105*CJ105*VLOOKUP('Données projet'!$B$12,Paramètres!$A$1:$I$89,3,0)*0.475*44/12</f>
        <v>0.56666714817414865</v>
      </c>
      <c r="CN105" s="22">
        <f t="shared" si="66"/>
        <v>54.340192111441354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204.15575418077316</v>
      </c>
      <c r="CZ105" s="59">
        <f t="shared" si="96"/>
        <v>473.73726605265045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18.828242957799887</v>
      </c>
      <c r="DG105" s="21">
        <f>EXP(-LN(2)/25)*DG104+(1-EXP(-LN(2)/25))/(LN(2)/25)*Calculateur!DB105*Calculateur!DD105*VLOOKUP('Données projet'!$B$13,Paramètres!$A$1:$I$89,3,0)*0.475*44/12</f>
        <v>6.2362177677811497</v>
      </c>
      <c r="DH105" s="21">
        <f>EXP(-LN(2)/2)*DH104+(1-EXP(-LN(2)/2))/(LN(2)/2)*DB105*DE105*VLOOKUP('Données projet'!$B$13,Paramètres!$A$1:$I$89,3,0)*0.475*44/12</f>
        <v>7.837959180090581E-11</v>
      </c>
      <c r="DI105" s="22">
        <f t="shared" si="69"/>
        <v>25.064460725659416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216.83230520434313</v>
      </c>
      <c r="T106" s="59">
        <f t="shared" si="88"/>
        <v>275.41891707278205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41.076921672639827</v>
      </c>
      <c r="AA106" s="21">
        <f>EXP(-LN(2)/25)*AA105+(1-EXP(-LN(2)/25))/(LN(2)/25)*Calculateur!V106*Calculateur!X106*VLOOKUP('Données projet'!$B$9,Paramètres!$A$1:$I$89,3,0)*0.475*44/12</f>
        <v>5.0572959191873883</v>
      </c>
      <c r="AB106" s="21">
        <f>EXP(-LN(2)/2)*AB105+(1-EXP(-LN(2)/2))/(LN(2)/2)*V106*Y106*VLOOKUP('Données projet'!$B$9,Paramètres!$A$1:$I$89,3,0)*0.475*44/12</f>
        <v>1.0694822854341526E-7</v>
      </c>
      <c r="AC106" s="22">
        <f t="shared" si="57"/>
        <v>46.134217698775444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278.6472</v>
      </c>
      <c r="AK106" s="13">
        <f t="shared" si="89"/>
        <v>66.681042819901123</v>
      </c>
      <c r="AL106" s="20">
        <f t="shared" si="58"/>
        <v>601.44668957799445</v>
      </c>
      <c r="AM106" s="59">
        <f t="shared" si="59"/>
        <v>894.78002291132771</v>
      </c>
      <c r="AN106" s="59">
        <f ca="1">AVERAGE(OFFSET($AM$3,0,0,'Données projet'!$E$10+1,1))-AVERAGE(OFFSET($H$3,0,0,'Données projet'!$E$10+1,1))</f>
        <v>292.42154837691379</v>
      </c>
      <c r="AO106" s="59">
        <f t="shared" si="90"/>
        <v>193.18009444354601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57.137796043024075</v>
      </c>
      <c r="AV106" s="21">
        <f>EXP(-LN(2)/25)*AV105+(1-EXP(-LN(2)/25))/(LN(2)/25)*Calculateur!AQ106*Calculateur!AS106*VLOOKUP('Données projet'!$B$10,Paramètres!$A$1:$I$89,3,0)*0.475*44/12</f>
        <v>2.5866747277239739</v>
      </c>
      <c r="AW106" s="21">
        <f>EXP(-LN(2)/2)*AW105+(1-EXP(-LN(2)/2))/(LN(2)/2)*AQ106*AT106*VLOOKUP('Données projet'!$B$10,Paramètres!$A$1:$I$89,3,0)*0.475*44/12</f>
        <v>0.5177262004110873</v>
      </c>
      <c r="AX106" s="21">
        <f t="shared" si="60"/>
        <v>60.242196971159139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322</v>
      </c>
      <c r="BE106" s="13">
        <f>BD106*VLOOKUP('Données projet'!$B$11,Paramètres!$A$1:$I$89,3,0)*VLOOKUP('Données projet'!$B$11,Paramètres!$A$1:$I$89,5,0)</f>
        <v>306.41519999999997</v>
      </c>
      <c r="BF106" s="13">
        <f t="shared" si="91"/>
        <v>72.519675217547672</v>
      </c>
      <c r="BG106" s="20">
        <f t="shared" si="61"/>
        <v>659.9782410038955</v>
      </c>
      <c r="BH106" s="59">
        <f t="shared" si="62"/>
        <v>953.31157433722888</v>
      </c>
      <c r="BI106" s="59">
        <f ca="1">AVERAGE(OFFSET($BH$3,0,0,'Données projet'!$E$11+1,1))-AVERAGE(OFFSET($H$3,0,0,'Données projet'!$E$11+1,1))</f>
        <v>339.00921630742886</v>
      </c>
      <c r="BJ106" s="59">
        <f t="shared" si="92"/>
        <v>314.95763895978303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35.751884990634636</v>
      </c>
      <c r="BQ106" s="21">
        <f>EXP(-LN(2)/25)*BQ105+(1-EXP(-LN(2)/25))/(LN(2)/25)*Calculateur!BL106*Calculateur!BN106*VLOOKUP('Données projet'!$B$11,Paramètres!$A$1:$I$89,3,0)*0.475*44/12</f>
        <v>1.7035810755501484</v>
      </c>
      <c r="BR106" s="21">
        <f>EXP(-LN(2)/2)*BR105+(1-EXP(-LN(2)/2))/(LN(2)/2)*BL106*BO106*VLOOKUP('Données projet'!$B$11,Paramètres!$A$1:$I$89,3,0)*0.475*44/12</f>
        <v>2.5829587711495433E-3</v>
      </c>
      <c r="BS106" s="22">
        <f t="shared" si="63"/>
        <v>37.458049024955933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296.99999999999983</v>
      </c>
      <c r="BZ106" s="13">
        <f>BY106*VLOOKUP('Données projet'!$B$12,Paramètres!$A$1:$I$89,3,0)*VLOOKUP('Données projet'!$B$12,Paramètres!$A$1:$I$89,5,0)</f>
        <v>254.82599999999988</v>
      </c>
      <c r="CA106" s="13">
        <f t="shared" si="93"/>
        <v>61.61820333959453</v>
      </c>
      <c r="CB106" s="20">
        <f t="shared" si="64"/>
        <v>551.1403208164603</v>
      </c>
      <c r="CC106" s="59">
        <f t="shared" si="65"/>
        <v>844.47365414979367</v>
      </c>
      <c r="CD106" s="59">
        <f ca="1">AVERAGE(OFFSET($CC$3,0,0,'Données projet'!$E$12+1,1))-AVERAGE(OFFSET($H$3,0,0,'Données projet'!$E$12+1,1))</f>
        <v>204.6927427024138</v>
      </c>
      <c r="CE106" s="59">
        <f t="shared" si="94"/>
        <v>115.74231133146816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49.992205230320977</v>
      </c>
      <c r="CL106" s="21">
        <f>EXP(-LN(2)/25)*CL105+(1-EXP(-LN(2)/25))/(LN(2)/25)*Calculateur!CG106*Calculateur!CI106*VLOOKUP('Données projet'!$B$12,Paramètres!$A$1:$I$89,3,0)*0.475*44/12</f>
        <v>2.7053377726388415</v>
      </c>
      <c r="CM106" s="21">
        <f>EXP(-LN(2)/2)*CM105+(1-EXP(-LN(2)/2))/(LN(2)/2)*CG106*CJ106*VLOOKUP('Données projet'!$B$12,Paramètres!$A$1:$I$89,3,0)*0.475*44/12</f>
        <v>0.40069418314958266</v>
      </c>
      <c r="CN106" s="22">
        <f t="shared" si="66"/>
        <v>53.098237186109401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204.15575418077316</v>
      </c>
      <c r="CZ106" s="59">
        <f t="shared" si="96"/>
        <v>473.73726605265045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18.459032597491674</v>
      </c>
      <c r="DG106" s="21">
        <f>EXP(-LN(2)/25)*DG105+(1-EXP(-LN(2)/25))/(LN(2)/25)*Calculateur!DB106*Calculateur!DD106*VLOOKUP('Données projet'!$B$13,Paramètres!$A$1:$I$89,3,0)*0.475*44/12</f>
        <v>6.0656880649727345</v>
      </c>
      <c r="DH106" s="21">
        <f>EXP(-LN(2)/2)*DH105+(1-EXP(-LN(2)/2))/(LN(2)/2)*DB106*DE106*VLOOKUP('Données projet'!$B$13,Paramètres!$A$1:$I$89,3,0)*0.475*44/12</f>
        <v>5.542274086905402E-11</v>
      </c>
      <c r="DI106" s="22">
        <f t="shared" si="69"/>
        <v>24.524720662519833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216.83230520434313</v>
      </c>
      <c r="T107" s="59">
        <f t="shared" si="88"/>
        <v>275.41891707278205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40.271428293087659</v>
      </c>
      <c r="AA107" s="21">
        <f>EXP(-LN(2)/25)*AA106+(1-EXP(-LN(2)/25))/(LN(2)/25)*Calculateur!V107*Calculateur!X107*VLOOKUP('Données projet'!$B$9,Paramètres!$A$1:$I$89,3,0)*0.475*44/12</f>
        <v>4.9190038963255756</v>
      </c>
      <c r="AB107" s="21">
        <f>EXP(-LN(2)/2)*AB106+(1-EXP(-LN(2)/2))/(LN(2)/2)*V107*Y107*VLOOKUP('Données projet'!$B$9,Paramètres!$A$1:$I$89,3,0)*0.475*44/12</f>
        <v>7.5623817638937612E-8</v>
      </c>
      <c r="AC107" s="22">
        <f t="shared" si="57"/>
        <v>45.190432265037053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283.3116</v>
      </c>
      <c r="AK107" s="13">
        <f t="shared" si="89"/>
        <v>67.666365540271272</v>
      </c>
      <c r="AL107" s="20">
        <f t="shared" si="58"/>
        <v>611.28662331597241</v>
      </c>
      <c r="AM107" s="59">
        <f t="shared" si="59"/>
        <v>904.61995664930578</v>
      </c>
      <c r="AN107" s="59">
        <f ca="1">AVERAGE(OFFSET($AM$3,0,0,'Données projet'!$E$10+1,1))-AVERAGE(OFFSET($H$3,0,0,'Données projet'!$E$10+1,1))</f>
        <v>292.42154837691379</v>
      </c>
      <c r="AO107" s="59">
        <f t="shared" si="90"/>
        <v>193.18009444354601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56.017358713234749</v>
      </c>
      <c r="AV107" s="21">
        <f>EXP(-LN(2)/25)*AV106+(1-EXP(-LN(2)/25))/(LN(2)/25)*Calculateur!AQ107*Calculateur!AS107*VLOOKUP('Données projet'!$B$10,Paramètres!$A$1:$I$89,3,0)*0.475*44/12</f>
        <v>2.5159419712670497</v>
      </c>
      <c r="AW107" s="21">
        <f>EXP(-LN(2)/2)*AW106+(1-EXP(-LN(2)/2))/(LN(2)/2)*AQ107*AT107*VLOOKUP('Données projet'!$B$10,Paramètres!$A$1:$I$89,3,0)*0.475*44/12</f>
        <v>0.36608770710862537</v>
      </c>
      <c r="AX107" s="21">
        <f t="shared" si="60"/>
        <v>58.899388391610422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322</v>
      </c>
      <c r="BE107" s="13">
        <f>BD107*VLOOKUP('Données projet'!$B$11,Paramètres!$A$1:$I$89,3,0)*VLOOKUP('Données projet'!$B$11,Paramètres!$A$1:$I$89,5,0)</f>
        <v>306.41519999999997</v>
      </c>
      <c r="BF107" s="13">
        <f t="shared" si="91"/>
        <v>72.519675217547672</v>
      </c>
      <c r="BG107" s="20">
        <f t="shared" si="61"/>
        <v>659.9782410038955</v>
      </c>
      <c r="BH107" s="59">
        <f t="shared" si="62"/>
        <v>953.31157433722888</v>
      </c>
      <c r="BI107" s="59">
        <f ca="1">AVERAGE(OFFSET($BH$3,0,0,'Données projet'!$E$11+1,1))-AVERAGE(OFFSET($H$3,0,0,'Données projet'!$E$11+1,1))</f>
        <v>339.00921630742886</v>
      </c>
      <c r="BJ107" s="59">
        <f t="shared" si="92"/>
        <v>314.95763895978303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35.050812332464922</v>
      </c>
      <c r="BQ107" s="21">
        <f>EXP(-LN(2)/25)*BQ106+(1-EXP(-LN(2)/25))/(LN(2)/25)*Calculateur!BL107*Calculateur!BN107*VLOOKUP('Données projet'!$B$11,Paramètres!$A$1:$I$89,3,0)*0.475*44/12</f>
        <v>1.6569965614517943</v>
      </c>
      <c r="BR107" s="21">
        <f>EXP(-LN(2)/2)*BR106+(1-EXP(-LN(2)/2))/(LN(2)/2)*BL107*BO107*VLOOKUP('Données projet'!$B$11,Paramètres!$A$1:$I$89,3,0)*0.475*44/12</f>
        <v>1.8264276626051138E-3</v>
      </c>
      <c r="BS107" s="22">
        <f t="shared" si="63"/>
        <v>36.70963532157932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296.99999999999983</v>
      </c>
      <c r="BZ107" s="13">
        <f>BY107*VLOOKUP('Données projet'!$B$12,Paramètres!$A$1:$I$89,3,0)*VLOOKUP('Données projet'!$B$12,Paramètres!$A$1:$I$89,5,0)</f>
        <v>254.82599999999988</v>
      </c>
      <c r="CA107" s="13">
        <f t="shared" si="93"/>
        <v>61.61820333959453</v>
      </c>
      <c r="CB107" s="20">
        <f t="shared" si="64"/>
        <v>551.1403208164603</v>
      </c>
      <c r="CC107" s="59">
        <f t="shared" si="65"/>
        <v>844.47365414979367</v>
      </c>
      <c r="CD107" s="59">
        <f ca="1">AVERAGE(OFFSET($CC$3,0,0,'Données projet'!$E$12+1,1))-AVERAGE(OFFSET($H$3,0,0,'Données projet'!$E$12+1,1))</f>
        <v>204.6927427024138</v>
      </c>
      <c r="CE107" s="59">
        <f t="shared" si="94"/>
        <v>115.74231133146816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49.011888577988714</v>
      </c>
      <c r="CL107" s="21">
        <f>EXP(-LN(2)/25)*CL106+(1-EXP(-LN(2)/25))/(LN(2)/25)*Calculateur!CG107*Calculateur!CI107*VLOOKUP('Données projet'!$B$12,Paramètres!$A$1:$I$89,3,0)*0.475*44/12</f>
        <v>2.6313601689785022</v>
      </c>
      <c r="CM107" s="21">
        <f>EXP(-LN(2)/2)*CM106+(1-EXP(-LN(2)/2))/(LN(2)/2)*CG107*CJ107*VLOOKUP('Données projet'!$B$12,Paramètres!$A$1:$I$89,3,0)*0.475*44/12</f>
        <v>0.28333357408707438</v>
      </c>
      <c r="CN107" s="22">
        <f t="shared" si="66"/>
        <v>51.926582321054291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204.15575418077316</v>
      </c>
      <c r="CZ107" s="59">
        <f t="shared" si="96"/>
        <v>473.73726605265045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18.097062227153025</v>
      </c>
      <c r="DG107" s="21">
        <f>EXP(-LN(2)/25)*DG106+(1-EXP(-LN(2)/25))/(LN(2)/25)*Calculateur!DB107*Calculateur!DD107*VLOOKUP('Données projet'!$B$13,Paramètres!$A$1:$I$89,3,0)*0.475*44/12</f>
        <v>5.8998215058553827</v>
      </c>
      <c r="DH107" s="21">
        <f>EXP(-LN(2)/2)*DH106+(1-EXP(-LN(2)/2))/(LN(2)/2)*DB107*DE107*VLOOKUP('Données projet'!$B$13,Paramètres!$A$1:$I$89,3,0)*0.475*44/12</f>
        <v>3.9189795900452905E-11</v>
      </c>
      <c r="DI107" s="22">
        <f t="shared" si="69"/>
        <v>23.996883733047596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216.83230520434313</v>
      </c>
      <c r="T108" s="59">
        <f t="shared" si="88"/>
        <v>275.41891707278205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39.481730147406061</v>
      </c>
      <c r="AA108" s="21">
        <f>EXP(-LN(2)/25)*AA107+(1-EXP(-LN(2)/25))/(LN(2)/25)*Calculateur!V108*Calculateur!X108*VLOOKUP('Données projet'!$B$9,Paramètres!$A$1:$I$89,3,0)*0.475*44/12</f>
        <v>4.78449347610138</v>
      </c>
      <c r="AB108" s="21">
        <f>EXP(-LN(2)/2)*AB107+(1-EXP(-LN(2)/2))/(LN(2)/2)*V108*Y108*VLOOKUP('Données projet'!$B$9,Paramètres!$A$1:$I$89,3,0)*0.475*44/12</f>
        <v>5.3474114271707632E-8</v>
      </c>
      <c r="AC108" s="22">
        <f t="shared" si="57"/>
        <v>44.266223676981561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287.976</v>
      </c>
      <c r="AK108" s="13">
        <f t="shared" si="89"/>
        <v>68.649801713863141</v>
      </c>
      <c r="AL108" s="20">
        <f t="shared" si="58"/>
        <v>621.12327131831159</v>
      </c>
      <c r="AM108" s="59">
        <f t="shared" si="59"/>
        <v>914.45660465164497</v>
      </c>
      <c r="AN108" s="59">
        <f ca="1">AVERAGE(OFFSET($AM$3,0,0,'Données projet'!$E$10+1,1))-AVERAGE(OFFSET($H$3,0,0,'Données projet'!$E$10+1,1))</f>
        <v>292.42154837691379</v>
      </c>
      <c r="AO108" s="59">
        <f t="shared" si="90"/>
        <v>193.18009444354601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0.34400000000000003</v>
      </c>
      <c r="AS108" s="16">
        <f>IF(ISNA(VLOOKUP(A108,'Données projet'!$A$61:$I$81,6,0)),0%,VLOOKUP(A108,'Données projet'!$A$61:$I$81,6,0)*VLOOKUP('Données projet'!$B$10,Paramètres!$A$1:$I$89,7,0))</f>
        <v>1.72E-2</v>
      </c>
      <c r="AT108" s="16">
        <f>IF(ISNA(VLOOKUP(A108,'Données projet'!$A$61:$I$81,7,0)),0%,VLOOKUP(A108,'Données projet'!$A$61:$I$81,7,0))</f>
        <v>0.06</v>
      </c>
      <c r="AU108" s="21">
        <f>EXP(-LN(2)/35)*AU107+(1-EXP(-LN(2)/35))/(LN(2)/35)*AQ108*AR108*VLOOKUP('Données projet'!$B$10,Paramètres!$A$1:$I$89,3,0)*0.475*44/12</f>
        <v>62.631007594226617</v>
      </c>
      <c r="AV108" s="21">
        <f>EXP(-LN(2)/25)*AV107+(1-EXP(-LN(2)/25))/(LN(2)/25)*Calculateur!AQ108*Calculateur!AS108*VLOOKUP('Données projet'!$B$10,Paramètres!$A$1:$I$89,3,0)*0.475*44/12</f>
        <v>2.8312308848739614</v>
      </c>
      <c r="AW108" s="21">
        <f>EXP(-LN(2)/2)*AW107+(1-EXP(-LN(2)/2))/(LN(2)/2)*AQ108*AT108*VLOOKUP('Données projet'!$B$10,Paramètres!$A$1:$I$89,3,0)*0.475*44/12</f>
        <v>1.4069466498973802</v>
      </c>
      <c r="AX108" s="21">
        <f t="shared" si="60"/>
        <v>66.869185128997955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322</v>
      </c>
      <c r="BE108" s="13">
        <f>BD108*VLOOKUP('Données projet'!$B$11,Paramètres!$A$1:$I$89,3,0)*VLOOKUP('Données projet'!$B$11,Paramètres!$A$1:$I$89,5,0)</f>
        <v>306.41519999999997</v>
      </c>
      <c r="BF108" s="13">
        <f t="shared" si="91"/>
        <v>72.519675217547672</v>
      </c>
      <c r="BG108" s="20">
        <f t="shared" si="61"/>
        <v>659.9782410038955</v>
      </c>
      <c r="BH108" s="59">
        <f t="shared" si="62"/>
        <v>953.31157433722888</v>
      </c>
      <c r="BI108" s="59">
        <f ca="1">AVERAGE(OFFSET($BH$3,0,0,'Données projet'!$E$11+1,1))-AVERAGE(OFFSET($H$3,0,0,'Données projet'!$E$11+1,1))</f>
        <v>339.00921630742886</v>
      </c>
      <c r="BJ108" s="59">
        <f t="shared" si="92"/>
        <v>314.95763895978303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34.363487281509819</v>
      </c>
      <c r="BQ108" s="21">
        <f>EXP(-LN(2)/25)*BQ107+(1-EXP(-LN(2)/25))/(LN(2)/25)*Calculateur!BL108*Calculateur!BN108*VLOOKUP('Données projet'!$B$11,Paramètres!$A$1:$I$89,3,0)*0.475*44/12</f>
        <v>1.611685903341233</v>
      </c>
      <c r="BR108" s="21">
        <f>EXP(-LN(2)/2)*BR107+(1-EXP(-LN(2)/2))/(LN(2)/2)*BL108*BO108*VLOOKUP('Données projet'!$B$11,Paramètres!$A$1:$I$89,3,0)*0.475*44/12</f>
        <v>1.2914793855747717E-3</v>
      </c>
      <c r="BS108" s="22">
        <f t="shared" si="63"/>
        <v>35.976464664236623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296.99999999999983</v>
      </c>
      <c r="BZ108" s="13">
        <f>BY108*VLOOKUP('Données projet'!$B$12,Paramètres!$A$1:$I$89,3,0)*VLOOKUP('Données projet'!$B$12,Paramètres!$A$1:$I$89,5,0)</f>
        <v>254.82599999999988</v>
      </c>
      <c r="CA108" s="13">
        <f t="shared" si="93"/>
        <v>61.61820333959453</v>
      </c>
      <c r="CB108" s="20">
        <f t="shared" si="64"/>
        <v>551.1403208164603</v>
      </c>
      <c r="CC108" s="59">
        <f t="shared" si="65"/>
        <v>844.47365414979367</v>
      </c>
      <c r="CD108" s="59">
        <f ca="1">AVERAGE(OFFSET($CC$3,0,0,'Données projet'!$E$12+1,1))-AVERAGE(OFFSET($H$3,0,0,'Données projet'!$E$12+1,1))</f>
        <v>204.6927427024138</v>
      </c>
      <c r="CE108" s="59">
        <f t="shared" si="94"/>
        <v>115.74231133146816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48.050795337274572</v>
      </c>
      <c r="CL108" s="21">
        <f>EXP(-LN(2)/25)*CL107+(1-EXP(-LN(2)/25))/(LN(2)/25)*Calculateur!CG108*Calculateur!CI108*VLOOKUP('Données projet'!$B$12,Paramètres!$A$1:$I$89,3,0)*0.475*44/12</f>
        <v>2.5594054867805678</v>
      </c>
      <c r="CM108" s="21">
        <f>EXP(-LN(2)/2)*CM107+(1-EXP(-LN(2)/2))/(LN(2)/2)*CG108*CJ108*VLOOKUP('Données projet'!$B$12,Paramètres!$A$1:$I$89,3,0)*0.475*44/12</f>
        <v>0.20034709157479136</v>
      </c>
      <c r="CN108" s="22">
        <f t="shared" si="66"/>
        <v>50.810547915629932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204.15575418077316</v>
      </c>
      <c r="CZ108" s="59">
        <f t="shared" si="96"/>
        <v>473.73726605265045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17.742189874996587</v>
      </c>
      <c r="DG108" s="21">
        <f>EXP(-LN(2)/25)*DG107+(1-EXP(-LN(2)/25))/(LN(2)/25)*Calculateur!DB108*Calculateur!DD108*VLOOKUP('Données projet'!$B$13,Paramètres!$A$1:$I$89,3,0)*0.475*44/12</f>
        <v>5.7384905765196388</v>
      </c>
      <c r="DH108" s="21">
        <f>EXP(-LN(2)/2)*DH107+(1-EXP(-LN(2)/2))/(LN(2)/2)*DB108*DE108*VLOOKUP('Données projet'!$B$13,Paramètres!$A$1:$I$89,3,0)*0.475*44/12</f>
        <v>2.771137043452701E-11</v>
      </c>
      <c r="DI108" s="22">
        <f t="shared" si="69"/>
        <v>23.480680451543936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216.83230520434313</v>
      </c>
      <c r="T109" s="59">
        <f t="shared" si="88"/>
        <v>275.41891707278205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38.707517500692973</v>
      </c>
      <c r="AA109" s="21">
        <f>EXP(-LN(2)/25)*AA108+(1-EXP(-LN(2)/25))/(LN(2)/25)*Calculateur!V109*Calculateur!X109*VLOOKUP('Données projet'!$B$9,Paramètres!$A$1:$I$89,3,0)*0.475*44/12</f>
        <v>4.6536612503918109</v>
      </c>
      <c r="AB109" s="21">
        <f>EXP(-LN(2)/2)*AB108+(1-EXP(-LN(2)/2))/(LN(2)/2)*V109*Y109*VLOOKUP('Données projet'!$B$9,Paramètres!$A$1:$I$89,3,0)*0.475*44/12</f>
        <v>3.7811908819468806E-8</v>
      </c>
      <c r="AC109" s="22">
        <f t="shared" si="57"/>
        <v>43.361178788896694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271.95480000000003</v>
      </c>
      <c r="AK109" s="13">
        <f t="shared" si="89"/>
        <v>65.263952845017442</v>
      </c>
      <c r="AL109" s="20">
        <f t="shared" si="58"/>
        <v>587.322661205072</v>
      </c>
      <c r="AM109" s="59">
        <f t="shared" si="59"/>
        <v>880.65599453840537</v>
      </c>
      <c r="AN109" s="59">
        <f ca="1">AVERAGE(OFFSET($AM$3,0,0,'Données projet'!$E$10+1,1))-AVERAGE(OFFSET($H$3,0,0,'Données projet'!$E$10+1,1))</f>
        <v>292.42154837691379</v>
      </c>
      <c r="AO109" s="59">
        <f t="shared" si="90"/>
        <v>193.18009444354601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61.402851736446415</v>
      </c>
      <c r="AV109" s="21">
        <f>EXP(-LN(2)/25)*AV108+(1-EXP(-LN(2)/25))/(LN(2)/25)*Calculateur!AQ109*Calculateur!AS109*VLOOKUP('Données projet'!$B$10,Paramètres!$A$1:$I$89,3,0)*0.475*44/12</f>
        <v>2.7538107274391215</v>
      </c>
      <c r="AW109" s="21">
        <f>EXP(-LN(2)/2)*AW108+(1-EXP(-LN(2)/2))/(LN(2)/2)*AQ109*AT109*VLOOKUP('Données projet'!$B$10,Paramètres!$A$1:$I$89,3,0)*0.475*44/12</f>
        <v>0.99486151691013291</v>
      </c>
      <c r="AX109" s="21">
        <f t="shared" si="60"/>
        <v>65.151523980795673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322</v>
      </c>
      <c r="BE109" s="13">
        <f>BD109*VLOOKUP('Données projet'!$B$11,Paramètres!$A$1:$I$89,3,0)*VLOOKUP('Données projet'!$B$11,Paramètres!$A$1:$I$89,5,0)</f>
        <v>306.41519999999997</v>
      </c>
      <c r="BF109" s="13">
        <f t="shared" si="91"/>
        <v>72.519675217547672</v>
      </c>
      <c r="BG109" s="20">
        <f t="shared" si="61"/>
        <v>659.9782410038955</v>
      </c>
      <c r="BH109" s="59">
        <f t="shared" si="62"/>
        <v>953.31157433722888</v>
      </c>
      <c r="BI109" s="59">
        <f ca="1">AVERAGE(OFFSET($BH$3,0,0,'Données projet'!$E$11+1,1))-AVERAGE(OFFSET($H$3,0,0,'Données projet'!$E$11+1,1))</f>
        <v>339.00921630742886</v>
      </c>
      <c r="BJ109" s="59">
        <f t="shared" si="92"/>
        <v>314.95763895978303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33.689640255577061</v>
      </c>
      <c r="BQ109" s="21">
        <f>EXP(-LN(2)/25)*BQ108+(1-EXP(-LN(2)/25))/(LN(2)/25)*Calculateur!BL109*Calculateur!BN109*VLOOKUP('Données projet'!$B$11,Paramètres!$A$1:$I$89,3,0)*0.475*44/12</f>
        <v>1.5676142675594888</v>
      </c>
      <c r="BR109" s="21">
        <f>EXP(-LN(2)/2)*BR108+(1-EXP(-LN(2)/2))/(LN(2)/2)*BL109*BO109*VLOOKUP('Données projet'!$B$11,Paramètres!$A$1:$I$89,3,0)*0.475*44/12</f>
        <v>9.1321383130255692E-4</v>
      </c>
      <c r="BS109" s="22">
        <f t="shared" si="63"/>
        <v>35.258167736967856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296.99999999999983</v>
      </c>
      <c r="BZ109" s="13">
        <f>BY109*VLOOKUP('Données projet'!$B$12,Paramètres!$A$1:$I$89,3,0)*VLOOKUP('Données projet'!$B$12,Paramètres!$A$1:$I$89,5,0)</f>
        <v>254.82599999999988</v>
      </c>
      <c r="CA109" s="13">
        <f t="shared" si="93"/>
        <v>61.61820333959453</v>
      </c>
      <c r="CB109" s="20">
        <f t="shared" si="64"/>
        <v>551.1403208164603</v>
      </c>
      <c r="CC109" s="59">
        <f t="shared" si="65"/>
        <v>844.47365414979367</v>
      </c>
      <c r="CD109" s="59">
        <f ca="1">AVERAGE(OFFSET($CC$3,0,0,'Données projet'!$E$12+1,1))-AVERAGE(OFFSET($H$3,0,0,'Données projet'!$E$12+1,1))</f>
        <v>204.6927427024138</v>
      </c>
      <c r="CE109" s="59">
        <f t="shared" si="94"/>
        <v>115.74231133146816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47.108548548801842</v>
      </c>
      <c r="CL109" s="21">
        <f>EXP(-LN(2)/25)*CL108+(1-EXP(-LN(2)/25))/(LN(2)/25)*Calculateur!CG109*Calculateur!CI109*VLOOKUP('Données projet'!$B$12,Paramètres!$A$1:$I$89,3,0)*0.475*44/12</f>
        <v>2.4894184091512681</v>
      </c>
      <c r="CM109" s="21">
        <f>EXP(-LN(2)/2)*CM108+(1-EXP(-LN(2)/2))/(LN(2)/2)*CG109*CJ109*VLOOKUP('Données projet'!$B$12,Paramètres!$A$1:$I$89,3,0)*0.475*44/12</f>
        <v>0.14166678704353719</v>
      </c>
      <c r="CN109" s="22">
        <f t="shared" si="66"/>
        <v>49.739633744996652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204.15575418077316</v>
      </c>
      <c r="CZ109" s="59">
        <f t="shared" si="96"/>
        <v>473.73726605265045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17.394276353215176</v>
      </c>
      <c r="DG109" s="21">
        <f>EXP(-LN(2)/25)*DG108+(1-EXP(-LN(2)/25))/(LN(2)/25)*Calculateur!DB109*Calculateur!DD109*VLOOKUP('Données projet'!$B$13,Paramètres!$A$1:$I$89,3,0)*0.475*44/12</f>
        <v>5.5815712499306054</v>
      </c>
      <c r="DH109" s="21">
        <f>EXP(-LN(2)/2)*DH108+(1-EXP(-LN(2)/2))/(LN(2)/2)*DB109*DE109*VLOOKUP('Données projet'!$B$13,Paramètres!$A$1:$I$89,3,0)*0.475*44/12</f>
        <v>1.9594897950226452E-11</v>
      </c>
      <c r="DI109" s="22">
        <f t="shared" si="69"/>
        <v>22.975847603165374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216.83230520434313</v>
      </c>
      <c r="T110" s="59">
        <f t="shared" si="88"/>
        <v>275.41891707278205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37.948486691758838</v>
      </c>
      <c r="AA110" s="21">
        <f>EXP(-LN(2)/25)*AA109+(1-EXP(-LN(2)/25))/(LN(2)/25)*Calculateur!V110*Calculateur!X110*VLOOKUP('Données projet'!$B$9,Paramètres!$A$1:$I$89,3,0)*0.475*44/12</f>
        <v>4.5264066387744375</v>
      </c>
      <c r="AB110" s="21">
        <f>EXP(-LN(2)/2)*AB109+(1-EXP(-LN(2)/2))/(LN(2)/2)*V110*Y110*VLOOKUP('Données projet'!$B$9,Paramètres!$A$1:$I$89,3,0)*0.475*44/12</f>
        <v>2.6737057135853816E-8</v>
      </c>
      <c r="AC110" s="22">
        <f t="shared" si="57"/>
        <v>42.474893357270332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276.21359999999999</v>
      </c>
      <c r="AK110" s="13">
        <f t="shared" si="89"/>
        <v>66.166200760877473</v>
      </c>
      <c r="AL110" s="20">
        <f t="shared" si="58"/>
        <v>596.31148632519489</v>
      </c>
      <c r="AM110" s="59">
        <f t="shared" si="59"/>
        <v>889.64481965852815</v>
      </c>
      <c r="AN110" s="59">
        <f ca="1">AVERAGE(OFFSET($AM$3,0,0,'Données projet'!$E$10+1,1))-AVERAGE(OFFSET($H$3,0,0,'Données projet'!$E$10+1,1))</f>
        <v>292.42154837691379</v>
      </c>
      <c r="AO110" s="59">
        <f t="shared" si="90"/>
        <v>193.18009444354601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60.198779265936182</v>
      </c>
      <c r="AV110" s="21">
        <f>EXP(-LN(2)/25)*AV109+(1-EXP(-LN(2)/25))/(LN(2)/25)*Calculateur!AQ110*Calculateur!AS110*VLOOKUP('Données projet'!$B$10,Paramètres!$A$1:$I$89,3,0)*0.475*44/12</f>
        <v>2.6785076282806863</v>
      </c>
      <c r="AW110" s="21">
        <f>EXP(-LN(2)/2)*AW109+(1-EXP(-LN(2)/2))/(LN(2)/2)*AQ110*AT110*VLOOKUP('Données projet'!$B$10,Paramètres!$A$1:$I$89,3,0)*0.475*44/12</f>
        <v>0.70347332494869019</v>
      </c>
      <c r="AX110" s="21">
        <f t="shared" si="60"/>
        <v>63.580760219165555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322</v>
      </c>
      <c r="BE110" s="13">
        <f>BD110*VLOOKUP('Données projet'!$B$11,Paramètres!$A$1:$I$89,3,0)*VLOOKUP('Données projet'!$B$11,Paramètres!$A$1:$I$89,5,0)</f>
        <v>306.41519999999997</v>
      </c>
      <c r="BF110" s="13">
        <f t="shared" si="91"/>
        <v>72.519675217547672</v>
      </c>
      <c r="BG110" s="20">
        <f t="shared" si="61"/>
        <v>659.9782410038955</v>
      </c>
      <c r="BH110" s="59">
        <f t="shared" si="62"/>
        <v>953.31157433722888</v>
      </c>
      <c r="BI110" s="59">
        <f ca="1">AVERAGE(OFFSET($BH$3,0,0,'Données projet'!$E$11+1,1))-AVERAGE(OFFSET($H$3,0,0,'Données projet'!$E$11+1,1))</f>
        <v>339.00921630742886</v>
      </c>
      <c r="BJ110" s="59">
        <f t="shared" si="92"/>
        <v>314.95763895978303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33.029006958816737</v>
      </c>
      <c r="BQ110" s="21">
        <f>EXP(-LN(2)/25)*BQ109+(1-EXP(-LN(2)/25))/(LN(2)/25)*Calculateur!BL110*Calculateur!BN110*VLOOKUP('Données projet'!$B$11,Paramètres!$A$1:$I$89,3,0)*0.475*44/12</f>
        <v>1.5247477729758232</v>
      </c>
      <c r="BR110" s="21">
        <f>EXP(-LN(2)/2)*BR109+(1-EXP(-LN(2)/2))/(LN(2)/2)*BL110*BO110*VLOOKUP('Données projet'!$B$11,Paramètres!$A$1:$I$89,3,0)*0.475*44/12</f>
        <v>6.4573969278738583E-4</v>
      </c>
      <c r="BS110" s="22">
        <f t="shared" si="63"/>
        <v>34.554400471485344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296.99999999999983</v>
      </c>
      <c r="BZ110" s="13">
        <f>BY110*VLOOKUP('Données projet'!$B$12,Paramètres!$A$1:$I$89,3,0)*VLOOKUP('Données projet'!$B$12,Paramètres!$A$1:$I$89,5,0)</f>
        <v>254.82599999999988</v>
      </c>
      <c r="CA110" s="13">
        <f t="shared" si="93"/>
        <v>61.61820333959453</v>
      </c>
      <c r="CB110" s="20">
        <f t="shared" si="64"/>
        <v>551.1403208164603</v>
      </c>
      <c r="CC110" s="59">
        <f t="shared" si="65"/>
        <v>844.47365414979367</v>
      </c>
      <c r="CD110" s="59">
        <f ca="1">AVERAGE(OFFSET($CC$3,0,0,'Données projet'!$E$12+1,1))-AVERAGE(OFFSET($H$3,0,0,'Données projet'!$E$12+1,1))</f>
        <v>204.6927427024138</v>
      </c>
      <c r="CE110" s="59">
        <f t="shared" si="94"/>
        <v>115.74231133146816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46.184778645137264</v>
      </c>
      <c r="CL110" s="21">
        <f>EXP(-LN(2)/25)*CL109+(1-EXP(-LN(2)/25))/(LN(2)/25)*Calculateur!CG110*Calculateur!CI110*VLOOKUP('Données projet'!$B$12,Paramètres!$A$1:$I$89,3,0)*0.475*44/12</f>
        <v>2.4213451318402024</v>
      </c>
      <c r="CM110" s="21">
        <f>EXP(-LN(2)/2)*CM109+(1-EXP(-LN(2)/2))/(LN(2)/2)*CG110*CJ110*VLOOKUP('Données projet'!$B$12,Paramètres!$A$1:$I$89,3,0)*0.475*44/12</f>
        <v>0.10017354578739568</v>
      </c>
      <c r="CN110" s="22">
        <f t="shared" si="66"/>
        <v>48.706297322764868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204.15575418077316</v>
      </c>
      <c r="CZ110" s="59">
        <f t="shared" si="96"/>
        <v>473.73726605265045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17.053185203389603</v>
      </c>
      <c r="DG110" s="21">
        <f>EXP(-LN(2)/25)*DG109+(1-EXP(-LN(2)/25))/(LN(2)/25)*Calculateur!DB110*Calculateur!DD110*VLOOKUP('Données projet'!$B$13,Paramètres!$A$1:$I$89,3,0)*0.475*44/12</f>
        <v>5.4289428905791777</v>
      </c>
      <c r="DH110" s="21">
        <f>EXP(-LN(2)/2)*DH109+(1-EXP(-LN(2)/2))/(LN(2)/2)*DB110*DE110*VLOOKUP('Données projet'!$B$13,Paramètres!$A$1:$I$89,3,0)*0.475*44/12</f>
        <v>1.3855685217263505E-11</v>
      </c>
      <c r="DI110" s="22">
        <f t="shared" si="69"/>
        <v>22.482128093982638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216.83230520434313</v>
      </c>
      <c r="T111" s="59">
        <f t="shared" si="88"/>
        <v>275.41891707278205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37.204340014024822</v>
      </c>
      <c r="AA111" s="21">
        <f>EXP(-LN(2)/25)*AA110+(1-EXP(-LN(2)/25))/(LN(2)/25)*Calculateur!V111*Calculateur!X111*VLOOKUP('Données projet'!$B$9,Paramètres!$A$1:$I$89,3,0)*0.475*44/12</f>
        <v>4.4026318112037703</v>
      </c>
      <c r="AB111" s="21">
        <f>EXP(-LN(2)/2)*AB110+(1-EXP(-LN(2)/2))/(LN(2)/2)*V111*Y111*VLOOKUP('Données projet'!$B$9,Paramètres!$A$1:$I$89,3,0)*0.475*44/12</f>
        <v>1.8905954409734403E-8</v>
      </c>
      <c r="AC111" s="22">
        <f t="shared" si="57"/>
        <v>41.606971844134549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280.47239999999999</v>
      </c>
      <c r="AK111" s="13">
        <f t="shared" si="89"/>
        <v>67.066830784504006</v>
      </c>
      <c r="AL111" s="20">
        <f t="shared" si="58"/>
        <v>605.29749361634447</v>
      </c>
      <c r="AM111" s="59">
        <f t="shared" si="59"/>
        <v>898.63082694967784</v>
      </c>
      <c r="AN111" s="59">
        <f ca="1">AVERAGE(OFFSET($AM$3,0,0,'Données projet'!$E$10+1,1))-AVERAGE(OFFSET($H$3,0,0,'Données projet'!$E$10+1,1))</f>
        <v>292.42154837691379</v>
      </c>
      <c r="AO111" s="59">
        <f t="shared" si="90"/>
        <v>193.18009444354601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59.018317922160961</v>
      </c>
      <c r="AV111" s="21">
        <f>EXP(-LN(2)/25)*AV110+(1-EXP(-LN(2)/25))/(LN(2)/25)*Calculateur!AQ111*Calculateur!AS111*VLOOKUP('Données projet'!$B$10,Paramètres!$A$1:$I$89,3,0)*0.475*44/12</f>
        <v>2.6052636963287568</v>
      </c>
      <c r="AW111" s="21">
        <f>EXP(-LN(2)/2)*AW110+(1-EXP(-LN(2)/2))/(LN(2)/2)*AQ111*AT111*VLOOKUP('Données projet'!$B$10,Paramètres!$A$1:$I$89,3,0)*0.475*44/12</f>
        <v>0.49743075845506657</v>
      </c>
      <c r="AX111" s="21">
        <f t="shared" si="60"/>
        <v>62.121012376944783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322</v>
      </c>
      <c r="BE111" s="13">
        <f>BD111*VLOOKUP('Données projet'!$B$11,Paramètres!$A$1:$I$89,3,0)*VLOOKUP('Données projet'!$B$11,Paramètres!$A$1:$I$89,5,0)</f>
        <v>306.41519999999997</v>
      </c>
      <c r="BF111" s="13">
        <f t="shared" si="91"/>
        <v>72.519675217547672</v>
      </c>
      <c r="BG111" s="20">
        <f t="shared" si="61"/>
        <v>659.9782410038955</v>
      </c>
      <c r="BH111" s="59">
        <f t="shared" si="62"/>
        <v>953.31157433722888</v>
      </c>
      <c r="BI111" s="59">
        <f ca="1">AVERAGE(OFFSET($BH$3,0,0,'Données projet'!$E$11+1,1))-AVERAGE(OFFSET($H$3,0,0,'Données projet'!$E$11+1,1))</f>
        <v>339.00921630742886</v>
      </c>
      <c r="BJ111" s="59">
        <f t="shared" si="92"/>
        <v>314.95763895978303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32.381328278059364</v>
      </c>
      <c r="BQ111" s="21">
        <f>EXP(-LN(2)/25)*BQ110+(1-EXP(-LN(2)/25))/(LN(2)/25)*Calculateur!BL111*Calculateur!BN111*VLOOKUP('Données projet'!$B$11,Paramètres!$A$1:$I$89,3,0)*0.475*44/12</f>
        <v>1.4830534649407987</v>
      </c>
      <c r="BR111" s="21">
        <f>EXP(-LN(2)/2)*BR110+(1-EXP(-LN(2)/2))/(LN(2)/2)*BL111*BO111*VLOOKUP('Données projet'!$B$11,Paramètres!$A$1:$I$89,3,0)*0.475*44/12</f>
        <v>4.5660691565127846E-4</v>
      </c>
      <c r="BS111" s="22">
        <f t="shared" si="63"/>
        <v>33.864838349915814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296.99999999999983</v>
      </c>
      <c r="BZ111" s="13">
        <f>BY111*VLOOKUP('Données projet'!$B$12,Paramètres!$A$1:$I$89,3,0)*VLOOKUP('Données projet'!$B$12,Paramètres!$A$1:$I$89,5,0)</f>
        <v>254.82599999999988</v>
      </c>
      <c r="CA111" s="13">
        <f t="shared" si="93"/>
        <v>61.61820333959453</v>
      </c>
      <c r="CB111" s="20">
        <f t="shared" si="64"/>
        <v>551.1403208164603</v>
      </c>
      <c r="CC111" s="59">
        <f t="shared" si="65"/>
        <v>844.47365414979367</v>
      </c>
      <c r="CD111" s="59">
        <f ca="1">AVERAGE(OFFSET($CC$3,0,0,'Données projet'!$E$12+1,1))-AVERAGE(OFFSET($H$3,0,0,'Données projet'!$E$12+1,1))</f>
        <v>204.6927427024138</v>
      </c>
      <c r="CE111" s="59">
        <f t="shared" si="94"/>
        <v>115.74231133146816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45.279123305839548</v>
      </c>
      <c r="CL111" s="21">
        <f>EXP(-LN(2)/25)*CL110+(1-EXP(-LN(2)/25))/(LN(2)/25)*Calculateur!CG111*Calculateur!CI111*VLOOKUP('Données projet'!$B$12,Paramètres!$A$1:$I$89,3,0)*0.475*44/12</f>
        <v>2.3551333218770258</v>
      </c>
      <c r="CM111" s="21">
        <f>EXP(-LN(2)/2)*CM110+(1-EXP(-LN(2)/2))/(LN(2)/2)*CG111*CJ111*VLOOKUP('Données projet'!$B$12,Paramètres!$A$1:$I$89,3,0)*0.475*44/12</f>
        <v>7.0833393521768595E-2</v>
      </c>
      <c r="CN111" s="22">
        <f t="shared" si="66"/>
        <v>47.705090021238341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204.15575418077316</v>
      </c>
      <c r="CZ111" s="59">
        <f t="shared" si="96"/>
        <v>473.73726605265045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16.718782642967053</v>
      </c>
      <c r="DG111" s="21">
        <f>EXP(-LN(2)/25)*DG110+(1-EXP(-LN(2)/25))/(LN(2)/25)*Calculateur!DB111*Calculateur!DD111*VLOOKUP('Données projet'!$B$13,Paramètres!$A$1:$I$89,3,0)*0.475*44/12</f>
        <v>5.2804881617405917</v>
      </c>
      <c r="DH111" s="21">
        <f>EXP(-LN(2)/2)*DH110+(1-EXP(-LN(2)/2))/(LN(2)/2)*DB111*DE111*VLOOKUP('Données projet'!$B$13,Paramètres!$A$1:$I$89,3,0)*0.475*44/12</f>
        <v>9.7974489751132262E-12</v>
      </c>
      <c r="DI111" s="22">
        <f t="shared" si="69"/>
        <v>21.999270804717444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216.83230520434313</v>
      </c>
      <c r="T112" s="59">
        <f t="shared" si="88"/>
        <v>275.41891707278205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36.474785598756512</v>
      </c>
      <c r="AA112" s="21">
        <f>EXP(-LN(2)/25)*AA111+(1-EXP(-LN(2)/25))/(LN(2)/25)*Calculateur!V112*Calculateur!X112*VLOOKUP('Données projet'!$B$9,Paramètres!$A$1:$I$89,3,0)*0.475*44/12</f>
        <v>4.2822416128020588</v>
      </c>
      <c r="AB112" s="21">
        <f>EXP(-LN(2)/2)*AB111+(1-EXP(-LN(2)/2))/(LN(2)/2)*V112*Y112*VLOOKUP('Données projet'!$B$9,Paramètres!$A$1:$I$89,3,0)*0.475*44/12</f>
        <v>1.3368528567926908E-8</v>
      </c>
      <c r="AC112" s="22">
        <f t="shared" si="57"/>
        <v>40.7570272249271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284.7312</v>
      </c>
      <c r="AK112" s="13">
        <f t="shared" si="89"/>
        <v>67.96587032005101</v>
      </c>
      <c r="AL112" s="20">
        <f t="shared" si="58"/>
        <v>614.28073080742217</v>
      </c>
      <c r="AM112" s="59">
        <f t="shared" si="59"/>
        <v>907.61406414075554</v>
      </c>
      <c r="AN112" s="59">
        <f ca="1">AVERAGE(OFFSET($AM$3,0,0,'Données projet'!$E$10+1,1))-AVERAGE(OFFSET($H$3,0,0,'Données projet'!$E$10+1,1))</f>
        <v>292.42154837691379</v>
      </c>
      <c r="AO112" s="59">
        <f t="shared" si="90"/>
        <v>193.18009444354601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57.861004705326849</v>
      </c>
      <c r="AV112" s="21">
        <f>EXP(-LN(2)/25)*AV111+(1-EXP(-LN(2)/25))/(LN(2)/25)*Calculateur!AQ112*Calculateur!AS112*VLOOKUP('Données projet'!$B$10,Paramètres!$A$1:$I$89,3,0)*0.475*44/12</f>
        <v>2.5340226235477834</v>
      </c>
      <c r="AW112" s="21">
        <f>EXP(-LN(2)/2)*AW111+(1-EXP(-LN(2)/2))/(LN(2)/2)*AQ112*AT112*VLOOKUP('Données projet'!$B$10,Paramètres!$A$1:$I$89,3,0)*0.475*44/12</f>
        <v>0.35173666247434515</v>
      </c>
      <c r="AX112" s="21">
        <f t="shared" si="60"/>
        <v>60.746763991348978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322</v>
      </c>
      <c r="BE112" s="13">
        <f>BD112*VLOOKUP('Données projet'!$B$11,Paramètres!$A$1:$I$89,3,0)*VLOOKUP('Données projet'!$B$11,Paramètres!$A$1:$I$89,5,0)</f>
        <v>306.41519999999997</v>
      </c>
      <c r="BF112" s="13">
        <f t="shared" si="91"/>
        <v>72.519675217547672</v>
      </c>
      <c r="BG112" s="20">
        <f t="shared" si="61"/>
        <v>659.9782410038955</v>
      </c>
      <c r="BH112" s="59">
        <f t="shared" si="62"/>
        <v>953.31157433722888</v>
      </c>
      <c r="BI112" s="59">
        <f ca="1">AVERAGE(OFFSET($BH$3,0,0,'Données projet'!$E$11+1,1))-AVERAGE(OFFSET($H$3,0,0,'Données projet'!$E$11+1,1))</f>
        <v>339.00921630742886</v>
      </c>
      <c r="BJ112" s="59">
        <f t="shared" si="92"/>
        <v>314.95763895978303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31.746350181186653</v>
      </c>
      <c r="BQ112" s="21">
        <f>EXP(-LN(2)/25)*BQ111+(1-EXP(-LN(2)/25))/(LN(2)/25)*Calculateur!BL112*Calculateur!BN112*VLOOKUP('Données projet'!$B$11,Paramètres!$A$1:$I$89,3,0)*0.475*44/12</f>
        <v>1.4424992899516005</v>
      </c>
      <c r="BR112" s="21">
        <f>EXP(-LN(2)/2)*BR111+(1-EXP(-LN(2)/2))/(LN(2)/2)*BL112*BO112*VLOOKUP('Données projet'!$B$11,Paramètres!$A$1:$I$89,3,0)*0.475*44/12</f>
        <v>3.2286984639369291E-4</v>
      </c>
      <c r="BS112" s="22">
        <f t="shared" si="63"/>
        <v>33.189172340984648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296.99999999999983</v>
      </c>
      <c r="BZ112" s="13">
        <f>BY112*VLOOKUP('Données projet'!$B$12,Paramètres!$A$1:$I$89,3,0)*VLOOKUP('Données projet'!$B$12,Paramètres!$A$1:$I$89,5,0)</f>
        <v>254.82599999999988</v>
      </c>
      <c r="CA112" s="13">
        <f t="shared" si="93"/>
        <v>61.61820333959453</v>
      </c>
      <c r="CB112" s="20">
        <f t="shared" si="64"/>
        <v>551.1403208164603</v>
      </c>
      <c r="CC112" s="59">
        <f t="shared" si="65"/>
        <v>844.47365414979367</v>
      </c>
      <c r="CD112" s="59">
        <f ca="1">AVERAGE(OFFSET($CC$3,0,0,'Données projet'!$E$12+1,1))-AVERAGE(OFFSET($H$3,0,0,'Données projet'!$E$12+1,1))</f>
        <v>204.6927427024138</v>
      </c>
      <c r="CE112" s="59">
        <f t="shared" si="94"/>
        <v>115.74231133146816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44.391227315350243</v>
      </c>
      <c r="CL112" s="21">
        <f>EXP(-LN(2)/25)*CL111+(1-EXP(-LN(2)/25))/(LN(2)/25)*Calculateur!CG112*Calculateur!CI112*VLOOKUP('Données projet'!$B$12,Paramètres!$A$1:$I$89,3,0)*0.475*44/12</f>
        <v>2.2907320773392197</v>
      </c>
      <c r="CM112" s="21">
        <f>EXP(-LN(2)/2)*CM111+(1-EXP(-LN(2)/2))/(LN(2)/2)*CG112*CJ112*VLOOKUP('Données projet'!$B$12,Paramètres!$A$1:$I$89,3,0)*0.475*44/12</f>
        <v>5.008677289369784E-2</v>
      </c>
      <c r="CN112" s="22">
        <f t="shared" si="66"/>
        <v>46.732046165583164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204.15575418077316</v>
      </c>
      <c r="CZ112" s="59">
        <f t="shared" si="96"/>
        <v>473.73726605265045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16.390937512788966</v>
      </c>
      <c r="DG112" s="21">
        <f>EXP(-LN(2)/25)*DG111+(1-EXP(-LN(2)/25))/(LN(2)/25)*Calculateur!DB112*Calculateur!DD112*VLOOKUP('Données projet'!$B$13,Paramètres!$A$1:$I$89,3,0)*0.475*44/12</f>
        <v>5.1360929352689917</v>
      </c>
      <c r="DH112" s="21">
        <f>EXP(-LN(2)/2)*DH111+(1-EXP(-LN(2)/2))/(LN(2)/2)*DB112*DE112*VLOOKUP('Données projet'!$B$13,Paramètres!$A$1:$I$89,3,0)*0.475*44/12</f>
        <v>6.9278426086317525E-12</v>
      </c>
      <c r="DI112" s="22">
        <f t="shared" si="69"/>
        <v>21.527030448064885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216.83230520434313</v>
      </c>
      <c r="T113" s="59">
        <f t="shared" si="88"/>
        <v>275.41891707278205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35.759537300587361</v>
      </c>
      <c r="AA113" s="21">
        <f>EXP(-LN(2)/25)*AA112+(1-EXP(-LN(2)/25))/(LN(2)/25)*Calculateur!V113*Calculateur!X113*VLOOKUP('Données projet'!$B$9,Paramètres!$A$1:$I$89,3,0)*0.475*44/12</f>
        <v>4.1651434907066873</v>
      </c>
      <c r="AB113" s="21">
        <f>EXP(-LN(2)/2)*AB112+(1-EXP(-LN(2)/2))/(LN(2)/2)*V113*Y113*VLOOKUP('Données projet'!$B$9,Paramètres!$A$1:$I$89,3,0)*0.475*44/12</f>
        <v>9.4529772048672016E-9</v>
      </c>
      <c r="AC113" s="22">
        <f t="shared" si="57"/>
        <v>39.924680800747026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288.98999999999995</v>
      </c>
      <c r="AK113" s="13">
        <f t="shared" si="89"/>
        <v>68.863345904836791</v>
      </c>
      <c r="AL113" s="20">
        <f t="shared" si="58"/>
        <v>623.26124411759065</v>
      </c>
      <c r="AM113" s="59">
        <f t="shared" si="59"/>
        <v>916.59457745092391</v>
      </c>
      <c r="AN113" s="59">
        <f ca="1">AVERAGE(OFFSET($AM$3,0,0,'Données projet'!$E$10+1,1))-AVERAGE(OFFSET($H$3,0,0,'Données projet'!$E$10+1,1))</f>
        <v>292.42154837691379</v>
      </c>
      <c r="AO113" s="59">
        <f t="shared" si="90"/>
        <v>193.18009444354601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1.72E-2</v>
      </c>
      <c r="AT113" s="16">
        <f>IF(ISNA(VLOOKUP(A113,'Données projet'!$A$61:$I$81,7,0)),0%,VLOOKUP(A113,'Données projet'!$A$61:$I$81,7,0))</f>
        <v>0.06</v>
      </c>
      <c r="AU113" s="21">
        <f>EXP(-LN(2)/35)*AU112+(1-EXP(-LN(2)/35))/(LN(2)/35)*AQ113*AR113*VLOOKUP('Données projet'!$B$10,Paramètres!$A$1:$I$89,3,0)*0.475*44/12</f>
        <v>64.05289505701964</v>
      </c>
      <c r="AV113" s="21">
        <f>EXP(-LN(2)/25)*AV112+(1-EXP(-LN(2)/25))/(LN(2)/25)*Calculateur!AQ113*Calculateur!AS113*VLOOKUP('Données projet'!$B$10,Paramètres!$A$1:$I$89,3,0)*0.475*44/12</f>
        <v>2.8296127468113159</v>
      </c>
      <c r="AW113" s="21">
        <f>EXP(-LN(2)/2)*AW112+(1-EXP(-LN(2)/2))/(LN(2)/2)*AQ113*AT113*VLOOKUP('Données projet'!$B$10,Paramètres!$A$1:$I$89,3,0)*0.475*44/12</f>
        <v>1.3393947514347779</v>
      </c>
      <c r="AX113" s="21">
        <f t="shared" si="60"/>
        <v>68.221902555265743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322</v>
      </c>
      <c r="BE113" s="13">
        <f>BD113*VLOOKUP('Données projet'!$B$11,Paramètres!$A$1:$I$89,3,0)*VLOOKUP('Données projet'!$B$11,Paramètres!$A$1:$I$89,5,0)</f>
        <v>306.41519999999997</v>
      </c>
      <c r="BF113" s="13">
        <f t="shared" si="91"/>
        <v>72.519675217547672</v>
      </c>
      <c r="BG113" s="20">
        <f t="shared" si="61"/>
        <v>659.9782410038955</v>
      </c>
      <c r="BH113" s="59">
        <f t="shared" si="62"/>
        <v>953.31157433722888</v>
      </c>
      <c r="BI113" s="59">
        <f ca="1">AVERAGE(OFFSET($BH$3,0,0,'Données projet'!$E$11+1,1))-AVERAGE(OFFSET($H$3,0,0,'Données projet'!$E$11+1,1))</f>
        <v>339.00921630742886</v>
      </c>
      <c r="BJ113" s="59">
        <f t="shared" si="92"/>
        <v>314.95763895978303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31.123823617495219</v>
      </c>
      <c r="BQ113" s="21">
        <f>EXP(-LN(2)/25)*BQ112+(1-EXP(-LN(2)/25))/(LN(2)/25)*Calculateur!BL113*Calculateur!BN113*VLOOKUP('Données projet'!$B$11,Paramètres!$A$1:$I$89,3,0)*0.475*44/12</f>
        <v>1.4030540710101331</v>
      </c>
      <c r="BR113" s="21">
        <f>EXP(-LN(2)/2)*BR112+(1-EXP(-LN(2)/2))/(LN(2)/2)*BL113*BO113*VLOOKUP('Données projet'!$B$11,Paramètres!$A$1:$I$89,3,0)*0.475*44/12</f>
        <v>2.2830345782563923E-4</v>
      </c>
      <c r="BS113" s="22">
        <f t="shared" si="63"/>
        <v>32.527105991963175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296.99999999999983</v>
      </c>
      <c r="BZ113" s="13">
        <f>BY113*VLOOKUP('Données projet'!$B$12,Paramètres!$A$1:$I$89,3,0)*VLOOKUP('Données projet'!$B$12,Paramètres!$A$1:$I$89,5,0)</f>
        <v>254.82599999999988</v>
      </c>
      <c r="CA113" s="13">
        <f t="shared" si="93"/>
        <v>61.61820333959453</v>
      </c>
      <c r="CB113" s="20">
        <f t="shared" si="64"/>
        <v>551.1403208164603</v>
      </c>
      <c r="CC113" s="59">
        <f t="shared" si="65"/>
        <v>844.47365414979367</v>
      </c>
      <c r="CD113" s="59">
        <f ca="1">AVERAGE(OFFSET($CC$3,0,0,'Données projet'!$E$12+1,1))-AVERAGE(OFFSET($H$3,0,0,'Données projet'!$E$12+1,1))</f>
        <v>204.6927427024138</v>
      </c>
      <c r="CE113" s="59">
        <f t="shared" si="94"/>
        <v>115.74231133146816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43.520742423671358</v>
      </c>
      <c r="CL113" s="21">
        <f>EXP(-LN(2)/25)*CL112+(1-EXP(-LN(2)/25))/(LN(2)/25)*Calculateur!CG113*Calculateur!CI113*VLOOKUP('Données projet'!$B$12,Paramètres!$A$1:$I$89,3,0)*0.475*44/12</f>
        <v>2.2280918882200145</v>
      </c>
      <c r="CM113" s="21">
        <f>EXP(-LN(2)/2)*CM112+(1-EXP(-LN(2)/2))/(LN(2)/2)*CG113*CJ113*VLOOKUP('Données projet'!$B$12,Paramètres!$A$1:$I$89,3,0)*0.475*44/12</f>
        <v>3.5416696760884298E-2</v>
      </c>
      <c r="CN113" s="22">
        <f t="shared" si="66"/>
        <v>45.784251008652255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204.15575418077316</v>
      </c>
      <c r="CZ113" s="59">
        <f t="shared" si="96"/>
        <v>473.73726605265045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16.069521225647886</v>
      </c>
      <c r="DG113" s="21">
        <f>EXP(-LN(2)/25)*DG112+(1-EXP(-LN(2)/25))/(LN(2)/25)*Calculateur!DB113*Calculateur!DD113*VLOOKUP('Données projet'!$B$13,Paramètres!$A$1:$I$89,3,0)*0.475*44/12</f>
        <v>4.995646203858672</v>
      </c>
      <c r="DH113" s="21">
        <f>EXP(-LN(2)/2)*DH112+(1-EXP(-LN(2)/2))/(LN(2)/2)*DB113*DE113*VLOOKUP('Données projet'!$B$13,Paramètres!$A$1:$I$89,3,0)*0.475*44/12</f>
        <v>4.8987244875566131E-12</v>
      </c>
      <c r="DI113" s="22">
        <f t="shared" si="69"/>
        <v>21.065167429511458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216.83230520434313</v>
      </c>
      <c r="T114" s="59">
        <f t="shared" si="88"/>
        <v>275.41891707278205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35.058314585286922</v>
      </c>
      <c r="AA114" s="21">
        <f>EXP(-LN(2)/25)*AA113+(1-EXP(-LN(2)/25))/(LN(2)/25)*Calculateur!V114*Calculateur!X114*VLOOKUP('Données projet'!$B$9,Paramètres!$A$1:$I$89,3,0)*0.475*44/12</f>
        <v>4.0512474229179363</v>
      </c>
      <c r="AB114" s="21">
        <f>EXP(-LN(2)/2)*AB113+(1-EXP(-LN(2)/2))/(LN(2)/2)*V114*Y114*VLOOKUP('Données projet'!$B$9,Paramètres!$A$1:$I$89,3,0)*0.475*44/12</f>
        <v>6.684264283963454E-9</v>
      </c>
      <c r="AC114" s="22">
        <f t="shared" si="57"/>
        <v>39.109562014889129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269.79999999999995</v>
      </c>
      <c r="AJ114" s="13">
        <f>AI114*VLOOKUP('Données projet'!$B$10,Paramètres!$A$1:$I$89,3,0)*VLOOKUP('Données projet'!$B$10,Paramètres!$A$1:$I$89,5,0)</f>
        <v>273.57719999999995</v>
      </c>
      <c r="AK114" s="13">
        <f t="shared" si="89"/>
        <v>65.60785888991505</v>
      </c>
      <c r="AL114" s="20">
        <f t="shared" si="58"/>
        <v>590.74731089993531</v>
      </c>
      <c r="AM114" s="59">
        <f t="shared" si="59"/>
        <v>884.08064423326869</v>
      </c>
      <c r="AN114" s="59">
        <f ca="1">AVERAGE(OFFSET($AM$3,0,0,'Données projet'!$E$10+1,1))-AVERAGE(OFFSET($H$3,0,0,'Données projet'!$E$10+1,1))</f>
        <v>292.42154837691379</v>
      </c>
      <c r="AO114" s="59">
        <f t="shared" si="90"/>
        <v>193.18009444354601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62.796856853359785</v>
      </c>
      <c r="AV114" s="21">
        <f>EXP(-LN(2)/25)*AV113+(1-EXP(-LN(2)/25))/(LN(2)/25)*Calculateur!AQ114*Calculateur!AS114*VLOOKUP('Données projet'!$B$10,Paramètres!$A$1:$I$89,3,0)*0.475*44/12</f>
        <v>2.7522368374468935</v>
      </c>
      <c r="AW114" s="21">
        <f>EXP(-LN(2)/2)*AW113+(1-EXP(-LN(2)/2))/(LN(2)/2)*AQ114*AT114*VLOOKUP('Données projet'!$B$10,Paramètres!$A$1:$I$89,3,0)*0.475*44/12</f>
        <v>0.94709511142520175</v>
      </c>
      <c r="AX114" s="21">
        <f t="shared" si="60"/>
        <v>66.49618880223187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322</v>
      </c>
      <c r="BE114" s="13">
        <f>BD114*VLOOKUP('Données projet'!$B$11,Paramètres!$A$1:$I$89,3,0)*VLOOKUP('Données projet'!$B$11,Paramètres!$A$1:$I$89,5,0)</f>
        <v>306.41519999999997</v>
      </c>
      <c r="BF114" s="13">
        <f t="shared" si="91"/>
        <v>72.519675217547672</v>
      </c>
      <c r="BG114" s="20">
        <f t="shared" si="61"/>
        <v>659.9782410038955</v>
      </c>
      <c r="BH114" s="59">
        <f t="shared" si="62"/>
        <v>953.31157433722888</v>
      </c>
      <c r="BI114" s="59">
        <f ca="1">AVERAGE(OFFSET($BH$3,0,0,'Données projet'!$E$11+1,1))-AVERAGE(OFFSET($H$3,0,0,'Données projet'!$E$11+1,1))</f>
        <v>339.00921630742886</v>
      </c>
      <c r="BJ114" s="59">
        <f t="shared" si="92"/>
        <v>314.95763895978303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30.513504420014065</v>
      </c>
      <c r="BQ114" s="21">
        <f>EXP(-LN(2)/25)*BQ113+(1-EXP(-LN(2)/25))/(LN(2)/25)*Calculateur!BL114*Calculateur!BN114*VLOOKUP('Données projet'!$B$11,Paramètres!$A$1:$I$89,3,0)*0.475*44/12</f>
        <v>1.3646874836549541</v>
      </c>
      <c r="BR114" s="21">
        <f>EXP(-LN(2)/2)*BR113+(1-EXP(-LN(2)/2))/(LN(2)/2)*BL114*BO114*VLOOKUP('Données projet'!$B$11,Paramètres!$A$1:$I$89,3,0)*0.475*44/12</f>
        <v>1.6143492319684646E-4</v>
      </c>
      <c r="BS114" s="22">
        <f t="shared" si="63"/>
        <v>31.878353338592216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296.99999999999983</v>
      </c>
      <c r="BZ114" s="13">
        <f>BY114*VLOOKUP('Données projet'!$B$12,Paramètres!$A$1:$I$89,3,0)*VLOOKUP('Données projet'!$B$12,Paramètres!$A$1:$I$89,5,0)</f>
        <v>254.82599999999988</v>
      </c>
      <c r="CA114" s="13">
        <f t="shared" si="93"/>
        <v>61.61820333959453</v>
      </c>
      <c r="CB114" s="20">
        <f t="shared" si="64"/>
        <v>551.1403208164603</v>
      </c>
      <c r="CC114" s="59">
        <f t="shared" si="65"/>
        <v>844.47365414979367</v>
      </c>
      <c r="CD114" s="59">
        <f ca="1">AVERAGE(OFFSET($CC$3,0,0,'Données projet'!$E$12+1,1))-AVERAGE(OFFSET($H$3,0,0,'Données projet'!$E$12+1,1))</f>
        <v>204.6927427024138</v>
      </c>
      <c r="CE114" s="59">
        <f t="shared" si="94"/>
        <v>115.74231133146816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42.667327209774939</v>
      </c>
      <c r="CL114" s="21">
        <f>EXP(-LN(2)/25)*CL113+(1-EXP(-LN(2)/25))/(LN(2)/25)*Calculateur!CG114*Calculateur!CI114*VLOOKUP('Données projet'!$B$12,Paramètres!$A$1:$I$89,3,0)*0.475*44/12</f>
        <v>2.1671645983663783</v>
      </c>
      <c r="CM114" s="21">
        <f>EXP(-LN(2)/2)*CM113+(1-EXP(-LN(2)/2))/(LN(2)/2)*CG114*CJ114*VLOOKUP('Données projet'!$B$12,Paramètres!$A$1:$I$89,3,0)*0.475*44/12</f>
        <v>2.504338644684892E-2</v>
      </c>
      <c r="CN114" s="22">
        <f t="shared" si="66"/>
        <v>44.859535194588162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204.15575418077316</v>
      </c>
      <c r="CZ114" s="59">
        <f t="shared" si="96"/>
        <v>473.73726605265045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15.754407715853066</v>
      </c>
      <c r="DG114" s="21">
        <f>EXP(-LN(2)/25)*DG113+(1-EXP(-LN(2)/25))/(LN(2)/25)*Calculateur!DB114*Calculateur!DD114*VLOOKUP('Données projet'!$B$13,Paramètres!$A$1:$I$89,3,0)*0.475*44/12</f>
        <v>4.8590399957045403</v>
      </c>
      <c r="DH114" s="21">
        <f>EXP(-LN(2)/2)*DH113+(1-EXP(-LN(2)/2))/(LN(2)/2)*DB114*DE114*VLOOKUP('Données projet'!$B$13,Paramètres!$A$1:$I$89,3,0)*0.475*44/12</f>
        <v>3.4639213043158762E-12</v>
      </c>
      <c r="DI114" s="22">
        <f t="shared" si="69"/>
        <v>20.613447711561069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216.83230520434313</v>
      </c>
      <c r="T115" s="59">
        <f t="shared" si="88"/>
        <v>275.41891707278205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34.370842419729904</v>
      </c>
      <c r="AA115" s="21">
        <f>EXP(-LN(2)/25)*AA114+(1-EXP(-LN(2)/25))/(LN(2)/25)*Calculateur!V115*Calculateur!X115*VLOOKUP('Données projet'!$B$9,Paramètres!$A$1:$I$89,3,0)*0.475*44/12</f>
        <v>3.9404658490924027</v>
      </c>
      <c r="AB115" s="21">
        <f>EXP(-LN(2)/2)*AB114+(1-EXP(-LN(2)/2))/(LN(2)/2)*V115*Y115*VLOOKUP('Données projet'!$B$9,Paramètres!$A$1:$I$89,3,0)*0.475*44/12</f>
        <v>4.7264886024336008E-9</v>
      </c>
      <c r="AC115" s="22">
        <f t="shared" si="57"/>
        <v>38.311308273548796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273.59999999999997</v>
      </c>
      <c r="AJ115" s="13">
        <f>AI115*VLOOKUP('Données projet'!$B$10,Paramètres!$A$1:$I$89,3,0)*VLOOKUP('Données projet'!$B$10,Paramètres!$A$1:$I$89,5,0)</f>
        <v>277.43039999999996</v>
      </c>
      <c r="AK115" s="13">
        <f t="shared" si="89"/>
        <v>66.423687500715673</v>
      </c>
      <c r="AL115" s="20">
        <f t="shared" si="58"/>
        <v>598.87920239707967</v>
      </c>
      <c r="AM115" s="59">
        <f t="shared" si="59"/>
        <v>892.21253573041304</v>
      </c>
      <c r="AN115" s="59">
        <f ca="1">AVERAGE(OFFSET($AM$3,0,0,'Données projet'!$E$10+1,1))-AVERAGE(OFFSET($H$3,0,0,'Données projet'!$E$10+1,1))</f>
        <v>292.42154837691379</v>
      </c>
      <c r="AO115" s="59">
        <f t="shared" si="90"/>
        <v>193.18009444354601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61.565448792766041</v>
      </c>
      <c r="AV115" s="21">
        <f>EXP(-LN(2)/25)*AV114+(1-EXP(-LN(2)/25))/(LN(2)/25)*Calculateur!AQ115*Calculateur!AS115*VLOOKUP('Données projet'!$B$10,Paramètres!$A$1:$I$89,3,0)*0.475*44/12</f>
        <v>2.6769767763930634</v>
      </c>
      <c r="AW115" s="21">
        <f>EXP(-LN(2)/2)*AW114+(1-EXP(-LN(2)/2))/(LN(2)/2)*AQ115*AT115*VLOOKUP('Données projet'!$B$10,Paramètres!$A$1:$I$89,3,0)*0.475*44/12</f>
        <v>0.66969737571738908</v>
      </c>
      <c r="AX115" s="21">
        <f t="shared" si="60"/>
        <v>64.912122944876501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322</v>
      </c>
      <c r="BE115" s="13">
        <f>BD115*VLOOKUP('Données projet'!$B$11,Paramètres!$A$1:$I$89,3,0)*VLOOKUP('Données projet'!$B$11,Paramètres!$A$1:$I$89,5,0)</f>
        <v>306.41519999999997</v>
      </c>
      <c r="BF115" s="13">
        <f t="shared" si="91"/>
        <v>72.519675217547672</v>
      </c>
      <c r="BG115" s="20">
        <f t="shared" si="61"/>
        <v>659.9782410038955</v>
      </c>
      <c r="BH115" s="59">
        <f t="shared" si="62"/>
        <v>953.31157433722888</v>
      </c>
      <c r="BI115" s="59">
        <f ca="1">AVERAGE(OFFSET($BH$3,0,0,'Données projet'!$E$11+1,1))-AVERAGE(OFFSET($H$3,0,0,'Données projet'!$E$11+1,1))</f>
        <v>339.00921630742886</v>
      </c>
      <c r="BJ115" s="59">
        <f t="shared" si="92"/>
        <v>314.95763895978303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29.915153209737564</v>
      </c>
      <c r="BQ115" s="21">
        <f>EXP(-LN(2)/25)*BQ114+(1-EXP(-LN(2)/25))/(LN(2)/25)*Calculateur!BL115*Calculateur!BN115*VLOOKUP('Données projet'!$B$11,Paramètres!$A$1:$I$89,3,0)*0.475*44/12</f>
        <v>1.3273700326486135</v>
      </c>
      <c r="BR115" s="21">
        <f>EXP(-LN(2)/2)*BR114+(1-EXP(-LN(2)/2))/(LN(2)/2)*BL115*BO115*VLOOKUP('Données projet'!$B$11,Paramètres!$A$1:$I$89,3,0)*0.475*44/12</f>
        <v>1.1415172891281961E-4</v>
      </c>
      <c r="BS115" s="22">
        <f t="shared" si="63"/>
        <v>31.242637394115089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296.99999999999983</v>
      </c>
      <c r="BZ115" s="13">
        <f>BY115*VLOOKUP('Données projet'!$B$12,Paramètres!$A$1:$I$89,3,0)*VLOOKUP('Données projet'!$B$12,Paramètres!$A$1:$I$89,5,0)</f>
        <v>254.82599999999988</v>
      </c>
      <c r="CA115" s="13">
        <f t="shared" si="93"/>
        <v>61.61820333959453</v>
      </c>
      <c r="CB115" s="20">
        <f t="shared" si="64"/>
        <v>551.1403208164603</v>
      </c>
      <c r="CC115" s="59">
        <f t="shared" si="65"/>
        <v>844.47365414979367</v>
      </c>
      <c r="CD115" s="59">
        <f ca="1">AVERAGE(OFFSET($CC$3,0,0,'Données projet'!$E$12+1,1))-AVERAGE(OFFSET($H$3,0,0,'Données projet'!$E$12+1,1))</f>
        <v>204.6927427024138</v>
      </c>
      <c r="CE115" s="59">
        <f t="shared" si="94"/>
        <v>115.74231133146816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41.830646947691143</v>
      </c>
      <c r="CL115" s="21">
        <f>EXP(-LN(2)/25)*CL114+(1-EXP(-LN(2)/25))/(LN(2)/25)*Calculateur!CG115*Calculateur!CI115*VLOOKUP('Données projet'!$B$12,Paramètres!$A$1:$I$89,3,0)*0.475*44/12</f>
        <v>2.1079033684578166</v>
      </c>
      <c r="CM115" s="21">
        <f>EXP(-LN(2)/2)*CM114+(1-EXP(-LN(2)/2))/(LN(2)/2)*CG115*CJ115*VLOOKUP('Données projet'!$B$12,Paramètres!$A$1:$I$89,3,0)*0.475*44/12</f>
        <v>1.7708348380442149E-2</v>
      </c>
      <c r="CN115" s="22">
        <f t="shared" si="66"/>
        <v>43.956258664529408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204.15575418077316</v>
      </c>
      <c r="CZ115" s="59">
        <f t="shared" si="96"/>
        <v>473.73726605265045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15.445473389785061</v>
      </c>
      <c r="DG115" s="21">
        <f>EXP(-LN(2)/25)*DG114+(1-EXP(-LN(2)/25))/(LN(2)/25)*Calculateur!DB115*Calculateur!DD115*VLOOKUP('Données projet'!$B$13,Paramètres!$A$1:$I$89,3,0)*0.475*44/12</f>
        <v>4.7261692914961921</v>
      </c>
      <c r="DH115" s="21">
        <f>EXP(-LN(2)/2)*DH114+(1-EXP(-LN(2)/2))/(LN(2)/2)*DB115*DE115*VLOOKUP('Données projet'!$B$13,Paramètres!$A$1:$I$89,3,0)*0.475*44/12</f>
        <v>2.4493622437783066E-12</v>
      </c>
      <c r="DI115" s="22">
        <f t="shared" si="69"/>
        <v>20.1716426812837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216.83230520434313</v>
      </c>
      <c r="T116" s="59">
        <f t="shared" si="88"/>
        <v>275.41891707278205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33.696851164022839</v>
      </c>
      <c r="AA116" s="21">
        <f>EXP(-LN(2)/25)*AA115+(1-EXP(-LN(2)/25))/(LN(2)/25)*Calculateur!V116*Calculateur!X116*VLOOKUP('Données projet'!$B$9,Paramètres!$A$1:$I$89,3,0)*0.475*44/12</f>
        <v>3.832713603228878</v>
      </c>
      <c r="AB116" s="21">
        <f>EXP(-LN(2)/2)*AB115+(1-EXP(-LN(2)/2))/(LN(2)/2)*V116*Y116*VLOOKUP('Données projet'!$B$9,Paramètres!$A$1:$I$89,3,0)*0.475*44/12</f>
        <v>3.342132141981727E-9</v>
      </c>
      <c r="AC116" s="22">
        <f t="shared" si="57"/>
        <v>37.529564770593844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277.39999999999998</v>
      </c>
      <c r="AJ116" s="13">
        <f>AI116*VLOOKUP('Données projet'!$B$10,Paramètres!$A$1:$I$89,3,0)*VLOOKUP('Données projet'!$B$10,Paramètres!$A$1:$I$89,5,0)</f>
        <v>281.28360000000004</v>
      </c>
      <c r="AK116" s="13">
        <f t="shared" si="89"/>
        <v>67.238198209347928</v>
      </c>
      <c r="AL116" s="20">
        <f t="shared" si="58"/>
        <v>607.00879854794766</v>
      </c>
      <c r="AM116" s="59">
        <f t="shared" si="59"/>
        <v>900.34213188128092</v>
      </c>
      <c r="AN116" s="59">
        <f ca="1">AVERAGE(OFFSET($AM$3,0,0,'Données projet'!$E$10+1,1))-AVERAGE(OFFSET($H$3,0,0,'Données projet'!$E$10+1,1))</f>
        <v>292.42154837691379</v>
      </c>
      <c r="AO116" s="59">
        <f t="shared" si="90"/>
        <v>193.18009444354601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60.358187893155787</v>
      </c>
      <c r="AV116" s="21">
        <f>EXP(-LN(2)/25)*AV115+(1-EXP(-LN(2)/25))/(LN(2)/25)*Calculateur!AQ116*Calculateur!AS116*VLOOKUP('Données projet'!$B$10,Paramètres!$A$1:$I$89,3,0)*0.475*44/12</f>
        <v>2.6037747056665048</v>
      </c>
      <c r="AW116" s="21">
        <f>EXP(-LN(2)/2)*AW115+(1-EXP(-LN(2)/2))/(LN(2)/2)*AQ116*AT116*VLOOKUP('Données projet'!$B$10,Paramètres!$A$1:$I$89,3,0)*0.475*44/12</f>
        <v>0.47354755571260099</v>
      </c>
      <c r="AX116" s="21">
        <f t="shared" si="60"/>
        <v>63.435510154534889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322</v>
      </c>
      <c r="BE116" s="13">
        <f>BD116*VLOOKUP('Données projet'!$B$11,Paramètres!$A$1:$I$89,3,0)*VLOOKUP('Données projet'!$B$11,Paramètres!$A$1:$I$89,5,0)</f>
        <v>306.41519999999997</v>
      </c>
      <c r="BF116" s="13">
        <f t="shared" si="91"/>
        <v>72.519675217547672</v>
      </c>
      <c r="BG116" s="20">
        <f t="shared" si="61"/>
        <v>659.9782410038955</v>
      </c>
      <c r="BH116" s="59">
        <f t="shared" si="62"/>
        <v>953.31157433722888</v>
      </c>
      <c r="BI116" s="59">
        <f ca="1">AVERAGE(OFFSET($BH$3,0,0,'Données projet'!$E$11+1,1))-AVERAGE(OFFSET($H$3,0,0,'Données projet'!$E$11+1,1))</f>
        <v>339.00921630742886</v>
      </c>
      <c r="BJ116" s="59">
        <f t="shared" si="92"/>
        <v>314.95763895978303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29.328535301736384</v>
      </c>
      <c r="BQ116" s="21">
        <f>EXP(-LN(2)/25)*BQ115+(1-EXP(-LN(2)/25))/(LN(2)/25)*Calculateur!BL116*Calculateur!BN116*VLOOKUP('Données projet'!$B$11,Paramètres!$A$1:$I$89,3,0)*0.475*44/12</f>
        <v>1.291073029302481</v>
      </c>
      <c r="BR116" s="21">
        <f>EXP(-LN(2)/2)*BR115+(1-EXP(-LN(2)/2))/(LN(2)/2)*BL116*BO116*VLOOKUP('Données projet'!$B$11,Paramètres!$A$1:$I$89,3,0)*0.475*44/12</f>
        <v>8.0717461598423228E-5</v>
      </c>
      <c r="BS116" s="22">
        <f t="shared" si="63"/>
        <v>30.619689048500465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296.99999999999983</v>
      </c>
      <c r="BZ116" s="13">
        <f>BY116*VLOOKUP('Données projet'!$B$12,Paramètres!$A$1:$I$89,3,0)*VLOOKUP('Données projet'!$B$12,Paramètres!$A$1:$I$89,5,0)</f>
        <v>254.82599999999988</v>
      </c>
      <c r="CA116" s="13">
        <f t="shared" si="93"/>
        <v>61.61820333959453</v>
      </c>
      <c r="CB116" s="20">
        <f t="shared" si="64"/>
        <v>551.1403208164603</v>
      </c>
      <c r="CC116" s="59">
        <f t="shared" si="65"/>
        <v>844.47365414979367</v>
      </c>
      <c r="CD116" s="59">
        <f ca="1">AVERAGE(OFFSET($CC$3,0,0,'Données projet'!$E$12+1,1))-AVERAGE(OFFSET($H$3,0,0,'Données projet'!$E$12+1,1))</f>
        <v>204.6927427024138</v>
      </c>
      <c r="CE116" s="59">
        <f t="shared" si="94"/>
        <v>115.74231133146816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41.010373475222245</v>
      </c>
      <c r="CL116" s="21">
        <f>EXP(-LN(2)/25)*CL115+(1-EXP(-LN(2)/25))/(LN(2)/25)*Calculateur!CG116*Calculateur!CI116*VLOOKUP('Données projet'!$B$12,Paramètres!$A$1:$I$89,3,0)*0.475*44/12</f>
        <v>2.0502626399975172</v>
      </c>
      <c r="CM116" s="21">
        <f>EXP(-LN(2)/2)*CM115+(1-EXP(-LN(2)/2))/(LN(2)/2)*CG116*CJ116*VLOOKUP('Données projet'!$B$12,Paramètres!$A$1:$I$89,3,0)*0.475*44/12</f>
        <v>1.252169322342446E-2</v>
      </c>
      <c r="CN116" s="22">
        <f t="shared" si="66"/>
        <v>43.073157808443192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204.15575418077316</v>
      </c>
      <c r="CZ116" s="59">
        <f t="shared" si="96"/>
        <v>473.73726605265045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15.142597077419916</v>
      </c>
      <c r="DG116" s="21">
        <f>EXP(-LN(2)/25)*DG115+(1-EXP(-LN(2)/25))/(LN(2)/25)*Calculateur!DB116*Calculateur!DD116*VLOOKUP('Données projet'!$B$13,Paramètres!$A$1:$I$89,3,0)*0.475*44/12</f>
        <v>4.5969319436817875</v>
      </c>
      <c r="DH116" s="21">
        <f>EXP(-LN(2)/2)*DH115+(1-EXP(-LN(2)/2))/(LN(2)/2)*DB116*DE116*VLOOKUP('Données projet'!$B$13,Paramètres!$A$1:$I$89,3,0)*0.475*44/12</f>
        <v>1.7319606521579381E-12</v>
      </c>
      <c r="DI116" s="22">
        <f t="shared" si="69"/>
        <v>19.739529021103436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216.83230520434313</v>
      </c>
      <c r="T117" s="59">
        <f t="shared" si="88"/>
        <v>275.41891707278205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33.036076465746113</v>
      </c>
      <c r="AA117" s="21">
        <f>EXP(-LN(2)/25)*AA116+(1-EXP(-LN(2)/25))/(LN(2)/25)*Calculateur!V117*Calculateur!X117*VLOOKUP('Données projet'!$B$9,Paramètres!$A$1:$I$89,3,0)*0.475*44/12</f>
        <v>3.7279078481949357</v>
      </c>
      <c r="AB117" s="21">
        <f>EXP(-LN(2)/2)*AB116+(1-EXP(-LN(2)/2))/(LN(2)/2)*V117*Y117*VLOOKUP('Données projet'!$B$9,Paramètres!$A$1:$I$89,3,0)*0.475*44/12</f>
        <v>2.3632443012168004E-9</v>
      </c>
      <c r="AC117" s="22">
        <f t="shared" si="57"/>
        <v>36.763984316304295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281.2</v>
      </c>
      <c r="AJ117" s="13">
        <f>AI117*VLOOKUP('Données projet'!$B$10,Paramètres!$A$1:$I$89,3,0)*VLOOKUP('Données projet'!$B$10,Paramètres!$A$1:$I$89,5,0)</f>
        <v>285.13679999999999</v>
      </c>
      <c r="AK117" s="13">
        <f t="shared" si="89"/>
        <v>68.051411155895636</v>
      </c>
      <c r="AL117" s="20">
        <f t="shared" si="58"/>
        <v>615.1361344298515</v>
      </c>
      <c r="AM117" s="59">
        <f t="shared" si="59"/>
        <v>908.46946776318487</v>
      </c>
      <c r="AN117" s="59">
        <f ca="1">AVERAGE(OFFSET($AM$3,0,0,'Données projet'!$E$10+1,1))-AVERAGE(OFFSET($H$3,0,0,'Données projet'!$E$10+1,1))</f>
        <v>292.42154837691379</v>
      </c>
      <c r="AO117" s="59">
        <f t="shared" si="90"/>
        <v>193.18009444354601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59.174600643430452</v>
      </c>
      <c r="AV117" s="21">
        <f>EXP(-LN(2)/25)*AV116+(1-EXP(-LN(2)/25))/(LN(2)/25)*Calculateur!AQ117*Calculateur!AS117*VLOOKUP('Données projet'!$B$10,Paramètres!$A$1:$I$89,3,0)*0.475*44/12</f>
        <v>2.5325743494134936</v>
      </c>
      <c r="AW117" s="21">
        <f>EXP(-LN(2)/2)*AW116+(1-EXP(-LN(2)/2))/(LN(2)/2)*AQ117*AT117*VLOOKUP('Données projet'!$B$10,Paramètres!$A$1:$I$89,3,0)*0.475*44/12</f>
        <v>0.33484868785869459</v>
      </c>
      <c r="AX117" s="21">
        <f t="shared" si="60"/>
        <v>62.042023680702641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322</v>
      </c>
      <c r="BE117" s="13">
        <f>BD117*VLOOKUP('Données projet'!$B$11,Paramètres!$A$1:$I$89,3,0)*VLOOKUP('Données projet'!$B$11,Paramètres!$A$1:$I$89,5,0)</f>
        <v>306.41519999999997</v>
      </c>
      <c r="BF117" s="13">
        <f t="shared" si="91"/>
        <v>72.519675217547672</v>
      </c>
      <c r="BG117" s="20">
        <f t="shared" si="61"/>
        <v>659.9782410038955</v>
      </c>
      <c r="BH117" s="59">
        <f t="shared" si="62"/>
        <v>953.31157433722888</v>
      </c>
      <c r="BI117" s="59">
        <f ca="1">AVERAGE(OFFSET($BH$3,0,0,'Données projet'!$E$11+1,1))-AVERAGE(OFFSET($H$3,0,0,'Données projet'!$E$11+1,1))</f>
        <v>339.00921630742886</v>
      </c>
      <c r="BJ117" s="59">
        <f t="shared" si="92"/>
        <v>314.95763895978303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28.753420613109512</v>
      </c>
      <c r="BQ117" s="21">
        <f>EXP(-LN(2)/25)*BQ116+(1-EXP(-LN(2)/25))/(LN(2)/25)*Calculateur!BL117*Calculateur!BN117*VLOOKUP('Données projet'!$B$11,Paramètres!$A$1:$I$89,3,0)*0.475*44/12</f>
        <v>1.255768569421625</v>
      </c>
      <c r="BR117" s="21">
        <f>EXP(-LN(2)/2)*BR116+(1-EXP(-LN(2)/2))/(LN(2)/2)*BL117*BO117*VLOOKUP('Données projet'!$B$11,Paramètres!$A$1:$I$89,3,0)*0.475*44/12</f>
        <v>5.7075864456409807E-5</v>
      </c>
      <c r="BS117" s="22">
        <f t="shared" si="63"/>
        <v>30.009246258395596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296.99999999999983</v>
      </c>
      <c r="BZ117" s="13">
        <f>BY117*VLOOKUP('Données projet'!$B$12,Paramètres!$A$1:$I$89,3,0)*VLOOKUP('Données projet'!$B$12,Paramètres!$A$1:$I$89,5,0)</f>
        <v>254.82599999999988</v>
      </c>
      <c r="CA117" s="13">
        <f t="shared" si="93"/>
        <v>61.61820333959453</v>
      </c>
      <c r="CB117" s="20">
        <f t="shared" si="64"/>
        <v>551.1403208164603</v>
      </c>
      <c r="CC117" s="59">
        <f t="shared" si="65"/>
        <v>844.47365414979367</v>
      </c>
      <c r="CD117" s="59">
        <f ca="1">AVERAGE(OFFSET($CC$3,0,0,'Données projet'!$E$12+1,1))-AVERAGE(OFFSET($H$3,0,0,'Données projet'!$E$12+1,1))</f>
        <v>204.6927427024138</v>
      </c>
      <c r="CE117" s="59">
        <f t="shared" si="94"/>
        <v>115.74231133146816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40.206185065231047</v>
      </c>
      <c r="CL117" s="21">
        <f>EXP(-LN(2)/25)*CL116+(1-EXP(-LN(2)/25))/(LN(2)/25)*Calculateur!CG117*Calculateur!CI117*VLOOKUP('Données projet'!$B$12,Paramètres!$A$1:$I$89,3,0)*0.475*44/12</f>
        <v>1.9941981002881588</v>
      </c>
      <c r="CM117" s="21">
        <f>EXP(-LN(2)/2)*CM116+(1-EXP(-LN(2)/2))/(LN(2)/2)*CG117*CJ117*VLOOKUP('Données projet'!$B$12,Paramètres!$A$1:$I$89,3,0)*0.475*44/12</f>
        <v>8.8541741902210744E-3</v>
      </c>
      <c r="CN117" s="22">
        <f t="shared" si="66"/>
        <v>42.209237339709425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204.15575418077316</v>
      </c>
      <c r="CZ117" s="59">
        <f t="shared" si="96"/>
        <v>473.73726605265045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14.845659984803943</v>
      </c>
      <c r="DG117" s="21">
        <f>EXP(-LN(2)/25)*DG116+(1-EXP(-LN(2)/25))/(LN(2)/25)*Calculateur!DB117*Calculateur!DD117*VLOOKUP('Données projet'!$B$13,Paramètres!$A$1:$I$89,3,0)*0.475*44/12</f>
        <v>4.4712285979396649</v>
      </c>
      <c r="DH117" s="21">
        <f>EXP(-LN(2)/2)*DH116+(1-EXP(-LN(2)/2))/(LN(2)/2)*DB117*DE117*VLOOKUP('Données projet'!$B$13,Paramètres!$A$1:$I$89,3,0)*0.475*44/12</f>
        <v>1.2246811218891533E-12</v>
      </c>
      <c r="DI117" s="22">
        <f t="shared" si="69"/>
        <v>19.316888582744834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216.83230520434313</v>
      </c>
      <c r="T118" s="59">
        <f t="shared" si="88"/>
        <v>275.41891707278205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32.388259156269825</v>
      </c>
      <c r="AA118" s="21">
        <f>EXP(-LN(2)/25)*AA117+(1-EXP(-LN(2)/25))/(LN(2)/25)*Calculateur!V118*Calculateur!X118*VLOOKUP('Données projet'!$B$9,Paramètres!$A$1:$I$89,3,0)*0.475*44/12</f>
        <v>3.6259680120438915</v>
      </c>
      <c r="AB118" s="21">
        <f>EXP(-LN(2)/2)*AB117+(1-EXP(-LN(2)/2))/(LN(2)/2)*V118*Y118*VLOOKUP('Données projet'!$B$9,Paramètres!$A$1:$I$89,3,0)*0.475*44/12</f>
        <v>1.6710660709908635E-9</v>
      </c>
      <c r="AC118" s="22">
        <f t="shared" si="57"/>
        <v>36.014227169984785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285</v>
      </c>
      <c r="AJ118" s="13">
        <f>AI118*VLOOKUP('Données projet'!$B$10,Paramètres!$A$1:$I$89,3,0)*VLOOKUP('Données projet'!$B$10,Paramètres!$A$1:$I$89,5,0)</f>
        <v>288.99</v>
      </c>
      <c r="AK118" s="13">
        <f t="shared" si="89"/>
        <v>68.863345904836791</v>
      </c>
      <c r="AL118" s="20">
        <f t="shared" si="58"/>
        <v>623.26124411759076</v>
      </c>
      <c r="AM118" s="59">
        <f t="shared" si="59"/>
        <v>916.59457745092413</v>
      </c>
      <c r="AN118" s="59">
        <f ca="1">AVERAGE(OFFSET($AM$3,0,0,'Données projet'!$E$10+1,1))-AVERAGE(OFFSET($H$3,0,0,'Données projet'!$E$10+1,1))</f>
        <v>292.42154837691379</v>
      </c>
      <c r="AO118" s="59">
        <f t="shared" si="90"/>
        <v>193.18009444354601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1.72E-2</v>
      </c>
      <c r="AT118" s="16">
        <f>IF(ISNA(VLOOKUP(A118,'Données projet'!$A$61:$I$81,7,0)),0%,VLOOKUP(A118,'Données projet'!$A$61:$I$81,7,0))</f>
        <v>0.06</v>
      </c>
      <c r="AU118" s="21">
        <f>EXP(-LN(2)/35)*AU117+(1-EXP(-LN(2)/35))/(LN(2)/35)*AQ118*AR118*VLOOKUP('Données projet'!$B$10,Paramètres!$A$1:$I$89,3,0)*0.475*44/12</f>
        <v>64.95512642408427</v>
      </c>
      <c r="AV118" s="21">
        <f>EXP(-LN(2)/25)*AV117+(1-EXP(-LN(2)/25))/(LN(2)/25)*Calculateur!AQ118*Calculateur!AS118*VLOOKUP('Données projet'!$B$10,Paramètres!$A$1:$I$89,3,0)*0.475*44/12</f>
        <v>2.8089997018534474</v>
      </c>
      <c r="AW118" s="21">
        <f>EXP(-LN(2)/2)*AW117+(1-EXP(-LN(2)/2))/(LN(2)/2)*AQ118*AT118*VLOOKUP('Données projet'!$B$10,Paramètres!$A$1:$I$89,3,0)*0.475*44/12</f>
        <v>1.2700489725789532</v>
      </c>
      <c r="AX118" s="21">
        <f t="shared" si="60"/>
        <v>69.03417509851667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322</v>
      </c>
      <c r="BE118" s="13">
        <f>BD118*VLOOKUP('Données projet'!$B$11,Paramètres!$A$1:$I$89,3,0)*VLOOKUP('Données projet'!$B$11,Paramètres!$A$1:$I$89,5,0)</f>
        <v>306.41519999999997</v>
      </c>
      <c r="BF118" s="13">
        <f t="shared" si="91"/>
        <v>72.519675217547672</v>
      </c>
      <c r="BG118" s="20">
        <f t="shared" si="61"/>
        <v>659.9782410038955</v>
      </c>
      <c r="BH118" s="59">
        <f t="shared" si="62"/>
        <v>953.31157433722888</v>
      </c>
      <c r="BI118" s="59">
        <f ca="1">AVERAGE(OFFSET($BH$3,0,0,'Données projet'!$E$11+1,1))-AVERAGE(OFFSET($H$3,0,0,'Données projet'!$E$11+1,1))</f>
        <v>339.00921630742886</v>
      </c>
      <c r="BJ118" s="59">
        <f t="shared" si="92"/>
        <v>314.95763895978303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28.189583572741288</v>
      </c>
      <c r="BQ118" s="21">
        <f>EXP(-LN(2)/25)*BQ117+(1-EXP(-LN(2)/25))/(LN(2)/25)*Calculateur!BL118*Calculateur!BN118*VLOOKUP('Données projet'!$B$11,Paramètres!$A$1:$I$89,3,0)*0.475*44/12</f>
        <v>1.2214295118527916</v>
      </c>
      <c r="BR118" s="21">
        <f>EXP(-LN(2)/2)*BR117+(1-EXP(-LN(2)/2))/(LN(2)/2)*BL118*BO118*VLOOKUP('Données projet'!$B$11,Paramètres!$A$1:$I$89,3,0)*0.475*44/12</f>
        <v>4.0358730799211614E-5</v>
      </c>
      <c r="BS118" s="22">
        <f t="shared" si="63"/>
        <v>29.411053443324878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296.99999999999983</v>
      </c>
      <c r="BZ118" s="13">
        <f>BY118*VLOOKUP('Données projet'!$B$12,Paramètres!$A$1:$I$89,3,0)*VLOOKUP('Données projet'!$B$12,Paramètres!$A$1:$I$89,5,0)</f>
        <v>254.82599999999988</v>
      </c>
      <c r="CA118" s="13">
        <f t="shared" si="93"/>
        <v>61.61820333959453</v>
      </c>
      <c r="CB118" s="20">
        <f t="shared" si="64"/>
        <v>551.1403208164603</v>
      </c>
      <c r="CC118" s="59">
        <f t="shared" si="65"/>
        <v>844.47365414979367</v>
      </c>
      <c r="CD118" s="59">
        <f ca="1">AVERAGE(OFFSET($CC$3,0,0,'Données projet'!$E$12+1,1))-AVERAGE(OFFSET($H$3,0,0,'Données projet'!$E$12+1,1))</f>
        <v>204.6927427024138</v>
      </c>
      <c r="CE118" s="59">
        <f t="shared" si="94"/>
        <v>115.74231133146816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39.417766299453277</v>
      </c>
      <c r="CL118" s="21">
        <f>EXP(-LN(2)/25)*CL117+(1-EXP(-LN(2)/25))/(LN(2)/25)*Calculateur!CG118*Calculateur!CI118*VLOOKUP('Données projet'!$B$12,Paramètres!$A$1:$I$89,3,0)*0.475*44/12</f>
        <v>1.9396666483654588</v>
      </c>
      <c r="CM118" s="21">
        <f>EXP(-LN(2)/2)*CM117+(1-EXP(-LN(2)/2))/(LN(2)/2)*CG118*CJ118*VLOOKUP('Données projet'!$B$12,Paramètres!$A$1:$I$89,3,0)*0.475*44/12</f>
        <v>6.2608466117122299E-3</v>
      </c>
      <c r="CN118" s="22">
        <f t="shared" si="66"/>
        <v>41.363693794430446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204.15575418077316</v>
      </c>
      <c r="CZ118" s="59">
        <f t="shared" si="96"/>
        <v>473.73726605265045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14.554545647460426</v>
      </c>
      <c r="DG118" s="21">
        <f>EXP(-LN(2)/25)*DG117+(1-EXP(-LN(2)/25))/(LN(2)/25)*Calculateur!DB118*Calculateur!DD118*VLOOKUP('Données projet'!$B$13,Paramètres!$A$1:$I$89,3,0)*0.475*44/12</f>
        <v>4.3489626167973121</v>
      </c>
      <c r="DH118" s="21">
        <f>EXP(-LN(2)/2)*DH117+(1-EXP(-LN(2)/2))/(LN(2)/2)*DB118*DE118*VLOOKUP('Données projet'!$B$13,Paramètres!$A$1:$I$89,3,0)*0.475*44/12</f>
        <v>8.6598032607896906E-13</v>
      </c>
      <c r="DI118" s="22">
        <f t="shared" si="69"/>
        <v>18.903508264258605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216.83230520434313</v>
      </c>
      <c r="T119" s="59">
        <f t="shared" si="88"/>
        <v>275.41891707278205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31.753145149102828</v>
      </c>
      <c r="AA119" s="21">
        <f>EXP(-LN(2)/25)*AA118+(1-EXP(-LN(2)/25))/(LN(2)/25)*Calculateur!V119*Calculateur!X119*VLOOKUP('Données projet'!$B$9,Paramètres!$A$1:$I$89,3,0)*0.475*44/12</f>
        <v>3.5268157260731807</v>
      </c>
      <c r="AB119" s="21">
        <f>EXP(-LN(2)/2)*AB118+(1-EXP(-LN(2)/2))/(LN(2)/2)*V119*Y119*VLOOKUP('Données projet'!$B$9,Paramètres!$A$1:$I$89,3,0)*0.475*44/12</f>
        <v>1.1816221506084002E-9</v>
      </c>
      <c r="AC119" s="22">
        <f t="shared" si="57"/>
        <v>35.279960876357634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270.60000000000002</v>
      </c>
      <c r="AJ119" s="13">
        <f>AI119*VLOOKUP('Données projet'!$B$10,Paramètres!$A$1:$I$89,3,0)*VLOOKUP('Données projet'!$B$10,Paramètres!$A$1:$I$89,5,0)</f>
        <v>274.38840000000005</v>
      </c>
      <c r="AK119" s="13">
        <f t="shared" si="89"/>
        <v>65.77972282151319</v>
      </c>
      <c r="AL119" s="20">
        <f t="shared" si="58"/>
        <v>592.45948058080216</v>
      </c>
      <c r="AM119" s="59">
        <f t="shared" si="59"/>
        <v>885.79281391413542</v>
      </c>
      <c r="AN119" s="59">
        <f ca="1">AVERAGE(OFFSET($AM$3,0,0,'Données projet'!$E$10+1,1))-AVERAGE(OFFSET($H$3,0,0,'Données projet'!$E$10+1,1))</f>
        <v>292.42154837691379</v>
      </c>
      <c r="AO119" s="59">
        <f t="shared" si="90"/>
        <v>193.18009444354601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63.681396013623072</v>
      </c>
      <c r="AV119" s="21">
        <f>EXP(-LN(2)/25)*AV118+(1-EXP(-LN(2)/25))/(LN(2)/25)*Calculateur!AQ119*Calculateur!AS119*VLOOKUP('Données projet'!$B$10,Paramètres!$A$1:$I$89,3,0)*0.475*44/12</f>
        <v>2.7321874572873908</v>
      </c>
      <c r="AW119" s="21">
        <f>EXP(-LN(2)/2)*AW118+(1-EXP(-LN(2)/2))/(LN(2)/2)*AQ119*AT119*VLOOKUP('Données projet'!$B$10,Paramètres!$A$1:$I$89,3,0)*0.475*44/12</f>
        <v>0.89806024094958548</v>
      </c>
      <c r="AX119" s="21">
        <f t="shared" si="60"/>
        <v>67.311643711860057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322</v>
      </c>
      <c r="BE119" s="13">
        <f>BD119*VLOOKUP('Données projet'!$B$11,Paramètres!$A$1:$I$89,3,0)*VLOOKUP('Données projet'!$B$11,Paramètres!$A$1:$I$89,5,0)</f>
        <v>306.41519999999997</v>
      </c>
      <c r="BF119" s="13">
        <f t="shared" si="91"/>
        <v>72.519675217547672</v>
      </c>
      <c r="BG119" s="20">
        <f t="shared" si="61"/>
        <v>659.9782410038955</v>
      </c>
      <c r="BH119" s="59">
        <f t="shared" si="62"/>
        <v>953.31157433722888</v>
      </c>
      <c r="BI119" s="59">
        <f ca="1">AVERAGE(OFFSET($BH$3,0,0,'Données projet'!$E$11+1,1))-AVERAGE(OFFSET($H$3,0,0,'Données projet'!$E$11+1,1))</f>
        <v>339.00921630742886</v>
      </c>
      <c r="BJ119" s="59">
        <f t="shared" si="92"/>
        <v>314.95763895978303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27.636803032828048</v>
      </c>
      <c r="BQ119" s="21">
        <f>EXP(-LN(2)/25)*BQ118+(1-EXP(-LN(2)/25))/(LN(2)/25)*Calculateur!BL119*Calculateur!BN119*VLOOKUP('Données projet'!$B$11,Paramètres!$A$1:$I$89,3,0)*0.475*44/12</f>
        <v>1.1880294576189905</v>
      </c>
      <c r="BR119" s="21">
        <f>EXP(-LN(2)/2)*BR118+(1-EXP(-LN(2)/2))/(LN(2)/2)*BL119*BO119*VLOOKUP('Données projet'!$B$11,Paramètres!$A$1:$I$89,3,0)*0.475*44/12</f>
        <v>2.8537932228204904E-5</v>
      </c>
      <c r="BS119" s="22">
        <f t="shared" si="63"/>
        <v>28.824861028379267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296.99999999999983</v>
      </c>
      <c r="BZ119" s="13">
        <f>BY119*VLOOKUP('Données projet'!$B$12,Paramètres!$A$1:$I$89,3,0)*VLOOKUP('Données projet'!$B$12,Paramètres!$A$1:$I$89,5,0)</f>
        <v>254.82599999999988</v>
      </c>
      <c r="CA119" s="13">
        <f t="shared" si="93"/>
        <v>61.61820333959453</v>
      </c>
      <c r="CB119" s="20">
        <f t="shared" si="64"/>
        <v>551.1403208164603</v>
      </c>
      <c r="CC119" s="59">
        <f t="shared" si="65"/>
        <v>844.47365414979367</v>
      </c>
      <c r="CD119" s="59">
        <f ca="1">AVERAGE(OFFSET($CC$3,0,0,'Données projet'!$E$12+1,1))-AVERAGE(OFFSET($H$3,0,0,'Données projet'!$E$12+1,1))</f>
        <v>204.6927427024138</v>
      </c>
      <c r="CE119" s="59">
        <f t="shared" si="94"/>
        <v>115.74231133146816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38.644807944784446</v>
      </c>
      <c r="CL119" s="21">
        <f>EXP(-LN(2)/25)*CL118+(1-EXP(-LN(2)/25))/(LN(2)/25)*Calculateur!CG119*Calculateur!CI119*VLOOKUP('Données projet'!$B$12,Paramètres!$A$1:$I$89,3,0)*0.475*44/12</f>
        <v>1.8866263618632695</v>
      </c>
      <c r="CM119" s="21">
        <f>EXP(-LN(2)/2)*CM118+(1-EXP(-LN(2)/2))/(LN(2)/2)*CG119*CJ119*VLOOKUP('Données projet'!$B$12,Paramètres!$A$1:$I$89,3,0)*0.475*44/12</f>
        <v>4.4270870951105372E-3</v>
      </c>
      <c r="CN119" s="22">
        <f t="shared" si="66"/>
        <v>40.535861393742827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204.15575418077316</v>
      </c>
      <c r="CZ119" s="59">
        <f t="shared" si="96"/>
        <v>473.73726605265045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14.269139884710002</v>
      </c>
      <c r="DG119" s="21">
        <f>EXP(-LN(2)/25)*DG118+(1-EXP(-LN(2)/25))/(LN(2)/25)*Calculateur!DB119*Calculateur!DD119*VLOOKUP('Données projet'!$B$13,Paramètres!$A$1:$I$89,3,0)*0.475*44/12</f>
        <v>4.2300400053389851</v>
      </c>
      <c r="DH119" s="21">
        <f>EXP(-LN(2)/2)*DH118+(1-EXP(-LN(2)/2))/(LN(2)/2)*DB119*DE119*VLOOKUP('Données projet'!$B$13,Paramètres!$A$1:$I$89,3,0)*0.475*44/12</f>
        <v>6.1234056094457664E-13</v>
      </c>
      <c r="DI119" s="22">
        <f t="shared" si="69"/>
        <v>18.499179890049597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216.83230520434313</v>
      </c>
      <c r="T120" s="59">
        <f t="shared" si="88"/>
        <v>275.41891707278205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31.130485340235079</v>
      </c>
      <c r="AA120" s="21">
        <f>EXP(-LN(2)/25)*AA119+(1-EXP(-LN(2)/25))/(LN(2)/25)*Calculateur!V120*Calculateur!X120*VLOOKUP('Données projet'!$B$9,Paramètres!$A$1:$I$89,3,0)*0.475*44/12</f>
        <v>3.430374764576531</v>
      </c>
      <c r="AB120" s="21">
        <f>EXP(-LN(2)/2)*AB119+(1-EXP(-LN(2)/2))/(LN(2)/2)*V120*Y120*VLOOKUP('Données projet'!$B$9,Paramètres!$A$1:$I$89,3,0)*0.475*44/12</f>
        <v>8.3553303549543175E-10</v>
      </c>
      <c r="AC120" s="22">
        <f t="shared" si="57"/>
        <v>34.560860105647144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274.20000000000005</v>
      </c>
      <c r="AJ120" s="13">
        <f>AI120*VLOOKUP('Données projet'!$B$10,Paramètres!$A$1:$I$89,3,0)*VLOOKUP('Données projet'!$B$10,Paramètres!$A$1:$I$89,5,0)</f>
        <v>278.03880000000009</v>
      </c>
      <c r="AK120" s="13">
        <f t="shared" si="89"/>
        <v>66.5523815477178</v>
      </c>
      <c r="AL120" s="20">
        <f t="shared" si="58"/>
        <v>600.16297452894207</v>
      </c>
      <c r="AM120" s="59">
        <f t="shared" si="59"/>
        <v>893.49630786227544</v>
      </c>
      <c r="AN120" s="59">
        <f ca="1">AVERAGE(OFFSET($AM$3,0,0,'Données projet'!$E$10+1,1))-AVERAGE(OFFSET($H$3,0,0,'Données projet'!$E$10+1,1))</f>
        <v>292.42154837691379</v>
      </c>
      <c r="AO120" s="59">
        <f t="shared" si="90"/>
        <v>193.18009444354601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62.432642679612179</v>
      </c>
      <c r="AV120" s="21">
        <f>EXP(-LN(2)/25)*AV119+(1-EXP(-LN(2)/25))/(LN(2)/25)*Calculateur!AQ120*Calculateur!AS120*VLOOKUP('Données projet'!$B$10,Paramètres!$A$1:$I$89,3,0)*0.475*44/12</f>
        <v>2.6574756475883734</v>
      </c>
      <c r="AW120" s="21">
        <f>EXP(-LN(2)/2)*AW119+(1-EXP(-LN(2)/2))/(LN(2)/2)*AQ120*AT120*VLOOKUP('Données projet'!$B$10,Paramètres!$A$1:$I$89,3,0)*0.475*44/12</f>
        <v>0.63502448628947672</v>
      </c>
      <c r="AX120" s="21">
        <f t="shared" si="60"/>
        <v>65.725142813490038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322</v>
      </c>
      <c r="BE120" s="13">
        <f>BD120*VLOOKUP('Données projet'!$B$11,Paramètres!$A$1:$I$89,3,0)*VLOOKUP('Données projet'!$B$11,Paramètres!$A$1:$I$89,5,0)</f>
        <v>306.41519999999997</v>
      </c>
      <c r="BF120" s="13">
        <f t="shared" si="91"/>
        <v>72.519675217547672</v>
      </c>
      <c r="BG120" s="20">
        <f t="shared" si="61"/>
        <v>659.9782410038955</v>
      </c>
      <c r="BH120" s="59">
        <f t="shared" si="62"/>
        <v>953.31157433722888</v>
      </c>
      <c r="BI120" s="59">
        <f ca="1">AVERAGE(OFFSET($BH$3,0,0,'Données projet'!$E$11+1,1))-AVERAGE(OFFSET($H$3,0,0,'Données projet'!$E$11+1,1))</f>
        <v>339.00921630742886</v>
      </c>
      <c r="BJ120" s="59">
        <f t="shared" si="92"/>
        <v>314.95763895978303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27.094862182139671</v>
      </c>
      <c r="BQ120" s="21">
        <f>EXP(-LN(2)/25)*BQ119+(1-EXP(-LN(2)/25))/(LN(2)/25)*Calculateur!BL120*Calculateur!BN120*VLOOKUP('Données projet'!$B$11,Paramètres!$A$1:$I$89,3,0)*0.475*44/12</f>
        <v>1.1555427296246452</v>
      </c>
      <c r="BR120" s="21">
        <f>EXP(-LN(2)/2)*BR119+(1-EXP(-LN(2)/2))/(LN(2)/2)*BL120*BO120*VLOOKUP('Données projet'!$B$11,Paramètres!$A$1:$I$89,3,0)*0.475*44/12</f>
        <v>2.0179365399605807E-5</v>
      </c>
      <c r="BS120" s="22">
        <f t="shared" si="63"/>
        <v>28.250425091129717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296.99999999999983</v>
      </c>
      <c r="BZ120" s="13">
        <f>BY120*VLOOKUP('Données projet'!$B$12,Paramètres!$A$1:$I$89,3,0)*VLOOKUP('Données projet'!$B$12,Paramètres!$A$1:$I$89,5,0)</f>
        <v>254.82599999999988</v>
      </c>
      <c r="CA120" s="13">
        <f t="shared" si="93"/>
        <v>61.61820333959453</v>
      </c>
      <c r="CB120" s="20">
        <f t="shared" si="64"/>
        <v>551.1403208164603</v>
      </c>
      <c r="CC120" s="59">
        <f t="shared" si="65"/>
        <v>844.47365414979367</v>
      </c>
      <c r="CD120" s="59">
        <f ca="1">AVERAGE(OFFSET($CC$3,0,0,'Données projet'!$E$12+1,1))-AVERAGE(OFFSET($H$3,0,0,'Données projet'!$E$12+1,1))</f>
        <v>204.6927427024138</v>
      </c>
      <c r="CE120" s="59">
        <f t="shared" si="94"/>
        <v>115.74231133146816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37.887006831992629</v>
      </c>
      <c r="CL120" s="21">
        <f>EXP(-LN(2)/25)*CL119+(1-EXP(-LN(2)/25))/(LN(2)/25)*Calculateur!CG120*Calculateur!CI120*VLOOKUP('Données projet'!$B$12,Paramètres!$A$1:$I$89,3,0)*0.475*44/12</f>
        <v>1.8350364647847499</v>
      </c>
      <c r="CM120" s="21">
        <f>EXP(-LN(2)/2)*CM119+(1-EXP(-LN(2)/2))/(LN(2)/2)*CG120*CJ120*VLOOKUP('Données projet'!$B$12,Paramètres!$A$1:$I$89,3,0)*0.475*44/12</f>
        <v>3.130423305856115E-3</v>
      </c>
      <c r="CN120" s="22">
        <f t="shared" si="66"/>
        <v>39.725173720083234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204.15575418077316</v>
      </c>
      <c r="CZ120" s="59">
        <f t="shared" si="96"/>
        <v>473.73726605265045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13.989330754886788</v>
      </c>
      <c r="DG120" s="21">
        <f>EXP(-LN(2)/25)*DG119+(1-EXP(-LN(2)/25))/(LN(2)/25)*Calculateur!DB120*Calculateur!DD120*VLOOKUP('Données projet'!$B$13,Paramètres!$A$1:$I$89,3,0)*0.475*44/12</f>
        <v>4.1143693389448543</v>
      </c>
      <c r="DH120" s="21">
        <f>EXP(-LN(2)/2)*DH119+(1-EXP(-LN(2)/2))/(LN(2)/2)*DB120*DE120*VLOOKUP('Données projet'!$B$13,Paramètres!$A$1:$I$89,3,0)*0.475*44/12</f>
        <v>4.3299016303948453E-13</v>
      </c>
      <c r="DI120" s="22">
        <f t="shared" si="69"/>
        <v>18.103700093832074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216.83230520434313</v>
      </c>
      <c r="T121" s="59">
        <f t="shared" si="88"/>
        <v>275.41891707278205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30.520035510434244</v>
      </c>
      <c r="AA121" s="21">
        <f>EXP(-LN(2)/25)*AA120+(1-EXP(-LN(2)/25))/(LN(2)/25)*Calculateur!V121*Calculateur!X121*VLOOKUP('Données projet'!$B$9,Paramètres!$A$1:$I$89,3,0)*0.475*44/12</f>
        <v>3.336570986243617</v>
      </c>
      <c r="AB121" s="21">
        <f>EXP(-LN(2)/2)*AB120+(1-EXP(-LN(2)/2))/(LN(2)/2)*V121*Y121*VLOOKUP('Données projet'!$B$9,Paramètres!$A$1:$I$89,3,0)*0.475*44/12</f>
        <v>5.908110753042001E-10</v>
      </c>
      <c r="AC121" s="22">
        <f t="shared" si="57"/>
        <v>33.856606497268672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277.80000000000007</v>
      </c>
      <c r="AJ121" s="13">
        <f>AI121*VLOOKUP('Données projet'!$B$10,Paramètres!$A$1:$I$89,3,0)*VLOOKUP('Données projet'!$B$10,Paramètres!$A$1:$I$89,5,0)</f>
        <v>281.68920000000008</v>
      </c>
      <c r="AK121" s="13">
        <f t="shared" si="89"/>
        <v>67.323860341513637</v>
      </c>
      <c r="AL121" s="20">
        <f t="shared" si="58"/>
        <v>607.86441342813634</v>
      </c>
      <c r="AM121" s="59">
        <f t="shared" si="59"/>
        <v>901.19774676146972</v>
      </c>
      <c r="AN121" s="59">
        <f ca="1">AVERAGE(OFFSET($AM$3,0,0,'Données projet'!$E$10+1,1))-AVERAGE(OFFSET($H$3,0,0,'Données projet'!$E$10+1,1))</f>
        <v>292.42154837691379</v>
      </c>
      <c r="AO121" s="59">
        <f t="shared" si="90"/>
        <v>193.18009444354601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61.208376636816915</v>
      </c>
      <c r="AV121" s="21">
        <f>EXP(-LN(2)/25)*AV120+(1-EXP(-LN(2)/25))/(LN(2)/25)*Calculateur!AQ121*Calculateur!AS121*VLOOKUP('Données projet'!$B$10,Paramètres!$A$1:$I$89,3,0)*0.475*44/12</f>
        <v>2.5848068362544989</v>
      </c>
      <c r="AW121" s="21">
        <f>EXP(-LN(2)/2)*AW120+(1-EXP(-LN(2)/2))/(LN(2)/2)*AQ121*AT121*VLOOKUP('Données projet'!$B$10,Paramètres!$A$1:$I$89,3,0)*0.475*44/12</f>
        <v>0.44903012047479279</v>
      </c>
      <c r="AX121" s="21">
        <f t="shared" si="60"/>
        <v>64.242213593546211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322</v>
      </c>
      <c r="BE121" s="13">
        <f>BD121*VLOOKUP('Données projet'!$B$11,Paramètres!$A$1:$I$89,3,0)*VLOOKUP('Données projet'!$B$11,Paramètres!$A$1:$I$89,5,0)</f>
        <v>306.41519999999997</v>
      </c>
      <c r="BF121" s="13">
        <f t="shared" si="91"/>
        <v>72.519675217547672</v>
      </c>
      <c r="BG121" s="20">
        <f t="shared" si="61"/>
        <v>659.9782410038955</v>
      </c>
      <c r="BH121" s="59">
        <f t="shared" si="62"/>
        <v>953.31157433722888</v>
      </c>
      <c r="BI121" s="59">
        <f ca="1">AVERAGE(OFFSET($BH$3,0,0,'Données projet'!$E$11+1,1))-AVERAGE(OFFSET($H$3,0,0,'Données projet'!$E$11+1,1))</f>
        <v>339.00921630742886</v>
      </c>
      <c r="BJ121" s="59">
        <f t="shared" si="92"/>
        <v>314.95763895978303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26.563548460982013</v>
      </c>
      <c r="BQ121" s="21">
        <f>EXP(-LN(2)/25)*BQ120+(1-EXP(-LN(2)/25))/(LN(2)/25)*Calculateur!BL121*Calculateur!BN121*VLOOKUP('Données projet'!$B$11,Paramètres!$A$1:$I$89,3,0)*0.475*44/12</f>
        <v>1.1239443529157083</v>
      </c>
      <c r="BR121" s="21">
        <f>EXP(-LN(2)/2)*BR120+(1-EXP(-LN(2)/2))/(LN(2)/2)*BL121*BO121*VLOOKUP('Données projet'!$B$11,Paramètres!$A$1:$I$89,3,0)*0.475*44/12</f>
        <v>1.4268966114102452E-5</v>
      </c>
      <c r="BS121" s="22">
        <f t="shared" si="63"/>
        <v>27.687507082863835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296.99999999999983</v>
      </c>
      <c r="BZ121" s="13">
        <f>BY121*VLOOKUP('Données projet'!$B$12,Paramètres!$A$1:$I$89,3,0)*VLOOKUP('Données projet'!$B$12,Paramètres!$A$1:$I$89,5,0)</f>
        <v>254.82599999999988</v>
      </c>
      <c r="CA121" s="13">
        <f t="shared" si="93"/>
        <v>61.61820333959453</v>
      </c>
      <c r="CB121" s="20">
        <f t="shared" si="64"/>
        <v>551.1403208164603</v>
      </c>
      <c r="CC121" s="59">
        <f t="shared" si="65"/>
        <v>844.47365414979367</v>
      </c>
      <c r="CD121" s="59">
        <f ca="1">AVERAGE(OFFSET($CC$3,0,0,'Données projet'!$E$12+1,1))-AVERAGE(OFFSET($H$3,0,0,'Données projet'!$E$12+1,1))</f>
        <v>204.6927427024138</v>
      </c>
      <c r="CE121" s="59">
        <f t="shared" si="94"/>
        <v>115.74231133146816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37.144065736809615</v>
      </c>
      <c r="CL121" s="21">
        <f>EXP(-LN(2)/25)*CL120+(1-EXP(-LN(2)/25))/(LN(2)/25)*Calculateur!CG121*Calculateur!CI121*VLOOKUP('Données projet'!$B$12,Paramètres!$A$1:$I$89,3,0)*0.475*44/12</f>
        <v>1.7848572961548372</v>
      </c>
      <c r="CM121" s="21">
        <f>EXP(-LN(2)/2)*CM120+(1-EXP(-LN(2)/2))/(LN(2)/2)*CG121*CJ121*VLOOKUP('Données projet'!$B$12,Paramètres!$A$1:$I$89,3,0)*0.475*44/12</f>
        <v>2.2135435475552686E-3</v>
      </c>
      <c r="CN121" s="22">
        <f t="shared" si="66"/>
        <v>38.93113657651201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204.15575418077316</v>
      </c>
      <c r="CZ121" s="59">
        <f t="shared" si="96"/>
        <v>473.73726605265045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13.715008511432689</v>
      </c>
      <c r="DG121" s="21">
        <f>EXP(-LN(2)/25)*DG120+(1-EXP(-LN(2)/25))/(LN(2)/25)*Calculateur!DB121*Calculateur!DD121*VLOOKUP('Données projet'!$B$13,Paramètres!$A$1:$I$89,3,0)*0.475*44/12</f>
        <v>4.001861693006127</v>
      </c>
      <c r="DH121" s="21">
        <f>EXP(-LN(2)/2)*DH120+(1-EXP(-LN(2)/2))/(LN(2)/2)*DB121*DE121*VLOOKUP('Données projet'!$B$13,Paramètres!$A$1:$I$89,3,0)*0.475*44/12</f>
        <v>3.0617028047228832E-13</v>
      </c>
      <c r="DI121" s="22">
        <f t="shared" si="69"/>
        <v>17.716870204439122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216.83230520434313</v>
      </c>
      <c r="T122" s="59">
        <f t="shared" si="88"/>
        <v>275.41891707278205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29.921556229458172</v>
      </c>
      <c r="AA122" s="21">
        <f>EXP(-LN(2)/25)*AA121+(1-EXP(-LN(2)/25))/(LN(2)/25)*Calculateur!V122*Calculateur!X122*VLOOKUP('Données projet'!$B$9,Paramètres!$A$1:$I$89,3,0)*0.475*44/12</f>
        <v>3.2453322771621429</v>
      </c>
      <c r="AB122" s="21">
        <f>EXP(-LN(2)/2)*AB121+(1-EXP(-LN(2)/2))/(LN(2)/2)*V122*Y122*VLOOKUP('Données projet'!$B$9,Paramètres!$A$1:$I$89,3,0)*0.475*44/12</f>
        <v>4.1776651774771587E-10</v>
      </c>
      <c r="AC122" s="22">
        <f t="shared" si="57"/>
        <v>33.166888507038081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281.40000000000009</v>
      </c>
      <c r="AJ122" s="13">
        <f>AI122*VLOOKUP('Données projet'!$B$10,Paramètres!$A$1:$I$89,3,0)*VLOOKUP('Données projet'!$B$10,Paramètres!$A$1:$I$89,5,0)</f>
        <v>285.33960000000008</v>
      </c>
      <c r="AK122" s="13">
        <f t="shared" si="89"/>
        <v>68.094176261531288</v>
      </c>
      <c r="AL122" s="20">
        <f t="shared" si="58"/>
        <v>615.56382698883374</v>
      </c>
      <c r="AM122" s="59">
        <f t="shared" si="59"/>
        <v>908.89716032216711</v>
      </c>
      <c r="AN122" s="59">
        <f ca="1">AVERAGE(OFFSET($AM$3,0,0,'Données projet'!$E$10+1,1))-AVERAGE(OFFSET($H$3,0,0,'Données projet'!$E$10+1,1))</f>
        <v>292.42154837691379</v>
      </c>
      <c r="AO122" s="59">
        <f t="shared" si="90"/>
        <v>193.18009444354601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60.008117704392312</v>
      </c>
      <c r="AV122" s="21">
        <f>EXP(-LN(2)/25)*AV121+(1-EXP(-LN(2)/25))/(LN(2)/25)*Calculateur!AQ122*Calculateur!AS122*VLOOKUP('Données projet'!$B$10,Paramètres!$A$1:$I$89,3,0)*0.475*44/12</f>
        <v>2.5141251573880359</v>
      </c>
      <c r="AW122" s="21">
        <f>EXP(-LN(2)/2)*AW121+(1-EXP(-LN(2)/2))/(LN(2)/2)*AQ122*AT122*VLOOKUP('Données projet'!$B$10,Paramètres!$A$1:$I$89,3,0)*0.475*44/12</f>
        <v>0.31751224314473842</v>
      </c>
      <c r="AX122" s="21">
        <f t="shared" si="60"/>
        <v>62.839755104925089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322</v>
      </c>
      <c r="BE122" s="13">
        <f>BD122*VLOOKUP('Données projet'!$B$11,Paramètres!$A$1:$I$89,3,0)*VLOOKUP('Données projet'!$B$11,Paramètres!$A$1:$I$89,5,0)</f>
        <v>306.41519999999997</v>
      </c>
      <c r="BF122" s="13">
        <f t="shared" si="91"/>
        <v>72.519675217547672</v>
      </c>
      <c r="BG122" s="20">
        <f t="shared" si="61"/>
        <v>659.9782410038955</v>
      </c>
      <c r="BH122" s="59">
        <f t="shared" si="62"/>
        <v>953.31157433722888</v>
      </c>
      <c r="BI122" s="59">
        <f ca="1">AVERAGE(OFFSET($BH$3,0,0,'Données projet'!$E$11+1,1))-AVERAGE(OFFSET($H$3,0,0,'Données projet'!$E$11+1,1))</f>
        <v>339.00921630742886</v>
      </c>
      <c r="BJ122" s="59">
        <f t="shared" si="92"/>
        <v>314.95763895978303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26.042653477826885</v>
      </c>
      <c r="BQ122" s="21">
        <f>EXP(-LN(2)/25)*BQ121+(1-EXP(-LN(2)/25))/(LN(2)/25)*Calculateur!BL122*Calculateur!BN122*VLOOKUP('Données projet'!$B$11,Paramètres!$A$1:$I$89,3,0)*0.475*44/12</f>
        <v>1.0932100354795635</v>
      </c>
      <c r="BR122" s="21">
        <f>EXP(-LN(2)/2)*BR121+(1-EXP(-LN(2)/2))/(LN(2)/2)*BL122*BO122*VLOOKUP('Données projet'!$B$11,Paramètres!$A$1:$I$89,3,0)*0.475*44/12</f>
        <v>1.0089682699802904E-5</v>
      </c>
      <c r="BS122" s="22">
        <f t="shared" si="63"/>
        <v>27.13587360298915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296.99999999999983</v>
      </c>
      <c r="BZ122" s="13">
        <f>BY122*VLOOKUP('Données projet'!$B$12,Paramètres!$A$1:$I$89,3,0)*VLOOKUP('Données projet'!$B$12,Paramètres!$A$1:$I$89,5,0)</f>
        <v>254.82599999999988</v>
      </c>
      <c r="CA122" s="13">
        <f t="shared" si="93"/>
        <v>61.61820333959453</v>
      </c>
      <c r="CB122" s="20">
        <f t="shared" si="64"/>
        <v>551.1403208164603</v>
      </c>
      <c r="CC122" s="59">
        <f t="shared" si="65"/>
        <v>844.47365414979367</v>
      </c>
      <c r="CD122" s="59">
        <f ca="1">AVERAGE(OFFSET($CC$3,0,0,'Données projet'!$E$12+1,1))-AVERAGE(OFFSET($H$3,0,0,'Données projet'!$E$12+1,1))</f>
        <v>204.6927427024138</v>
      </c>
      <c r="CE122" s="59">
        <f t="shared" si="94"/>
        <v>115.74231133146816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36.415693263353816</v>
      </c>
      <c r="CL122" s="21">
        <f>EXP(-LN(2)/25)*CL121+(1-EXP(-LN(2)/25))/(LN(2)/25)*Calculateur!CG122*Calculateur!CI122*VLOOKUP('Données projet'!$B$12,Paramètres!$A$1:$I$89,3,0)*0.475*44/12</f>
        <v>1.7360502795299173</v>
      </c>
      <c r="CM122" s="21">
        <f>EXP(-LN(2)/2)*CM121+(1-EXP(-LN(2)/2))/(LN(2)/2)*CG122*CJ122*VLOOKUP('Données projet'!$B$12,Paramètres!$A$1:$I$89,3,0)*0.475*44/12</f>
        <v>1.5652116529280575E-3</v>
      </c>
      <c r="CN122" s="22">
        <f t="shared" si="66"/>
        <v>38.153308754536667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204.15575418077316</v>
      </c>
      <c r="CZ122" s="59">
        <f t="shared" si="96"/>
        <v>473.73726605265045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13.446065559852679</v>
      </c>
      <c r="DG122" s="21">
        <f>EXP(-LN(2)/25)*DG121+(1-EXP(-LN(2)/25))/(LN(2)/25)*Calculateur!DB122*Calculateur!DD122*VLOOKUP('Données projet'!$B$13,Paramètres!$A$1:$I$89,3,0)*0.475*44/12</f>
        <v>3.8924305745621144</v>
      </c>
      <c r="DH122" s="21">
        <f>EXP(-LN(2)/2)*DH121+(1-EXP(-LN(2)/2))/(LN(2)/2)*DB122*DE122*VLOOKUP('Données projet'!$B$13,Paramètres!$A$1:$I$89,3,0)*0.475*44/12</f>
        <v>2.1649508151974226E-13</v>
      </c>
      <c r="DI122" s="22">
        <f t="shared" si="69"/>
        <v>17.33849613441501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216.83230520434313</v>
      </c>
      <c r="T123" s="59">
        <f t="shared" si="88"/>
        <v>275.41891707278205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29.334812762145724</v>
      </c>
      <c r="AA123" s="21">
        <f>EXP(-LN(2)/25)*AA122+(1-EXP(-LN(2)/25))/(LN(2)/25)*Calculateur!V123*Calculateur!X123*VLOOKUP('Données projet'!$B$9,Paramètres!$A$1:$I$89,3,0)*0.475*44/12</f>
        <v>3.156588495378537</v>
      </c>
      <c r="AB123" s="21">
        <f>EXP(-LN(2)/2)*AB122+(1-EXP(-LN(2)/2))/(LN(2)/2)*V123*Y123*VLOOKUP('Données projet'!$B$9,Paramètres!$A$1:$I$89,3,0)*0.475*44/12</f>
        <v>2.9540553765210005E-10</v>
      </c>
      <c r="AC123" s="22">
        <f t="shared" si="57"/>
        <v>32.491401257819668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285.00000000000011</v>
      </c>
      <c r="AJ123" s="13">
        <f>AI123*VLOOKUP('Données projet'!$B$10,Paramètres!$A$1:$I$89,3,0)*VLOOKUP('Données projet'!$B$10,Paramètres!$A$1:$I$89,5,0)</f>
        <v>288.99000000000012</v>
      </c>
      <c r="AK123" s="13">
        <f t="shared" si="89"/>
        <v>68.863345904836791</v>
      </c>
      <c r="AL123" s="20">
        <f t="shared" si="58"/>
        <v>623.26124411759099</v>
      </c>
      <c r="AM123" s="59">
        <f t="shared" si="59"/>
        <v>916.59457745092436</v>
      </c>
      <c r="AN123" s="59">
        <f ca="1">AVERAGE(OFFSET($AM$3,0,0,'Données projet'!$E$10+1,1))-AVERAGE(OFFSET($H$3,0,0,'Données projet'!$E$10+1,1))</f>
        <v>292.42154837691379</v>
      </c>
      <c r="AO123" s="59">
        <f t="shared" si="90"/>
        <v>193.18009444354601</v>
      </c>
      <c r="AP123" s="15">
        <f>IF(ISNA(VLOOKUP(A123,'Données projet'!$A$61:$I$81,3,0)),0,VLOOKUP(A123,'Données projet'!$A$61:$I$81,3,0))</f>
        <v>20</v>
      </c>
      <c r="AQ123" s="15">
        <f>IF(ISNA(VLOOKUP(A123,'Données projet'!$A$61:$I$81,4,0)),0,VLOOKUP(A123,'Données projet'!$A$61:$I$81,4,0))</f>
        <v>17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1.72E-2</v>
      </c>
      <c r="AT123" s="16">
        <f>IF(ISNA(VLOOKUP(A123,'Données projet'!$A$61:$I$81,7,0)),0%,VLOOKUP(A123,'Données projet'!$A$61:$I$81,7,0))</f>
        <v>0.06</v>
      </c>
      <c r="AU123" s="21">
        <f>EXP(-LN(2)/35)*AU122+(1-EXP(-LN(2)/35))/(LN(2)/35)*AQ123*AR123*VLOOKUP('Données projet'!$B$10,Paramètres!$A$1:$I$89,3,0)*0.475*44/12</f>
        <v>65.386692967968713</v>
      </c>
      <c r="AV123" s="21">
        <f>EXP(-LN(2)/25)*AV122+(1-EXP(-LN(2)/25))/(LN(2)/25)*Calculateur!AQ123*Calculateur!AS123*VLOOKUP('Données projet'!$B$10,Paramètres!$A$1:$I$89,3,0)*0.475*44/12</f>
        <v>2.771850629998184</v>
      </c>
      <c r="AW123" s="21">
        <f>EXP(-LN(2)/2)*AW122+(1-EXP(-LN(2)/2))/(LN(2)/2)*AQ123*AT123*VLOOKUP('Données projet'!$B$10,Paramètres!$A$1:$I$89,3,0)*0.475*44/12</f>
        <v>1.2003860774754573</v>
      </c>
      <c r="AX123" s="21">
        <f t="shared" si="60"/>
        <v>69.358929675442354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322</v>
      </c>
      <c r="BE123" s="13">
        <f>BD123*VLOOKUP('Données projet'!$B$11,Paramètres!$A$1:$I$89,3,0)*VLOOKUP('Données projet'!$B$11,Paramètres!$A$1:$I$89,5,0)</f>
        <v>306.41519999999997</v>
      </c>
      <c r="BF123" s="13">
        <f t="shared" si="91"/>
        <v>72.519675217547672</v>
      </c>
      <c r="BG123" s="20">
        <f t="shared" si="61"/>
        <v>659.9782410038955</v>
      </c>
      <c r="BH123" s="59">
        <f t="shared" si="62"/>
        <v>953.31157433722888</v>
      </c>
      <c r="BI123" s="59">
        <f ca="1">AVERAGE(OFFSET($BH$3,0,0,'Données projet'!$E$11+1,1))-AVERAGE(OFFSET($H$3,0,0,'Données projet'!$E$11+1,1))</f>
        <v>339.00921630742886</v>
      </c>
      <c r="BJ123" s="59">
        <f t="shared" si="92"/>
        <v>314.95763895978303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25.531972927576863</v>
      </c>
      <c r="BQ123" s="21">
        <f>EXP(-LN(2)/25)*BQ122+(1-EXP(-LN(2)/25))/(LN(2)/25)*Calculateur!BL123*Calculateur!BN123*VLOOKUP('Données projet'!$B$11,Paramètres!$A$1:$I$89,3,0)*0.475*44/12</f>
        <v>1.0633161495699577</v>
      </c>
      <c r="BR123" s="21">
        <f>EXP(-LN(2)/2)*BR122+(1-EXP(-LN(2)/2))/(LN(2)/2)*BL123*BO123*VLOOKUP('Données projet'!$B$11,Paramètres!$A$1:$I$89,3,0)*0.475*44/12</f>
        <v>7.1344830570512259E-6</v>
      </c>
      <c r="BS123" s="22">
        <f t="shared" si="63"/>
        <v>26.595296211629876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296.99999999999983</v>
      </c>
      <c r="BZ123" s="13">
        <f>BY123*VLOOKUP('Données projet'!$B$12,Paramètres!$A$1:$I$89,3,0)*VLOOKUP('Données projet'!$B$12,Paramètres!$A$1:$I$89,5,0)</f>
        <v>254.82599999999988</v>
      </c>
      <c r="CA123" s="13">
        <f t="shared" si="93"/>
        <v>61.61820333959453</v>
      </c>
      <c r="CB123" s="20">
        <f t="shared" si="64"/>
        <v>551.1403208164603</v>
      </c>
      <c r="CC123" s="59">
        <f t="shared" si="65"/>
        <v>844.47365414979367</v>
      </c>
      <c r="CD123" s="59">
        <f ca="1">AVERAGE(OFFSET($CC$3,0,0,'Données projet'!$E$12+1,1))-AVERAGE(OFFSET($H$3,0,0,'Données projet'!$E$12+1,1))</f>
        <v>204.6927427024138</v>
      </c>
      <c r="CE123" s="59">
        <f t="shared" si="94"/>
        <v>115.74231133146816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35.70160372983915</v>
      </c>
      <c r="CL123" s="21">
        <f>EXP(-LN(2)/25)*CL122+(1-EXP(-LN(2)/25))/(LN(2)/25)*Calculateur!CG123*Calculateur!CI123*VLOOKUP('Données projet'!$B$12,Paramètres!$A$1:$I$89,3,0)*0.475*44/12</f>
        <v>1.6885778933412554</v>
      </c>
      <c r="CM123" s="21">
        <f>EXP(-LN(2)/2)*CM122+(1-EXP(-LN(2)/2))/(LN(2)/2)*CG123*CJ123*VLOOKUP('Données projet'!$B$12,Paramètres!$A$1:$I$89,3,0)*0.475*44/12</f>
        <v>1.1067717737776343E-3</v>
      </c>
      <c r="CN123" s="22">
        <f t="shared" si="66"/>
        <v>37.391288394954181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204.15575418077316</v>
      </c>
      <c r="CZ123" s="59">
        <f t="shared" si="96"/>
        <v>473.73726605265045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13.18239641551415</v>
      </c>
      <c r="DG123" s="21">
        <f>EXP(-LN(2)/25)*DG122+(1-EXP(-LN(2)/25))/(LN(2)/25)*Calculateur!DB123*Calculateur!DD123*VLOOKUP('Données projet'!$B$13,Paramètres!$A$1:$I$89,3,0)*0.475*44/12</f>
        <v>3.7859918558066856</v>
      </c>
      <c r="DH123" s="21">
        <f>EXP(-LN(2)/2)*DH122+(1-EXP(-LN(2)/2))/(LN(2)/2)*DB123*DE123*VLOOKUP('Données projet'!$B$13,Paramètres!$A$1:$I$89,3,0)*0.475*44/12</f>
        <v>1.5308514023614416E-13</v>
      </c>
      <c r="DI123" s="22">
        <f t="shared" si="69"/>
        <v>16.96838827132099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216.83230520434313</v>
      </c>
      <c r="T124" s="59">
        <f t="shared" si="88"/>
        <v>275.41891707278205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28.759574976349096</v>
      </c>
      <c r="AA124" s="21">
        <f>EXP(-LN(2)/25)*AA123+(1-EXP(-LN(2)/25))/(LN(2)/25)*Calculateur!V124*Calculateur!X124*VLOOKUP('Données projet'!$B$9,Paramètres!$A$1:$I$89,3,0)*0.475*44/12</f>
        <v>3.0702714169746366</v>
      </c>
      <c r="AB124" s="21">
        <f>EXP(-LN(2)/2)*AB123+(1-EXP(-LN(2)/2))/(LN(2)/2)*V124*Y124*VLOOKUP('Données projet'!$B$9,Paramètres!$A$1:$I$89,3,0)*0.475*44/12</f>
        <v>2.0888325887385794E-10</v>
      </c>
      <c r="AC124" s="22">
        <f t="shared" si="57"/>
        <v>31.829846393532616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268.00000000000011</v>
      </c>
      <c r="AJ124" s="13">
        <f>AI124*VLOOKUP('Données projet'!$B$10,Paramètres!$A$1:$I$89,3,0)*VLOOKUP('Données projet'!$B$10,Paramètres!$A$1:$I$89,5,0)</f>
        <v>271.75200000000012</v>
      </c>
      <c r="AK124" s="13">
        <f t="shared" si="89"/>
        <v>65.220947824724988</v>
      </c>
      <c r="AL124" s="20">
        <f t="shared" si="58"/>
        <v>586.89455079472953</v>
      </c>
      <c r="AM124" s="59">
        <f t="shared" si="59"/>
        <v>880.2278841280629</v>
      </c>
      <c r="AN124" s="59">
        <f ca="1">AVERAGE(OFFSET($AM$3,0,0,'Données projet'!$E$10+1,1))-AVERAGE(OFFSET($H$3,0,0,'Données projet'!$E$10+1,1))</f>
        <v>292.42154837691379</v>
      </c>
      <c r="AO124" s="59">
        <f t="shared" si="90"/>
        <v>193.18009444354601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64.104499800811539</v>
      </c>
      <c r="AV124" s="21">
        <f>EXP(-LN(2)/25)*AV123+(1-EXP(-LN(2)/25))/(LN(2)/25)*Calculateur!AQ124*Calculateur!AS124*VLOOKUP('Données projet'!$B$10,Paramètres!$A$1:$I$89,3,0)*0.475*44/12</f>
        <v>2.6960542287555942</v>
      </c>
      <c r="AW124" s="21">
        <f>EXP(-LN(2)/2)*AW123+(1-EXP(-LN(2)/2))/(LN(2)/2)*AQ124*AT124*VLOOKUP('Données projet'!$B$10,Paramètres!$A$1:$I$89,3,0)*0.475*44/12</f>
        <v>0.84880113542481639</v>
      </c>
      <c r="AX124" s="21">
        <f t="shared" si="60"/>
        <v>67.64935516499196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322</v>
      </c>
      <c r="BE124" s="13">
        <f>BD124*VLOOKUP('Données projet'!$B$11,Paramètres!$A$1:$I$89,3,0)*VLOOKUP('Données projet'!$B$11,Paramètres!$A$1:$I$89,5,0)</f>
        <v>306.41519999999997</v>
      </c>
      <c r="BF124" s="13">
        <f t="shared" si="91"/>
        <v>72.519675217547672</v>
      </c>
      <c r="BG124" s="20">
        <f t="shared" si="61"/>
        <v>659.9782410038955</v>
      </c>
      <c r="BH124" s="59">
        <f t="shared" si="62"/>
        <v>953.31157433722888</v>
      </c>
      <c r="BI124" s="59">
        <f ca="1">AVERAGE(OFFSET($BH$3,0,0,'Données projet'!$E$11+1,1))-AVERAGE(OFFSET($H$3,0,0,'Données projet'!$E$11+1,1))</f>
        <v>339.00921630742886</v>
      </c>
      <c r="BJ124" s="59">
        <f t="shared" si="92"/>
        <v>314.95763895978303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25.031306511432863</v>
      </c>
      <c r="BQ124" s="21">
        <f>EXP(-LN(2)/25)*BQ123+(1-EXP(-LN(2)/25))/(LN(2)/25)*Calculateur!BL124*Calculateur!BN124*VLOOKUP('Données projet'!$B$11,Paramètres!$A$1:$I$89,3,0)*0.475*44/12</f>
        <v>1.0342397135426011</v>
      </c>
      <c r="BR124" s="21">
        <f>EXP(-LN(2)/2)*BR123+(1-EXP(-LN(2)/2))/(LN(2)/2)*BL124*BO124*VLOOKUP('Données projet'!$B$11,Paramètres!$A$1:$I$89,3,0)*0.475*44/12</f>
        <v>5.0448413499014518E-6</v>
      </c>
      <c r="BS124" s="22">
        <f t="shared" si="63"/>
        <v>26.065551269816812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296.99999999999983</v>
      </c>
      <c r="BZ124" s="13">
        <f>BY124*VLOOKUP('Données projet'!$B$12,Paramètres!$A$1:$I$89,3,0)*VLOOKUP('Données projet'!$B$12,Paramètres!$A$1:$I$89,5,0)</f>
        <v>254.82599999999988</v>
      </c>
      <c r="CA124" s="13">
        <f t="shared" si="93"/>
        <v>61.61820333959453</v>
      </c>
      <c r="CB124" s="20">
        <f t="shared" si="64"/>
        <v>551.1403208164603</v>
      </c>
      <c r="CC124" s="59">
        <f t="shared" si="65"/>
        <v>844.47365414979367</v>
      </c>
      <c r="CD124" s="59">
        <f ca="1">AVERAGE(OFFSET($CC$3,0,0,'Données projet'!$E$12+1,1))-AVERAGE(OFFSET($H$3,0,0,'Données projet'!$E$12+1,1))</f>
        <v>204.6927427024138</v>
      </c>
      <c r="CE124" s="59">
        <f t="shared" si="94"/>
        <v>115.74231133146816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35.001517056525095</v>
      </c>
      <c r="CL124" s="21">
        <f>EXP(-LN(2)/25)*CL123+(1-EXP(-LN(2)/25))/(LN(2)/25)*Calculateur!CG124*Calculateur!CI124*VLOOKUP('Données projet'!$B$12,Paramètres!$A$1:$I$89,3,0)*0.475*44/12</f>
        <v>1.6424036420493866</v>
      </c>
      <c r="CM124" s="21">
        <f>EXP(-LN(2)/2)*CM123+(1-EXP(-LN(2)/2))/(LN(2)/2)*CG124*CJ124*VLOOKUP('Données projet'!$B$12,Paramètres!$A$1:$I$89,3,0)*0.475*44/12</f>
        <v>7.8260582646402874E-4</v>
      </c>
      <c r="CN124" s="22">
        <f t="shared" si="66"/>
        <v>36.644703304400949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204.15575418077316</v>
      </c>
      <c r="CZ124" s="59">
        <f t="shared" si="96"/>
        <v>473.73726605265045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12.9238976622738</v>
      </c>
      <c r="DG124" s="21">
        <f>EXP(-LN(2)/25)*DG123+(1-EXP(-LN(2)/25))/(LN(2)/25)*Calculateur!DB124*Calculateur!DD124*VLOOKUP('Données projet'!$B$13,Paramètres!$A$1:$I$89,3,0)*0.475*44/12</f>
        <v>3.6824637094129931</v>
      </c>
      <c r="DH124" s="21">
        <f>EXP(-LN(2)/2)*DH123+(1-EXP(-LN(2)/2))/(LN(2)/2)*DB124*DE124*VLOOKUP('Données projet'!$B$13,Paramètres!$A$1:$I$89,3,0)*0.475*44/12</f>
        <v>1.0824754075987113E-13</v>
      </c>
      <c r="DI124" s="22">
        <f t="shared" si="69"/>
        <v>16.606361371686901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216.83230520434313</v>
      </c>
      <c r="T125" s="59">
        <f t="shared" si="88"/>
        <v>275.41891707278205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28.195617252671536</v>
      </c>
      <c r="AA125" s="21">
        <f>EXP(-LN(2)/25)*AA124+(1-EXP(-LN(2)/25))/(LN(2)/25)*Calculateur!V125*Calculateur!X125*VLOOKUP('Données projet'!$B$9,Paramètres!$A$1:$I$89,3,0)*0.475*44/12</f>
        <v>2.9863146836189087</v>
      </c>
      <c r="AB125" s="21">
        <f>EXP(-LN(2)/2)*AB124+(1-EXP(-LN(2)/2))/(LN(2)/2)*V125*Y125*VLOOKUP('Données projet'!$B$9,Paramètres!$A$1:$I$89,3,0)*0.475*44/12</f>
        <v>1.4770276882605002E-10</v>
      </c>
      <c r="AC125" s="22">
        <f t="shared" si="57"/>
        <v>31.181931936438147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268.00000000000011</v>
      </c>
      <c r="AJ125" s="13">
        <f>AI125*VLOOKUP('Données projet'!$B$10,Paramètres!$A$1:$I$89,3,0)*VLOOKUP('Données projet'!$B$10,Paramètres!$A$1:$I$89,5,0)</f>
        <v>271.75200000000012</v>
      </c>
      <c r="AK125" s="13">
        <f t="shared" si="89"/>
        <v>65.220947824724988</v>
      </c>
      <c r="AL125" s="20">
        <f t="shared" si="58"/>
        <v>586.89455079472953</v>
      </c>
      <c r="AM125" s="59">
        <f t="shared" si="59"/>
        <v>880.2278841280629</v>
      </c>
      <c r="AN125" s="59">
        <f ca="1">AVERAGE(OFFSET($AM$3,0,0,'Données projet'!$E$10+1,1))-AVERAGE(OFFSET($H$3,0,0,'Données projet'!$E$10+1,1))</f>
        <v>292.42154837691379</v>
      </c>
      <c r="AO125" s="59">
        <f t="shared" si="90"/>
        <v>193.18009444354601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62.847449659601708</v>
      </c>
      <c r="AV125" s="21">
        <f>EXP(-LN(2)/25)*AV124+(1-EXP(-LN(2)/25))/(LN(2)/25)*Calculateur!AQ125*Calculateur!AS125*VLOOKUP('Données projet'!$B$10,Paramètres!$A$1:$I$89,3,0)*0.475*44/12</f>
        <v>2.6223304840909427</v>
      </c>
      <c r="AW125" s="21">
        <f>EXP(-LN(2)/2)*AW124+(1-EXP(-LN(2)/2))/(LN(2)/2)*AQ125*AT125*VLOOKUP('Données projet'!$B$10,Paramètres!$A$1:$I$89,3,0)*0.475*44/12</f>
        <v>0.60019303873772878</v>
      </c>
      <c r="AX125" s="21">
        <f t="shared" si="60"/>
        <v>66.069973182430374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322</v>
      </c>
      <c r="BE125" s="13">
        <f>BD125*VLOOKUP('Données projet'!$B$11,Paramètres!$A$1:$I$89,3,0)*VLOOKUP('Données projet'!$B$11,Paramètres!$A$1:$I$89,5,0)</f>
        <v>306.41519999999997</v>
      </c>
      <c r="BF125" s="13">
        <f t="shared" si="91"/>
        <v>72.519675217547672</v>
      </c>
      <c r="BG125" s="20">
        <f t="shared" si="61"/>
        <v>659.9782410038955</v>
      </c>
      <c r="BH125" s="59">
        <f t="shared" si="62"/>
        <v>953.31157433722888</v>
      </c>
      <c r="BI125" s="59">
        <f ca="1">AVERAGE(OFFSET($BH$3,0,0,'Données projet'!$E$11+1,1))-AVERAGE(OFFSET($H$3,0,0,'Données projet'!$E$11+1,1))</f>
        <v>339.00921630742886</v>
      </c>
      <c r="BJ125" s="59">
        <f t="shared" si="92"/>
        <v>314.95763895978303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24.540457858333088</v>
      </c>
      <c r="BQ125" s="21">
        <f>EXP(-LN(2)/25)*BQ124+(1-EXP(-LN(2)/25))/(LN(2)/25)*Calculateur!BL125*Calculateur!BN125*VLOOKUP('Données projet'!$B$11,Paramètres!$A$1:$I$89,3,0)*0.475*44/12</f>
        <v>1.005958374187476</v>
      </c>
      <c r="BR125" s="21">
        <f>EXP(-LN(2)/2)*BR124+(1-EXP(-LN(2)/2))/(LN(2)/2)*BL125*BO125*VLOOKUP('Données projet'!$B$11,Paramètres!$A$1:$I$89,3,0)*0.475*44/12</f>
        <v>3.567241528525613E-6</v>
      </c>
      <c r="BS125" s="22">
        <f t="shared" si="63"/>
        <v>25.546419799762091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296.99999999999983</v>
      </c>
      <c r="BZ125" s="13">
        <f>BY125*VLOOKUP('Données projet'!$B$12,Paramètres!$A$1:$I$89,3,0)*VLOOKUP('Données projet'!$B$12,Paramètres!$A$1:$I$89,5,0)</f>
        <v>254.82599999999988</v>
      </c>
      <c r="CA125" s="13">
        <f t="shared" si="93"/>
        <v>61.61820333959453</v>
      </c>
      <c r="CB125" s="20">
        <f t="shared" si="64"/>
        <v>551.1403208164603</v>
      </c>
      <c r="CC125" s="59">
        <f t="shared" si="65"/>
        <v>844.47365414979367</v>
      </c>
      <c r="CD125" s="59">
        <f ca="1">AVERAGE(OFFSET($CC$3,0,0,'Données projet'!$E$12+1,1))-AVERAGE(OFFSET($H$3,0,0,'Données projet'!$E$12+1,1))</f>
        <v>204.6927427024138</v>
      </c>
      <c r="CE125" s="59">
        <f t="shared" si="94"/>
        <v>115.74231133146816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34.315158655864025</v>
      </c>
      <c r="CL125" s="21">
        <f>EXP(-LN(2)/25)*CL124+(1-EXP(-LN(2)/25))/(LN(2)/25)*Calculateur!CG125*Calculateur!CI125*VLOOKUP('Données projet'!$B$12,Paramètres!$A$1:$I$89,3,0)*0.475*44/12</f>
        <v>1.5974920280872924</v>
      </c>
      <c r="CM125" s="21">
        <f>EXP(-LN(2)/2)*CM124+(1-EXP(-LN(2)/2))/(LN(2)/2)*CG125*CJ125*VLOOKUP('Données projet'!$B$12,Paramètres!$A$1:$I$89,3,0)*0.475*44/12</f>
        <v>5.5338588688881715E-4</v>
      </c>
      <c r="CN125" s="22">
        <f t="shared" si="66"/>
        <v>35.913204069838208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204.15575418077316</v>
      </c>
      <c r="CZ125" s="59">
        <f t="shared" si="96"/>
        <v>473.73726605265045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12.670467911915823</v>
      </c>
      <c r="DG125" s="21">
        <f>EXP(-LN(2)/25)*DG124+(1-EXP(-LN(2)/25))/(LN(2)/25)*Calculateur!DB125*Calculateur!DD125*VLOOKUP('Données projet'!$B$13,Paramètres!$A$1:$I$89,3,0)*0.475*44/12</f>
        <v>3.5817665456267447</v>
      </c>
      <c r="DH125" s="21">
        <f>EXP(-LN(2)/2)*DH124+(1-EXP(-LN(2)/2))/(LN(2)/2)*DB125*DE125*VLOOKUP('Données projet'!$B$13,Paramètres!$A$1:$I$89,3,0)*0.475*44/12</f>
        <v>7.654257011807208E-14</v>
      </c>
      <c r="DI125" s="22">
        <f t="shared" si="69"/>
        <v>16.252234457542645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216.83230520434313</v>
      </c>
      <c r="T126" s="59">
        <f t="shared" si="88"/>
        <v>275.41891707278205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27.642718395975045</v>
      </c>
      <c r="AA126" s="21">
        <f>EXP(-LN(2)/25)*AA125+(1-EXP(-LN(2)/25))/(LN(2)/25)*Calculateur!V126*Calculateur!X126*VLOOKUP('Données projet'!$B$9,Paramètres!$A$1:$I$89,3,0)*0.475*44/12</f>
        <v>2.9046537515518858</v>
      </c>
      <c r="AB126" s="21">
        <f>EXP(-LN(2)/2)*AB125+(1-EXP(-LN(2)/2))/(LN(2)/2)*V126*Y126*VLOOKUP('Données projet'!$B$9,Paramètres!$A$1:$I$89,3,0)*0.475*44/12</f>
        <v>1.0444162943692897E-10</v>
      </c>
      <c r="AC126" s="22">
        <f t="shared" si="57"/>
        <v>30.547372147631375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268.00000000000011</v>
      </c>
      <c r="AJ126" s="13">
        <f>AI126*VLOOKUP('Données projet'!$B$10,Paramètres!$A$1:$I$89,3,0)*VLOOKUP('Données projet'!$B$10,Paramètres!$A$1:$I$89,5,0)</f>
        <v>271.75200000000012</v>
      </c>
      <c r="AK126" s="13">
        <f t="shared" si="89"/>
        <v>65.220947824724988</v>
      </c>
      <c r="AL126" s="20">
        <f t="shared" si="58"/>
        <v>586.89455079472953</v>
      </c>
      <c r="AM126" s="59">
        <f t="shared" si="59"/>
        <v>880.2278841280629</v>
      </c>
      <c r="AN126" s="59">
        <f ca="1">AVERAGE(OFFSET($AM$3,0,0,'Données projet'!$E$10+1,1))-AVERAGE(OFFSET($H$3,0,0,'Données projet'!$E$10+1,1))</f>
        <v>292.42154837691379</v>
      </c>
      <c r="AO126" s="59">
        <f t="shared" si="90"/>
        <v>193.18009444354601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61.615049504936124</v>
      </c>
      <c r="AV126" s="21">
        <f>EXP(-LN(2)/25)*AV125+(1-EXP(-LN(2)/25))/(LN(2)/25)*Calculateur!AQ126*Calculateur!AS126*VLOOKUP('Données projet'!$B$10,Paramètres!$A$1:$I$89,3,0)*0.475*44/12</f>
        <v>2.550622719101109</v>
      </c>
      <c r="AW126" s="21">
        <f>EXP(-LN(2)/2)*AW125+(1-EXP(-LN(2)/2))/(LN(2)/2)*AQ126*AT126*VLOOKUP('Données projet'!$B$10,Paramètres!$A$1:$I$89,3,0)*0.475*44/12</f>
        <v>0.42440056771240825</v>
      </c>
      <c r="AX126" s="21">
        <f t="shared" si="60"/>
        <v>64.590072791749648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322</v>
      </c>
      <c r="BE126" s="13">
        <f>BD126*VLOOKUP('Données projet'!$B$11,Paramètres!$A$1:$I$89,3,0)*VLOOKUP('Données projet'!$B$11,Paramètres!$A$1:$I$89,5,0)</f>
        <v>306.41519999999997</v>
      </c>
      <c r="BF126" s="13">
        <f t="shared" si="91"/>
        <v>72.519675217547672</v>
      </c>
      <c r="BG126" s="20">
        <f t="shared" si="61"/>
        <v>659.9782410038955</v>
      </c>
      <c r="BH126" s="59">
        <f t="shared" si="62"/>
        <v>953.31157433722888</v>
      </c>
      <c r="BI126" s="59">
        <f ca="1">AVERAGE(OFFSET($BH$3,0,0,'Données projet'!$E$11+1,1))-AVERAGE(OFFSET($H$3,0,0,'Données projet'!$E$11+1,1))</f>
        <v>339.00921630742886</v>
      </c>
      <c r="BJ126" s="59">
        <f t="shared" si="92"/>
        <v>314.95763895978303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24.059234447932482</v>
      </c>
      <c r="BQ126" s="21">
        <f>EXP(-LN(2)/25)*BQ125+(1-EXP(-LN(2)/25))/(LN(2)/25)*Calculateur!BL126*Calculateur!BN126*VLOOKUP('Données projet'!$B$11,Paramètres!$A$1:$I$89,3,0)*0.475*44/12</f>
        <v>0.97845038954426777</v>
      </c>
      <c r="BR126" s="21">
        <f>EXP(-LN(2)/2)*BR125+(1-EXP(-LN(2)/2))/(LN(2)/2)*BL126*BO126*VLOOKUP('Données projet'!$B$11,Paramètres!$A$1:$I$89,3,0)*0.475*44/12</f>
        <v>2.5224206749507259E-6</v>
      </c>
      <c r="BS126" s="22">
        <f t="shared" si="63"/>
        <v>25.037687359897426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296.99999999999983</v>
      </c>
      <c r="BZ126" s="13">
        <f>BY126*VLOOKUP('Données projet'!$B$12,Paramètres!$A$1:$I$89,3,0)*VLOOKUP('Données projet'!$B$12,Paramètres!$A$1:$I$89,5,0)</f>
        <v>254.82599999999988</v>
      </c>
      <c r="CA126" s="13">
        <f t="shared" si="93"/>
        <v>61.61820333959453</v>
      </c>
      <c r="CB126" s="20">
        <f t="shared" si="64"/>
        <v>551.1403208164603</v>
      </c>
      <c r="CC126" s="59">
        <f t="shared" si="65"/>
        <v>844.47365414979367</v>
      </c>
      <c r="CD126" s="59">
        <f ca="1">AVERAGE(OFFSET($CC$3,0,0,'Données projet'!$E$12+1,1))-AVERAGE(OFFSET($H$3,0,0,'Données projet'!$E$12+1,1))</f>
        <v>204.6927427024138</v>
      </c>
      <c r="CE126" s="59">
        <f t="shared" si="94"/>
        <v>115.74231133146816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33.64225932480263</v>
      </c>
      <c r="CL126" s="21">
        <f>EXP(-LN(2)/25)*CL125+(1-EXP(-LN(2)/25))/(LN(2)/25)*Calculateur!CG126*Calculateur!CI126*VLOOKUP('Données projet'!$B$12,Paramètres!$A$1:$I$89,3,0)*0.475*44/12</f>
        <v>1.5538085245707907</v>
      </c>
      <c r="CM126" s="21">
        <f>EXP(-LN(2)/2)*CM125+(1-EXP(-LN(2)/2))/(LN(2)/2)*CG126*CJ126*VLOOKUP('Données projet'!$B$12,Paramètres!$A$1:$I$89,3,0)*0.475*44/12</f>
        <v>3.9130291323201437E-4</v>
      </c>
      <c r="CN126" s="22">
        <f t="shared" si="66"/>
        <v>35.19645915228665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204.15575418077316</v>
      </c>
      <c r="CZ126" s="59">
        <f t="shared" si="96"/>
        <v>473.73726605265045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12.422007764385482</v>
      </c>
      <c r="DG126" s="21">
        <f>EXP(-LN(2)/25)*DG125+(1-EXP(-LN(2)/25))/(LN(2)/25)*Calculateur!DB126*Calculateur!DD126*VLOOKUP('Données projet'!$B$13,Paramètres!$A$1:$I$89,3,0)*0.475*44/12</f>
        <v>3.4838229510796648</v>
      </c>
      <c r="DH126" s="21">
        <f>EXP(-LN(2)/2)*DH125+(1-EXP(-LN(2)/2))/(LN(2)/2)*DB126*DE126*VLOOKUP('Données projet'!$B$13,Paramètres!$A$1:$I$89,3,0)*0.475*44/12</f>
        <v>5.4123770379935566E-14</v>
      </c>
      <c r="DI126" s="22">
        <f t="shared" si="69"/>
        <v>15.9058307154652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216.83230520434313</v>
      </c>
      <c r="T127" s="59">
        <f t="shared" si="88"/>
        <v>275.41891707278205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27.100661548623371</v>
      </c>
      <c r="AA127" s="21">
        <f>EXP(-LN(2)/25)*AA126+(1-EXP(-LN(2)/25))/(LN(2)/25)*Calculateur!V127*Calculateur!X127*VLOOKUP('Données projet'!$B$9,Paramètres!$A$1:$I$89,3,0)*0.475*44/12</f>
        <v>2.8252258419665974</v>
      </c>
      <c r="AB127" s="21">
        <f>EXP(-LN(2)/2)*AB126+(1-EXP(-LN(2)/2))/(LN(2)/2)*V127*Y127*VLOOKUP('Données projet'!$B$9,Paramètres!$A$1:$I$89,3,0)*0.475*44/12</f>
        <v>7.3851384413025012E-11</v>
      </c>
      <c r="AC127" s="22">
        <f t="shared" si="57"/>
        <v>29.925887390663821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268.00000000000011</v>
      </c>
      <c r="AJ127" s="13">
        <f>AI127*VLOOKUP('Données projet'!$B$10,Paramètres!$A$1:$I$89,3,0)*VLOOKUP('Données projet'!$B$10,Paramètres!$A$1:$I$89,5,0)</f>
        <v>271.75200000000012</v>
      </c>
      <c r="AK127" s="13">
        <f t="shared" si="89"/>
        <v>65.220947824724988</v>
      </c>
      <c r="AL127" s="20">
        <f t="shared" si="58"/>
        <v>586.89455079472953</v>
      </c>
      <c r="AM127" s="59">
        <f t="shared" si="59"/>
        <v>880.2278841280629</v>
      </c>
      <c r="AN127" s="59">
        <f ca="1">AVERAGE(OFFSET($AM$3,0,0,'Données projet'!$E$10+1,1))-AVERAGE(OFFSET($H$3,0,0,'Données projet'!$E$10+1,1))</f>
        <v>292.42154837691379</v>
      </c>
      <c r="AO127" s="59">
        <f t="shared" si="90"/>
        <v>193.18009444354601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60.40681596561366</v>
      </c>
      <c r="AV127" s="21">
        <f>EXP(-LN(2)/25)*AV126+(1-EXP(-LN(2)/25))/(LN(2)/25)*Calculateur!AQ127*Calculateur!AS127*VLOOKUP('Données projet'!$B$10,Paramètres!$A$1:$I$89,3,0)*0.475*44/12</f>
        <v>2.4808758067158698</v>
      </c>
      <c r="AW127" s="21">
        <f>EXP(-LN(2)/2)*AW126+(1-EXP(-LN(2)/2))/(LN(2)/2)*AQ127*AT127*VLOOKUP('Données projet'!$B$10,Paramètres!$A$1:$I$89,3,0)*0.475*44/12</f>
        <v>0.30009651936886445</v>
      </c>
      <c r="AX127" s="21">
        <f t="shared" si="60"/>
        <v>63.187788291698396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322</v>
      </c>
      <c r="BE127" s="13">
        <f>BD127*VLOOKUP('Données projet'!$B$11,Paramètres!$A$1:$I$89,3,0)*VLOOKUP('Données projet'!$B$11,Paramètres!$A$1:$I$89,5,0)</f>
        <v>306.41519999999997</v>
      </c>
      <c r="BF127" s="13">
        <f t="shared" si="91"/>
        <v>72.519675217547672</v>
      </c>
      <c r="BG127" s="20">
        <f t="shared" si="61"/>
        <v>659.9782410038955</v>
      </c>
      <c r="BH127" s="59">
        <f t="shared" si="62"/>
        <v>953.31157433722888</v>
      </c>
      <c r="BI127" s="59">
        <f ca="1">AVERAGE(OFFSET($BH$3,0,0,'Données projet'!$E$11+1,1))-AVERAGE(OFFSET($H$3,0,0,'Données projet'!$E$11+1,1))</f>
        <v>339.00921630742886</v>
      </c>
      <c r="BJ127" s="59">
        <f t="shared" si="92"/>
        <v>314.95763895978303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23.587447535092537</v>
      </c>
      <c r="BQ127" s="21">
        <f>EXP(-LN(2)/25)*BQ126+(1-EXP(-LN(2)/25))/(LN(2)/25)*Calculateur!BL127*Calculateur!BN127*VLOOKUP('Données projet'!$B$11,Paramètres!$A$1:$I$89,3,0)*0.475*44/12</f>
        <v>0.95169461218771001</v>
      </c>
      <c r="BR127" s="21">
        <f>EXP(-LN(2)/2)*BR126+(1-EXP(-LN(2)/2))/(LN(2)/2)*BL127*BO127*VLOOKUP('Données projet'!$B$11,Paramètres!$A$1:$I$89,3,0)*0.475*44/12</f>
        <v>1.7836207642628065E-6</v>
      </c>
      <c r="BS127" s="22">
        <f t="shared" si="63"/>
        <v>24.539143930901009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296.99999999999983</v>
      </c>
      <c r="BZ127" s="13">
        <f>BY127*VLOOKUP('Données projet'!$B$12,Paramètres!$A$1:$I$89,3,0)*VLOOKUP('Données projet'!$B$12,Paramètres!$A$1:$I$89,5,0)</f>
        <v>254.82599999999988</v>
      </c>
      <c r="CA127" s="13">
        <f t="shared" si="93"/>
        <v>61.61820333959453</v>
      </c>
      <c r="CB127" s="20">
        <f t="shared" si="64"/>
        <v>551.1403208164603</v>
      </c>
      <c r="CC127" s="59">
        <f t="shared" si="65"/>
        <v>844.47365414979367</v>
      </c>
      <c r="CD127" s="59">
        <f ca="1">AVERAGE(OFFSET($CC$3,0,0,'Données projet'!$E$12+1,1))-AVERAGE(OFFSET($H$3,0,0,'Données projet'!$E$12+1,1))</f>
        <v>204.6927427024138</v>
      </c>
      <c r="CE127" s="59">
        <f t="shared" si="94"/>
        <v>115.74231133146816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32.982555139195284</v>
      </c>
      <c r="CL127" s="21">
        <f>EXP(-LN(2)/25)*CL126+(1-EXP(-LN(2)/25))/(LN(2)/25)*Calculateur!CG127*Calculateur!CI127*VLOOKUP('Données projet'!$B$12,Paramètres!$A$1:$I$89,3,0)*0.475*44/12</f>
        <v>1.5113195487551634</v>
      </c>
      <c r="CM127" s="21">
        <f>EXP(-LN(2)/2)*CM126+(1-EXP(-LN(2)/2))/(LN(2)/2)*CG127*CJ127*VLOOKUP('Données projet'!$B$12,Paramètres!$A$1:$I$89,3,0)*0.475*44/12</f>
        <v>2.7669294344440857E-4</v>
      </c>
      <c r="CN127" s="22">
        <f t="shared" si="66"/>
        <v>34.494151380893889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204.15575418077316</v>
      </c>
      <c r="CZ127" s="59">
        <f t="shared" si="96"/>
        <v>473.73726605265045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12.178419768802485</v>
      </c>
      <c r="DG127" s="21">
        <f>EXP(-LN(2)/25)*DG126+(1-EXP(-LN(2)/25))/(LN(2)/25)*Calculateur!DB127*Calculateur!DD127*VLOOKUP('Données projet'!$B$13,Paramètres!$A$1:$I$89,3,0)*0.475*44/12</f>
        <v>3.3885576292761046</v>
      </c>
      <c r="DH127" s="21">
        <f>EXP(-LN(2)/2)*DH126+(1-EXP(-LN(2)/2))/(LN(2)/2)*DB127*DE127*VLOOKUP('Données projet'!$B$13,Paramètres!$A$1:$I$89,3,0)*0.475*44/12</f>
        <v>3.827128505903604E-14</v>
      </c>
      <c r="DI127" s="22">
        <f t="shared" si="69"/>
        <v>15.566977398078627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216.83230520434313</v>
      </c>
      <c r="T128" s="59">
        <f t="shared" si="88"/>
        <v>275.41891707278205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26.569234105426233</v>
      </c>
      <c r="AA128" s="21">
        <f>EXP(-LN(2)/25)*AA127+(1-EXP(-LN(2)/25))/(LN(2)/25)*Calculateur!V128*Calculateur!X128*VLOOKUP('Données projet'!$B$9,Paramètres!$A$1:$I$89,3,0)*0.475*44/12</f>
        <v>2.7479698927458509</v>
      </c>
      <c r="AB128" s="21">
        <f>EXP(-LN(2)/2)*AB127+(1-EXP(-LN(2)/2))/(LN(2)/2)*V128*Y128*VLOOKUP('Données projet'!$B$9,Paramètres!$A$1:$I$89,3,0)*0.475*44/12</f>
        <v>5.2220814718464484E-11</v>
      </c>
      <c r="AC128" s="22">
        <f t="shared" si="57"/>
        <v>29.317203998224304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268.00000000000011</v>
      </c>
      <c r="AJ128" s="13">
        <f>AI128*VLOOKUP('Données projet'!$B$10,Paramètres!$A$1:$I$89,3,0)*VLOOKUP('Données projet'!$B$10,Paramètres!$A$1:$I$89,5,0)</f>
        <v>271.75200000000012</v>
      </c>
      <c r="AK128" s="13">
        <f t="shared" si="89"/>
        <v>65.220947824724988</v>
      </c>
      <c r="AL128" s="20">
        <f t="shared" si="58"/>
        <v>586.89455079472953</v>
      </c>
      <c r="AM128" s="59">
        <f t="shared" si="59"/>
        <v>880.2278841280629</v>
      </c>
      <c r="AN128" s="59">
        <f ca="1">AVERAGE(OFFSET($AM$3,0,0,'Données projet'!$E$10+1,1))-AVERAGE(OFFSET($H$3,0,0,'Données projet'!$E$10+1,1))</f>
        <v>292.42154837691379</v>
      </c>
      <c r="AO128" s="59">
        <f t="shared" si="90"/>
        <v>193.18009444354601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59.222275149047618</v>
      </c>
      <c r="AV128" s="21">
        <f>EXP(-LN(2)/25)*AV127+(1-EXP(-LN(2)/25))/(LN(2)/25)*Calculateur!AQ128*Calculateur!AS128*VLOOKUP('Données projet'!$B$10,Paramètres!$A$1:$I$89,3,0)*0.475*44/12</f>
        <v>2.4130361273176359</v>
      </c>
      <c r="AW128" s="21">
        <f>EXP(-LN(2)/2)*AW127+(1-EXP(-LN(2)/2))/(LN(2)/2)*AQ128*AT128*VLOOKUP('Données projet'!$B$10,Paramètres!$A$1:$I$89,3,0)*0.475*44/12</f>
        <v>0.21220028385620418</v>
      </c>
      <c r="AX128" s="21">
        <f t="shared" si="60"/>
        <v>61.847511560221463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322</v>
      </c>
      <c r="BE128" s="13">
        <f>BD128*VLOOKUP('Données projet'!$B$11,Paramètres!$A$1:$I$89,3,0)*VLOOKUP('Données projet'!$B$11,Paramètres!$A$1:$I$89,5,0)</f>
        <v>306.41519999999997</v>
      </c>
      <c r="BF128" s="13">
        <f t="shared" si="91"/>
        <v>72.519675217547672</v>
      </c>
      <c r="BG128" s="20">
        <f t="shared" si="61"/>
        <v>659.9782410038955</v>
      </c>
      <c r="BH128" s="59">
        <f t="shared" si="62"/>
        <v>953.31157433722888</v>
      </c>
      <c r="BI128" s="59">
        <f ca="1">AVERAGE(OFFSET($BH$3,0,0,'Données projet'!$E$11+1,1))-AVERAGE(OFFSET($H$3,0,0,'Données projet'!$E$11+1,1))</f>
        <v>339.00921630742886</v>
      </c>
      <c r="BJ128" s="59">
        <f t="shared" si="92"/>
        <v>314.95763895978303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23.124912075851778</v>
      </c>
      <c r="BQ128" s="21">
        <f>EXP(-LN(2)/25)*BQ127+(1-EXP(-LN(2)/25))/(LN(2)/25)*Calculateur!BL128*Calculateur!BN128*VLOOKUP('Données projet'!$B$11,Paramètres!$A$1:$I$89,3,0)*0.475*44/12</f>
        <v>0.9256704729699925</v>
      </c>
      <c r="BR128" s="21">
        <f>EXP(-LN(2)/2)*BR127+(1-EXP(-LN(2)/2))/(LN(2)/2)*BL128*BO128*VLOOKUP('Données projet'!$B$11,Paramètres!$A$1:$I$89,3,0)*0.475*44/12</f>
        <v>1.2612103374753629E-6</v>
      </c>
      <c r="BS128" s="22">
        <f t="shared" si="63"/>
        <v>24.050583810032109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296.99999999999983</v>
      </c>
      <c r="BZ128" s="13">
        <f>BY128*VLOOKUP('Données projet'!$B$12,Paramètres!$A$1:$I$89,3,0)*VLOOKUP('Données projet'!$B$12,Paramètres!$A$1:$I$89,5,0)</f>
        <v>254.82599999999988</v>
      </c>
      <c r="CA128" s="13">
        <f t="shared" si="93"/>
        <v>61.61820333959453</v>
      </c>
      <c r="CB128" s="20">
        <f t="shared" si="64"/>
        <v>551.1403208164603</v>
      </c>
      <c r="CC128" s="59">
        <f t="shared" si="65"/>
        <v>844.47365414979367</v>
      </c>
      <c r="CD128" s="59">
        <f ca="1">AVERAGE(OFFSET($CC$3,0,0,'Données projet'!$E$12+1,1))-AVERAGE(OFFSET($H$3,0,0,'Données projet'!$E$12+1,1))</f>
        <v>204.6927427024138</v>
      </c>
      <c r="CE128" s="59">
        <f t="shared" si="94"/>
        <v>115.74231133146816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32.335787350287873</v>
      </c>
      <c r="CL128" s="21">
        <f>EXP(-LN(2)/25)*CL127+(1-EXP(-LN(2)/25))/(LN(2)/25)*Calculateur!CG128*Calculateur!CI128*VLOOKUP('Données projet'!$B$12,Paramètres!$A$1:$I$89,3,0)*0.475*44/12</f>
        <v>1.4699924362176124</v>
      </c>
      <c r="CM128" s="21">
        <f>EXP(-LN(2)/2)*CM127+(1-EXP(-LN(2)/2))/(LN(2)/2)*CG128*CJ128*VLOOKUP('Données projet'!$B$12,Paramètres!$A$1:$I$89,3,0)*0.475*44/12</f>
        <v>1.9565145661600719E-4</v>
      </c>
      <c r="CN128" s="22">
        <f t="shared" si="66"/>
        <v>33.805975437962097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204.15575418077316</v>
      </c>
      <c r="CZ128" s="59">
        <f t="shared" si="96"/>
        <v>473.73726605265045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11.939608385238863</v>
      </c>
      <c r="DG128" s="21">
        <f>EXP(-LN(2)/25)*DG127+(1-EXP(-LN(2)/25))/(LN(2)/25)*Calculateur!DB128*Calculateur!DD128*VLOOKUP('Données projet'!$B$13,Paramètres!$A$1:$I$89,3,0)*0.475*44/12</f>
        <v>3.2958973427070486</v>
      </c>
      <c r="DH128" s="21">
        <f>EXP(-LN(2)/2)*DH127+(1-EXP(-LN(2)/2))/(LN(2)/2)*DB128*DE128*VLOOKUP('Données projet'!$B$13,Paramètres!$A$1:$I$89,3,0)*0.475*44/12</f>
        <v>2.7061885189967783E-14</v>
      </c>
      <c r="DI128" s="22">
        <f t="shared" si="69"/>
        <v>15.235505727945938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216.83230520434313</v>
      </c>
      <c r="T129" s="59">
        <f t="shared" si="88"/>
        <v>275.41891707278205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26.048227630251457</v>
      </c>
      <c r="AA129" s="21">
        <f>EXP(-LN(2)/25)*AA128+(1-EXP(-LN(2)/25))/(LN(2)/25)*Calculateur!V129*Calculateur!X129*VLOOKUP('Données projet'!$B$9,Paramètres!$A$1:$I$89,3,0)*0.475*44/12</f>
        <v>2.6728265115192595</v>
      </c>
      <c r="AB129" s="21">
        <f>EXP(-LN(2)/2)*AB128+(1-EXP(-LN(2)/2))/(LN(2)/2)*V129*Y129*VLOOKUP('Données projet'!$B$9,Paramètres!$A$1:$I$89,3,0)*0.475*44/12</f>
        <v>3.6925692206512506E-11</v>
      </c>
      <c r="AC129" s="22">
        <f t="shared" si="57"/>
        <v>28.721054141807642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268.00000000000011</v>
      </c>
      <c r="AJ129" s="13">
        <f>AI129*VLOOKUP('Données projet'!$B$10,Paramètres!$A$1:$I$89,3,0)*VLOOKUP('Données projet'!$B$10,Paramètres!$A$1:$I$89,5,0)</f>
        <v>271.75200000000012</v>
      </c>
      <c r="AK129" s="13">
        <f t="shared" si="89"/>
        <v>65.220947824724988</v>
      </c>
      <c r="AL129" s="20">
        <f t="shared" si="58"/>
        <v>586.89455079472953</v>
      </c>
      <c r="AM129" s="59">
        <f t="shared" si="59"/>
        <v>880.2278841280629</v>
      </c>
      <c r="AN129" s="59">
        <f ca="1">AVERAGE(OFFSET($AM$3,0,0,'Données projet'!$E$10+1,1))-AVERAGE(OFFSET($H$3,0,0,'Données projet'!$E$10+1,1))</f>
        <v>292.42154837691379</v>
      </c>
      <c r="AO129" s="59">
        <f t="shared" si="90"/>
        <v>193.18009444354601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58.060962455395881</v>
      </c>
      <c r="AV129" s="21">
        <f>EXP(-LN(2)/25)*AV128+(1-EXP(-LN(2)/25))/(LN(2)/25)*Calculateur!AQ129*Calculateur!AS129*VLOOKUP('Données projet'!$B$10,Paramètres!$A$1:$I$89,3,0)*0.475*44/12</f>
        <v>2.3470515275200805</v>
      </c>
      <c r="AW129" s="21">
        <f>EXP(-LN(2)/2)*AW128+(1-EXP(-LN(2)/2))/(LN(2)/2)*AQ129*AT129*VLOOKUP('Données projet'!$B$10,Paramètres!$A$1:$I$89,3,0)*0.475*44/12</f>
        <v>0.15004825968443225</v>
      </c>
      <c r="AX129" s="21">
        <f t="shared" si="60"/>
        <v>60.558062242600393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322</v>
      </c>
      <c r="BE129" s="13">
        <f>BD129*VLOOKUP('Données projet'!$B$11,Paramètres!$A$1:$I$89,3,0)*VLOOKUP('Données projet'!$B$11,Paramètres!$A$1:$I$89,5,0)</f>
        <v>306.41519999999997</v>
      </c>
      <c r="BF129" s="13">
        <f t="shared" si="91"/>
        <v>72.519675217547672</v>
      </c>
      <c r="BG129" s="20">
        <f t="shared" si="61"/>
        <v>659.9782410038955</v>
      </c>
      <c r="BH129" s="59">
        <f t="shared" si="62"/>
        <v>953.31157433722888</v>
      </c>
      <c r="BI129" s="59">
        <f ca="1">AVERAGE(OFFSET($BH$3,0,0,'Données projet'!$E$11+1,1))-AVERAGE(OFFSET($H$3,0,0,'Données projet'!$E$11+1,1))</f>
        <v>339.00921630742886</v>
      </c>
      <c r="BJ129" s="59">
        <f t="shared" si="92"/>
        <v>314.95763895978303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22.671446654847959</v>
      </c>
      <c r="BQ129" s="21">
        <f>EXP(-LN(2)/25)*BQ128+(1-EXP(-LN(2)/25))/(LN(2)/25)*Calculateur!BL129*Calculateur!BN129*VLOOKUP('Données projet'!$B$11,Paramètres!$A$1:$I$89,3,0)*0.475*44/12</f>
        <v>0.90035796520773348</v>
      </c>
      <c r="BR129" s="21">
        <f>EXP(-LN(2)/2)*BR128+(1-EXP(-LN(2)/2))/(LN(2)/2)*BL129*BO129*VLOOKUP('Données projet'!$B$11,Paramètres!$A$1:$I$89,3,0)*0.475*44/12</f>
        <v>8.9181038213140324E-7</v>
      </c>
      <c r="BS129" s="22">
        <f t="shared" si="63"/>
        <v>23.571805511866074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296.99999999999983</v>
      </c>
      <c r="BZ129" s="13">
        <f>BY129*VLOOKUP('Données projet'!$B$12,Paramètres!$A$1:$I$89,3,0)*VLOOKUP('Données projet'!$B$12,Paramètres!$A$1:$I$89,5,0)</f>
        <v>254.82599999999988</v>
      </c>
      <c r="CA129" s="13">
        <f t="shared" si="93"/>
        <v>61.61820333959453</v>
      </c>
      <c r="CB129" s="20">
        <f t="shared" si="64"/>
        <v>551.1403208164603</v>
      </c>
      <c r="CC129" s="59">
        <f t="shared" si="65"/>
        <v>844.47365414979367</v>
      </c>
      <c r="CD129" s="59">
        <f ca="1">AVERAGE(OFFSET($CC$3,0,0,'Données projet'!$E$12+1,1))-AVERAGE(OFFSET($H$3,0,0,'Données projet'!$E$12+1,1))</f>
        <v>204.6927427024138</v>
      </c>
      <c r="CE129" s="59">
        <f t="shared" si="94"/>
        <v>115.74231133146816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31.70170228323154</v>
      </c>
      <c r="CL129" s="21">
        <f>EXP(-LN(2)/25)*CL128+(1-EXP(-LN(2)/25))/(LN(2)/25)*Calculateur!CG129*Calculateur!CI129*VLOOKUP('Données projet'!$B$12,Paramètres!$A$1:$I$89,3,0)*0.475*44/12</f>
        <v>1.4297954157456993</v>
      </c>
      <c r="CM129" s="21">
        <f>EXP(-LN(2)/2)*CM128+(1-EXP(-LN(2)/2))/(LN(2)/2)*CG129*CJ129*VLOOKUP('Données projet'!$B$12,Paramètres!$A$1:$I$89,3,0)*0.475*44/12</f>
        <v>1.3834647172220429E-4</v>
      </c>
      <c r="CN129" s="22">
        <f t="shared" si="66"/>
        <v>33.131636045448964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204.15575418077316</v>
      </c>
      <c r="CZ129" s="59">
        <f t="shared" si="96"/>
        <v>473.73726605265045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11.705479947246362</v>
      </c>
      <c r="DG129" s="21">
        <f>EXP(-LN(2)/25)*DG128+(1-EXP(-LN(2)/25))/(LN(2)/25)*Calculateur!DB129*Calculateur!DD129*VLOOKUP('Données projet'!$B$13,Paramètres!$A$1:$I$89,3,0)*0.475*44/12</f>
        <v>3.2057708565470158</v>
      </c>
      <c r="DH129" s="21">
        <f>EXP(-LN(2)/2)*DH128+(1-EXP(-LN(2)/2))/(LN(2)/2)*DB129*DE129*VLOOKUP('Données projet'!$B$13,Paramètres!$A$1:$I$89,3,0)*0.475*44/12</f>
        <v>1.913564252951802E-14</v>
      </c>
      <c r="DI129" s="22">
        <f t="shared" si="69"/>
        <v>14.911250803793397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216.83230520434313</v>
      </c>
      <c r="T130" s="59">
        <f t="shared" si="88"/>
        <v>275.41891707278205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25.537437774272284</v>
      </c>
      <c r="AA130" s="21">
        <f>EXP(-LN(2)/25)*AA129+(1-EXP(-LN(2)/25))/(LN(2)/25)*Calculateur!V130*Calculateur!X130*VLOOKUP('Données projet'!$B$9,Paramètres!$A$1:$I$89,3,0)*0.475*44/12</f>
        <v>2.5997379300039278</v>
      </c>
      <c r="AB130" s="21">
        <f>EXP(-LN(2)/2)*AB129+(1-EXP(-LN(2)/2))/(LN(2)/2)*V130*Y130*VLOOKUP('Données projet'!$B$9,Paramètres!$A$1:$I$89,3,0)*0.475*44/12</f>
        <v>2.6110407359232242E-11</v>
      </c>
      <c r="AC130" s="22">
        <f t="shared" si="57"/>
        <v>28.137175704302322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268.00000000000011</v>
      </c>
      <c r="AJ130" s="13">
        <f>AI130*VLOOKUP('Données projet'!$B$10,Paramètres!$A$1:$I$89,3,0)*VLOOKUP('Données projet'!$B$10,Paramètres!$A$1:$I$89,5,0)</f>
        <v>271.75200000000012</v>
      </c>
      <c r="AK130" s="13">
        <f t="shared" si="89"/>
        <v>65.220947824724988</v>
      </c>
      <c r="AL130" s="20">
        <f t="shared" si="58"/>
        <v>586.89455079472953</v>
      </c>
      <c r="AM130" s="59">
        <f t="shared" si="59"/>
        <v>880.2278841280629</v>
      </c>
      <c r="AN130" s="59">
        <f ca="1">AVERAGE(OFFSET($AM$3,0,0,'Données projet'!$E$10+1,1))-AVERAGE(OFFSET($H$3,0,0,'Données projet'!$E$10+1,1))</f>
        <v>292.42154837691379</v>
      </c>
      <c r="AO130" s="59">
        <f t="shared" si="90"/>
        <v>193.18009444354601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56.922422395335857</v>
      </c>
      <c r="AV130" s="21">
        <f>EXP(-LN(2)/25)*AV129+(1-EXP(-LN(2)/25))/(LN(2)/25)*Calculateur!AQ130*Calculateur!AS130*VLOOKUP('Données projet'!$B$10,Paramètres!$A$1:$I$89,3,0)*0.475*44/12</f>
        <v>2.2828712800739681</v>
      </c>
      <c r="AW130" s="21">
        <f>EXP(-LN(2)/2)*AW129+(1-EXP(-LN(2)/2))/(LN(2)/2)*AQ130*AT130*VLOOKUP('Données projet'!$B$10,Paramètres!$A$1:$I$89,3,0)*0.475*44/12</f>
        <v>0.1061001419281021</v>
      </c>
      <c r="AX130" s="21">
        <f t="shared" si="60"/>
        <v>59.31139381733793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322</v>
      </c>
      <c r="BE130" s="13">
        <f>BD130*VLOOKUP('Données projet'!$B$11,Paramètres!$A$1:$I$89,3,0)*VLOOKUP('Données projet'!$B$11,Paramètres!$A$1:$I$89,5,0)</f>
        <v>306.41519999999997</v>
      </c>
      <c r="BF130" s="13">
        <f t="shared" si="91"/>
        <v>72.519675217547672</v>
      </c>
      <c r="BG130" s="20">
        <f t="shared" si="61"/>
        <v>659.9782410038955</v>
      </c>
      <c r="BH130" s="59">
        <f t="shared" si="62"/>
        <v>953.31157433722888</v>
      </c>
      <c r="BI130" s="59">
        <f ca="1">AVERAGE(OFFSET($BH$3,0,0,'Données projet'!$E$11+1,1))-AVERAGE(OFFSET($H$3,0,0,'Données projet'!$E$11+1,1))</f>
        <v>339.00921630742886</v>
      </c>
      <c r="BJ130" s="59">
        <f t="shared" si="92"/>
        <v>314.95763895978303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22.226873414163425</v>
      </c>
      <c r="BQ130" s="21">
        <f>EXP(-LN(2)/25)*BQ129+(1-EXP(-LN(2)/25))/(LN(2)/25)*Calculateur!BL130*Calculateur!BN130*VLOOKUP('Données projet'!$B$11,Paramètres!$A$1:$I$89,3,0)*0.475*44/12</f>
        <v>0.87573762930136045</v>
      </c>
      <c r="BR130" s="21">
        <f>EXP(-LN(2)/2)*BR129+(1-EXP(-LN(2)/2))/(LN(2)/2)*BL130*BO130*VLOOKUP('Données projet'!$B$11,Paramètres!$A$1:$I$89,3,0)*0.475*44/12</f>
        <v>6.3060516873768147E-7</v>
      </c>
      <c r="BS130" s="22">
        <f t="shared" si="63"/>
        <v>23.102611674069955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296.99999999999983</v>
      </c>
      <c r="BZ130" s="13">
        <f>BY130*VLOOKUP('Données projet'!$B$12,Paramètres!$A$1:$I$89,3,0)*VLOOKUP('Données projet'!$B$12,Paramètres!$A$1:$I$89,5,0)</f>
        <v>254.82599999999988</v>
      </c>
      <c r="CA130" s="13">
        <f t="shared" si="93"/>
        <v>61.61820333959453</v>
      </c>
      <c r="CB130" s="20">
        <f t="shared" si="64"/>
        <v>551.1403208164603</v>
      </c>
      <c r="CC130" s="59">
        <f t="shared" si="65"/>
        <v>844.47365414979367</v>
      </c>
      <c r="CD130" s="59">
        <f ca="1">AVERAGE(OFFSET($CC$3,0,0,'Données projet'!$E$12+1,1))-AVERAGE(OFFSET($H$3,0,0,'Données projet'!$E$12+1,1))</f>
        <v>204.6927427024138</v>
      </c>
      <c r="CE130" s="59">
        <f t="shared" si="94"/>
        <v>115.74231133146816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31.080051237586478</v>
      </c>
      <c r="CL130" s="21">
        <f>EXP(-LN(2)/25)*CL129+(1-EXP(-LN(2)/25))/(LN(2)/25)*Calculateur!CG130*Calculateur!CI130*VLOOKUP('Données projet'!$B$12,Paramètres!$A$1:$I$89,3,0)*0.475*44/12</f>
        <v>1.3906975849124601</v>
      </c>
      <c r="CM130" s="21">
        <f>EXP(-LN(2)/2)*CM129+(1-EXP(-LN(2)/2))/(LN(2)/2)*CG130*CJ130*VLOOKUP('Données projet'!$B$12,Paramètres!$A$1:$I$89,3,0)*0.475*44/12</f>
        <v>9.7825728308003593E-5</v>
      </c>
      <c r="CN130" s="22">
        <f t="shared" si="66"/>
        <v>32.470846648227251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204.15575418077316</v>
      </c>
      <c r="CZ130" s="59">
        <f t="shared" si="96"/>
        <v>473.73726605265045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11.475942625118648</v>
      </c>
      <c r="DG130" s="21">
        <f>EXP(-LN(2)/25)*DG129+(1-EXP(-LN(2)/25))/(LN(2)/25)*Calculateur!DB130*Calculateur!DD130*VLOOKUP('Données projet'!$B$13,Paramètres!$A$1:$I$89,3,0)*0.475*44/12</f>
        <v>3.1181088838905753</v>
      </c>
      <c r="DH130" s="21">
        <f>EXP(-LN(2)/2)*DH129+(1-EXP(-LN(2)/2))/(LN(2)/2)*DB130*DE130*VLOOKUP('Données projet'!$B$13,Paramètres!$A$1:$I$89,3,0)*0.475*44/12</f>
        <v>1.3530942594983892E-14</v>
      </c>
      <c r="DI130" s="22">
        <f t="shared" si="69"/>
        <v>14.594051509009237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216.83230520434313</v>
      </c>
      <c r="T131" s="59">
        <f t="shared" si="88"/>
        <v>275.41891707278205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25.036664195817814</v>
      </c>
      <c r="AA131" s="21">
        <f>EXP(-LN(2)/25)*AA130+(1-EXP(-LN(2)/25))/(LN(2)/25)*Calculateur!V131*Calculateur!X131*VLOOKUP('Données projet'!$B$9,Paramètres!$A$1:$I$89,3,0)*0.475*44/12</f>
        <v>2.5286479595936946</v>
      </c>
      <c r="AB131" s="21">
        <f>EXP(-LN(2)/2)*AB130+(1-EXP(-LN(2)/2))/(LN(2)/2)*V131*Y131*VLOOKUP('Données projet'!$B$9,Paramètres!$A$1:$I$89,3,0)*0.475*44/12</f>
        <v>1.8462846103256253E-11</v>
      </c>
      <c r="AC131" s="22">
        <f t="shared" si="57"/>
        <v>27.565312155429972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268.00000000000011</v>
      </c>
      <c r="AJ131" s="13">
        <f>AI131*VLOOKUP('Données projet'!$B$10,Paramètres!$A$1:$I$89,3,0)*VLOOKUP('Données projet'!$B$10,Paramètres!$A$1:$I$89,5,0)</f>
        <v>271.75200000000012</v>
      </c>
      <c r="AK131" s="13">
        <f t="shared" si="89"/>
        <v>65.220947824724988</v>
      </c>
      <c r="AL131" s="20">
        <f t="shared" si="58"/>
        <v>586.89455079472953</v>
      </c>
      <c r="AM131" s="59">
        <f t="shared" si="59"/>
        <v>880.2278841280629</v>
      </c>
      <c r="AN131" s="59">
        <f ca="1">AVERAGE(OFFSET($AM$3,0,0,'Données projet'!$E$10+1,1))-AVERAGE(OFFSET($H$3,0,0,'Données projet'!$E$10+1,1))</f>
        <v>292.42154837691379</v>
      </c>
      <c r="AO131" s="59">
        <f t="shared" si="90"/>
        <v>193.18009444354601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55.80620841141274</v>
      </c>
      <c r="AV131" s="21">
        <f>EXP(-LN(2)/25)*AV130+(1-EXP(-LN(2)/25))/(LN(2)/25)*Calculateur!AQ131*Calculateur!AS131*VLOOKUP('Données projet'!$B$10,Paramètres!$A$1:$I$89,3,0)*0.475*44/12</f>
        <v>2.2204460448693624</v>
      </c>
      <c r="AW131" s="21">
        <f>EXP(-LN(2)/2)*AW130+(1-EXP(-LN(2)/2))/(LN(2)/2)*AQ131*AT131*VLOOKUP('Données projet'!$B$10,Paramètres!$A$1:$I$89,3,0)*0.475*44/12</f>
        <v>7.5024129842216139E-2</v>
      </c>
      <c r="AX131" s="21">
        <f t="shared" si="60"/>
        <v>58.101678586124322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322</v>
      </c>
      <c r="BE131" s="13">
        <f>BD131*VLOOKUP('Données projet'!$B$11,Paramètres!$A$1:$I$89,3,0)*VLOOKUP('Données projet'!$B$11,Paramètres!$A$1:$I$89,5,0)</f>
        <v>306.41519999999997</v>
      </c>
      <c r="BF131" s="13">
        <f t="shared" si="91"/>
        <v>72.519675217547672</v>
      </c>
      <c r="BG131" s="20">
        <f t="shared" si="61"/>
        <v>659.9782410038955</v>
      </c>
      <c r="BH131" s="59">
        <f t="shared" si="62"/>
        <v>953.31157433722888</v>
      </c>
      <c r="BI131" s="59">
        <f ca="1">AVERAGE(OFFSET($BH$3,0,0,'Données projet'!$E$11+1,1))-AVERAGE(OFFSET($H$3,0,0,'Données projet'!$E$11+1,1))</f>
        <v>339.00921630742886</v>
      </c>
      <c r="BJ131" s="59">
        <f t="shared" si="92"/>
        <v>314.95763895978303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21.791017983565816</v>
      </c>
      <c r="BQ131" s="21">
        <f>EXP(-LN(2)/25)*BQ130+(1-EXP(-LN(2)/25))/(LN(2)/25)*Calculateur!BL131*Calculateur!BN131*VLOOKUP('Données projet'!$B$11,Paramètres!$A$1:$I$89,3,0)*0.475*44/12</f>
        <v>0.85179053777507441</v>
      </c>
      <c r="BR131" s="21">
        <f>EXP(-LN(2)/2)*BR130+(1-EXP(-LN(2)/2))/(LN(2)/2)*BL131*BO131*VLOOKUP('Données projet'!$B$11,Paramètres!$A$1:$I$89,3,0)*0.475*44/12</f>
        <v>4.4590519106570162E-7</v>
      </c>
      <c r="BS131" s="22">
        <f t="shared" si="63"/>
        <v>22.642808967246079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296.99999999999983</v>
      </c>
      <c r="BZ131" s="13">
        <f>BY131*VLOOKUP('Données projet'!$B$12,Paramètres!$A$1:$I$89,3,0)*VLOOKUP('Données projet'!$B$12,Paramètres!$A$1:$I$89,5,0)</f>
        <v>254.82599999999988</v>
      </c>
      <c r="CA131" s="13">
        <f t="shared" si="93"/>
        <v>61.61820333959453</v>
      </c>
      <c r="CB131" s="20">
        <f t="shared" si="64"/>
        <v>551.1403208164603</v>
      </c>
      <c r="CC131" s="59">
        <f t="shared" si="65"/>
        <v>844.47365414979367</v>
      </c>
      <c r="CD131" s="59">
        <f ca="1">AVERAGE(OFFSET($CC$3,0,0,'Données projet'!$E$12+1,1))-AVERAGE(OFFSET($H$3,0,0,'Données projet'!$E$12+1,1))</f>
        <v>204.6927427024138</v>
      </c>
      <c r="CE131" s="59">
        <f t="shared" si="94"/>
        <v>115.74231133146816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30.470590389776817</v>
      </c>
      <c r="CL131" s="21">
        <f>EXP(-LN(2)/25)*CL130+(1-EXP(-LN(2)/25))/(LN(2)/25)*Calculateur!CG131*Calculateur!CI131*VLOOKUP('Données projet'!$B$12,Paramètres!$A$1:$I$89,3,0)*0.475*44/12</f>
        <v>1.3526688863194214</v>
      </c>
      <c r="CM131" s="21">
        <f>EXP(-LN(2)/2)*CM130+(1-EXP(-LN(2)/2))/(LN(2)/2)*CG131*CJ131*VLOOKUP('Données projet'!$B$12,Paramètres!$A$1:$I$89,3,0)*0.475*44/12</f>
        <v>6.9173235861102144E-5</v>
      </c>
      <c r="CN131" s="22">
        <f t="shared" si="66"/>
        <v>31.823328449332099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204.15575418077316</v>
      </c>
      <c r="CZ131" s="59">
        <f t="shared" si="96"/>
        <v>473.73726605265045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11.250906389873917</v>
      </c>
      <c r="DG131" s="21">
        <f>EXP(-LN(2)/25)*DG130+(1-EXP(-LN(2)/25))/(LN(2)/25)*Calculateur!DB131*Calculateur!DD131*VLOOKUP('Données projet'!$B$13,Paramètres!$A$1:$I$89,3,0)*0.475*44/12</f>
        <v>3.0328440324863677</v>
      </c>
      <c r="DH131" s="21">
        <f>EXP(-LN(2)/2)*DH130+(1-EXP(-LN(2)/2))/(LN(2)/2)*DB131*DE131*VLOOKUP('Données projet'!$B$13,Paramètres!$A$1:$I$89,3,0)*0.475*44/12</f>
        <v>9.56782126475901E-15</v>
      </c>
      <c r="DI131" s="22">
        <f t="shared" si="69"/>
        <v>14.283750422360294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216.83230520434313</v>
      </c>
      <c r="T132" s="59">
        <f t="shared" si="88"/>
        <v>275.41891707278205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24.545710481795115</v>
      </c>
      <c r="AA132" s="21">
        <f>EXP(-LN(2)/25)*AA131+(1-EXP(-LN(2)/25))/(LN(2)/25)*Calculateur!V132*Calculateur!X132*VLOOKUP('Données projet'!$B$9,Paramètres!$A$1:$I$89,3,0)*0.475*44/12</f>
        <v>2.4595019481627882</v>
      </c>
      <c r="AB132" s="21">
        <f>EXP(-LN(2)/2)*AB131+(1-EXP(-LN(2)/2))/(LN(2)/2)*V132*Y132*VLOOKUP('Données projet'!$B$9,Paramètres!$A$1:$I$89,3,0)*0.475*44/12</f>
        <v>1.3055203679616121E-11</v>
      </c>
      <c r="AC132" s="22">
        <f t="shared" ref="AC132:AC153" si="111">SUM(Z132:AB132)</f>
        <v>27.00521242997096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268.00000000000011</v>
      </c>
      <c r="AJ132" s="13">
        <f>AI132*VLOOKUP('Données projet'!$B$10,Paramètres!$A$1:$I$89,3,0)*VLOOKUP('Données projet'!$B$10,Paramètres!$A$1:$I$89,5,0)</f>
        <v>271.75200000000012</v>
      </c>
      <c r="AK132" s="13">
        <f t="shared" si="89"/>
        <v>65.220947824724988</v>
      </c>
      <c r="AL132" s="20">
        <f t="shared" ref="AL132:AL153" si="112">(AJ132+AK132)*0.475*44/12</f>
        <v>586.89455079472953</v>
      </c>
      <c r="AM132" s="59">
        <f t="shared" ref="AM132:AM195" si="113">AL132+(AD132+AE132)*44/12</f>
        <v>880.2278841280629</v>
      </c>
      <c r="AN132" s="59">
        <f ca="1">AVERAGE(OFFSET($AM$3,0,0,'Données projet'!$E$10+1,1))-AVERAGE(OFFSET($H$3,0,0,'Données projet'!$E$10+1,1))</f>
        <v>292.42154837691379</v>
      </c>
      <c r="AO132" s="59">
        <f t="shared" si="90"/>
        <v>193.18009444354601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54.711882702891053</v>
      </c>
      <c r="AV132" s="21">
        <f>EXP(-LN(2)/25)*AV131+(1-EXP(-LN(2)/25))/(LN(2)/25)*Calculateur!AQ132*Calculateur!AS132*VLOOKUP('Données projet'!$B$10,Paramètres!$A$1:$I$89,3,0)*0.475*44/12</f>
        <v>2.1597278310042269</v>
      </c>
      <c r="AW132" s="21">
        <f>EXP(-LN(2)/2)*AW131+(1-EXP(-LN(2)/2))/(LN(2)/2)*AQ132*AT132*VLOOKUP('Données projet'!$B$10,Paramètres!$A$1:$I$89,3,0)*0.475*44/12</f>
        <v>5.3050070964051059E-2</v>
      </c>
      <c r="AX132" s="21">
        <f t="shared" ref="AX132:AX153" si="114">SUM(AU132:AW132)</f>
        <v>56.924660604859326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322</v>
      </c>
      <c r="BE132" s="13">
        <f>BD132*VLOOKUP('Données projet'!$B$11,Paramètres!$A$1:$I$89,3,0)*VLOOKUP('Données projet'!$B$11,Paramètres!$A$1:$I$89,5,0)</f>
        <v>306.41519999999997</v>
      </c>
      <c r="BF132" s="13">
        <f t="shared" si="91"/>
        <v>72.519675217547672</v>
      </c>
      <c r="BG132" s="20">
        <f t="shared" ref="BG132:BG153" si="115">(BE132+BF132)*0.475*44/12</f>
        <v>659.9782410038955</v>
      </c>
      <c r="BH132" s="59">
        <f t="shared" ref="BH132:BH195" si="116">BG132+(AY132+AZ132)*44/12</f>
        <v>953.31157433722888</v>
      </c>
      <c r="BI132" s="59">
        <f ca="1">AVERAGE(OFFSET($BH$3,0,0,'Données projet'!$E$11+1,1))-AVERAGE(OFFSET($H$3,0,0,'Données projet'!$E$11+1,1))</f>
        <v>339.00921630742886</v>
      </c>
      <c r="BJ132" s="59">
        <f t="shared" si="92"/>
        <v>314.95763895978303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21.363709412116663</v>
      </c>
      <c r="BQ132" s="21">
        <f>EXP(-LN(2)/25)*BQ131+(1-EXP(-LN(2)/25))/(LN(2)/25)*Calculateur!BL132*Calculateur!BN132*VLOOKUP('Données projet'!$B$11,Paramètres!$A$1:$I$89,3,0)*0.475*44/12</f>
        <v>0.82849828072589737</v>
      </c>
      <c r="BR132" s="21">
        <f>EXP(-LN(2)/2)*BR131+(1-EXP(-LN(2)/2))/(LN(2)/2)*BL132*BO132*VLOOKUP('Données projet'!$B$11,Paramètres!$A$1:$I$89,3,0)*0.475*44/12</f>
        <v>3.1530258436884074E-7</v>
      </c>
      <c r="BS132" s="22">
        <f t="shared" ref="BS132:BS153" si="117">SUM(BP132:BR132)</f>
        <v>22.192208008145144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296.99999999999983</v>
      </c>
      <c r="BZ132" s="13">
        <f>BY132*VLOOKUP('Données projet'!$B$12,Paramètres!$A$1:$I$89,3,0)*VLOOKUP('Données projet'!$B$12,Paramètres!$A$1:$I$89,5,0)</f>
        <v>254.82599999999988</v>
      </c>
      <c r="CA132" s="13">
        <f t="shared" si="93"/>
        <v>61.61820333959453</v>
      </c>
      <c r="CB132" s="20">
        <f t="shared" ref="CB132:CB153" si="118">(BZ132+CA132)*0.475*44/12</f>
        <v>551.1403208164603</v>
      </c>
      <c r="CC132" s="59">
        <f t="shared" ref="CC132:CC195" si="119">CB132+(BT132+BU132)*44/12</f>
        <v>844.47365414979367</v>
      </c>
      <c r="CD132" s="59">
        <f ca="1">AVERAGE(OFFSET($CC$3,0,0,'Données projet'!$E$12+1,1))-AVERAGE(OFFSET($H$3,0,0,'Données projet'!$E$12+1,1))</f>
        <v>204.6927427024138</v>
      </c>
      <c r="CE132" s="59">
        <f t="shared" si="94"/>
        <v>115.74231133146816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29.873080697458292</v>
      </c>
      <c r="CL132" s="21">
        <f>EXP(-LN(2)/25)*CL131+(1-EXP(-LN(2)/25))/(LN(2)/25)*Calculateur!CG132*Calculateur!CI132*VLOOKUP('Données projet'!$B$12,Paramètres!$A$1:$I$89,3,0)*0.475*44/12</f>
        <v>1.3156800844892516</v>
      </c>
      <c r="CM132" s="21">
        <f>EXP(-LN(2)/2)*CM131+(1-EXP(-LN(2)/2))/(LN(2)/2)*CG132*CJ132*VLOOKUP('Données projet'!$B$12,Paramètres!$A$1:$I$89,3,0)*0.475*44/12</f>
        <v>4.8912864154001796E-5</v>
      </c>
      <c r="CN132" s="22">
        <f t="shared" ref="CN132:CN153" si="120">SUM(CK132:CM132)</f>
        <v>31.188809694811699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204.15575418077316</v>
      </c>
      <c r="CZ132" s="59">
        <f t="shared" si="96"/>
        <v>473.73726605265045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11.030282977943784</v>
      </c>
      <c r="DG132" s="21">
        <f>EXP(-LN(2)/25)*DG131+(1-EXP(-LN(2)/25))/(LN(2)/25)*Calculateur!DB132*Calculateur!DD132*VLOOKUP('Données projet'!$B$13,Paramètres!$A$1:$I$89,3,0)*0.475*44/12</f>
        <v>2.9499107529276918</v>
      </c>
      <c r="DH132" s="21">
        <f>EXP(-LN(2)/2)*DH131+(1-EXP(-LN(2)/2))/(LN(2)/2)*DB132*DE132*VLOOKUP('Données projet'!$B$13,Paramètres!$A$1:$I$89,3,0)*0.475*44/12</f>
        <v>6.7654712974919458E-15</v>
      </c>
      <c r="DI132" s="22">
        <f t="shared" ref="DI132:DI153" si="123">SUM(DF132:DH132)</f>
        <v>13.980193730871484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216.83230520434313</v>
      </c>
      <c r="T133" s="59">
        <f t="shared" ref="T133:T196" si="142">$T$3</f>
        <v>275.41891707278205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24.064384070652203</v>
      </c>
      <c r="AA133" s="21">
        <f>EXP(-LN(2)/25)*AA132+(1-EXP(-LN(2)/25))/(LN(2)/25)*Calculateur!V133*Calculateur!X133*VLOOKUP('Données projet'!$B$9,Paramètres!$A$1:$I$89,3,0)*0.475*44/12</f>
        <v>2.3922467380506904</v>
      </c>
      <c r="AB133" s="21">
        <f>EXP(-LN(2)/2)*AB132+(1-EXP(-LN(2)/2))/(LN(2)/2)*V133*Y133*VLOOKUP('Données projet'!$B$9,Paramètres!$A$1:$I$89,3,0)*0.475*44/12</f>
        <v>9.2314230516281265E-12</v>
      </c>
      <c r="AC133" s="22">
        <f t="shared" si="111"/>
        <v>26.456630808712124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268.00000000000011</v>
      </c>
      <c r="AJ133" s="13">
        <f>AI133*VLOOKUP('Données projet'!$B$10,Paramètres!$A$1:$I$89,3,0)*VLOOKUP('Données projet'!$B$10,Paramètres!$A$1:$I$89,5,0)</f>
        <v>271.75200000000012</v>
      </c>
      <c r="AK133" s="13">
        <f t="shared" ref="AK133:AK153" si="143">EXP(-1.0587+0.8836*LN(AJ133)+0.284)</f>
        <v>65.220947824724988</v>
      </c>
      <c r="AL133" s="20">
        <f t="shared" si="112"/>
        <v>586.89455079472953</v>
      </c>
      <c r="AM133" s="59">
        <f t="shared" si="113"/>
        <v>880.2278841280629</v>
      </c>
      <c r="AN133" s="59">
        <f ca="1">AVERAGE(OFFSET($AM$3,0,0,'Données projet'!$E$10+1,1))-AVERAGE(OFFSET($H$3,0,0,'Données projet'!$E$10+1,1))</f>
        <v>292.42154837691379</v>
      </c>
      <c r="AO133" s="59">
        <f t="shared" ref="AO133:AO196" si="144">$AO$3</f>
        <v>193.18009444354601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53.639016054040702</v>
      </c>
      <c r="AV133" s="21">
        <f>EXP(-LN(2)/25)*AV132+(1-EXP(-LN(2)/25))/(LN(2)/25)*Calculateur!AQ133*Calculateur!AS133*VLOOKUP('Données projet'!$B$10,Paramètres!$A$1:$I$89,3,0)*0.475*44/12</f>
        <v>2.1006699598902658</v>
      </c>
      <c r="AW133" s="21">
        <f>EXP(-LN(2)/2)*AW132+(1-EXP(-LN(2)/2))/(LN(2)/2)*AQ133*AT133*VLOOKUP('Données projet'!$B$10,Paramètres!$A$1:$I$89,3,0)*0.475*44/12</f>
        <v>3.7512064921108076E-2</v>
      </c>
      <c r="AX133" s="21">
        <f t="shared" si="114"/>
        <v>55.777198078852081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322</v>
      </c>
      <c r="BE133" s="13">
        <f>BD133*VLOOKUP('Données projet'!$B$11,Paramètres!$A$1:$I$89,3,0)*VLOOKUP('Données projet'!$B$11,Paramètres!$A$1:$I$89,5,0)</f>
        <v>306.41519999999997</v>
      </c>
      <c r="BF133" s="13">
        <f t="shared" ref="BF133:BF153" si="145">EXP(-1.0587+0.8836*LN(BE133)+0.284)</f>
        <v>72.519675217547672</v>
      </c>
      <c r="BG133" s="20">
        <f t="shared" si="115"/>
        <v>659.9782410038955</v>
      </c>
      <c r="BH133" s="59">
        <f t="shared" si="116"/>
        <v>953.31157433722888</v>
      </c>
      <c r="BI133" s="59">
        <f ca="1">AVERAGE(OFFSET($BH$3,0,0,'Données projet'!$E$11+1,1))-AVERAGE(OFFSET($H$3,0,0,'Données projet'!$E$11+1,1))</f>
        <v>339.00921630742886</v>
      </c>
      <c r="BJ133" s="59">
        <f t="shared" ref="BJ133:BJ196" si="146">$BJ$3</f>
        <v>314.95763895978303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20.944780101121133</v>
      </c>
      <c r="BQ133" s="21">
        <f>EXP(-LN(2)/25)*BQ132+(1-EXP(-LN(2)/25))/(LN(2)/25)*Calculateur!BL133*Calculateur!BN133*VLOOKUP('Données projet'!$B$11,Paramètres!$A$1:$I$89,3,0)*0.475*44/12</f>
        <v>0.8058429516706167</v>
      </c>
      <c r="BR133" s="21">
        <f>EXP(-LN(2)/2)*BR132+(1-EXP(-LN(2)/2))/(LN(2)/2)*BL133*BO133*VLOOKUP('Données projet'!$B$11,Paramètres!$A$1:$I$89,3,0)*0.475*44/12</f>
        <v>2.2295259553285081E-7</v>
      </c>
      <c r="BS133" s="22">
        <f t="shared" si="117"/>
        <v>21.750623275744346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296.99999999999983</v>
      </c>
      <c r="BZ133" s="13">
        <f>BY133*VLOOKUP('Données projet'!$B$12,Paramètres!$A$1:$I$89,3,0)*VLOOKUP('Données projet'!$B$12,Paramètres!$A$1:$I$89,5,0)</f>
        <v>254.82599999999988</v>
      </c>
      <c r="CA133" s="13">
        <f t="shared" ref="CA133:CA153" si="147">EXP(-1.0587+0.8836*LN(BZ133)+0.284)</f>
        <v>61.61820333959453</v>
      </c>
      <c r="CB133" s="20">
        <f t="shared" si="118"/>
        <v>551.1403208164603</v>
      </c>
      <c r="CC133" s="59">
        <f t="shared" si="119"/>
        <v>844.47365414979367</v>
      </c>
      <c r="CD133" s="59">
        <f ca="1">AVERAGE(OFFSET($CC$3,0,0,'Données projet'!$E$12+1,1))-AVERAGE(OFFSET($H$3,0,0,'Données projet'!$E$12+1,1))</f>
        <v>204.6927427024138</v>
      </c>
      <c r="CE133" s="59">
        <f t="shared" ref="CE133:CE196" si="148">$CE$3</f>
        <v>115.74231133146816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29.287287805761206</v>
      </c>
      <c r="CL133" s="21">
        <f>EXP(-LN(2)/25)*CL132+(1-EXP(-LN(2)/25))/(LN(2)/25)*Calculateur!CG133*Calculateur!CI133*VLOOKUP('Données projet'!$B$12,Paramètres!$A$1:$I$89,3,0)*0.475*44/12</f>
        <v>1.2797027433902843</v>
      </c>
      <c r="CM133" s="21">
        <f>EXP(-LN(2)/2)*CM132+(1-EXP(-LN(2)/2))/(LN(2)/2)*CG133*CJ133*VLOOKUP('Données projet'!$B$12,Paramètres!$A$1:$I$89,3,0)*0.475*44/12</f>
        <v>3.4586617930551072E-5</v>
      </c>
      <c r="CN133" s="22">
        <f t="shared" si="120"/>
        <v>30.567025135769423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204.15575418077316</v>
      </c>
      <c r="CZ133" s="59">
        <f t="shared" ref="CZ133:CZ196" si="150">$CZ$3</f>
        <v>473.73726605265045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10.813985856554607</v>
      </c>
      <c r="DG133" s="21">
        <f>EXP(-LN(2)/25)*DG132+(1-EXP(-LN(2)/25))/(LN(2)/25)*Calculateur!DB133*Calculateur!DD133*VLOOKUP('Données projet'!$B$13,Paramètres!$A$1:$I$89,3,0)*0.475*44/12</f>
        <v>2.8692452882598198</v>
      </c>
      <c r="DH133" s="21">
        <f>EXP(-LN(2)/2)*DH132+(1-EXP(-LN(2)/2))/(LN(2)/2)*DB133*DE133*VLOOKUP('Données projet'!$B$13,Paramètres!$A$1:$I$89,3,0)*0.475*44/12</f>
        <v>4.783910632379505E-15</v>
      </c>
      <c r="DI133" s="22">
        <f t="shared" si="123"/>
        <v>13.683231144814433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216.83230520434313</v>
      </c>
      <c r="T134" s="59">
        <f t="shared" si="142"/>
        <v>275.41891707278205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23.592496176851682</v>
      </c>
      <c r="AA134" s="21">
        <f>EXP(-LN(2)/25)*AA133+(1-EXP(-LN(2)/25))/(LN(2)/25)*Calculateur!V134*Calculateur!X134*VLOOKUP('Données projet'!$B$9,Paramètres!$A$1:$I$89,3,0)*0.475*44/12</f>
        <v>2.3268306251959059</v>
      </c>
      <c r="AB134" s="21">
        <f>EXP(-LN(2)/2)*AB133+(1-EXP(-LN(2)/2))/(LN(2)/2)*V134*Y134*VLOOKUP('Données projet'!$B$9,Paramètres!$A$1:$I$89,3,0)*0.475*44/12</f>
        <v>6.5276018398080605E-12</v>
      </c>
      <c r="AC134" s="22">
        <f t="shared" si="111"/>
        <v>25.919326802054115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268.00000000000011</v>
      </c>
      <c r="AJ134" s="13">
        <f>AI134*VLOOKUP('Données projet'!$B$10,Paramètres!$A$1:$I$89,3,0)*VLOOKUP('Données projet'!$B$10,Paramètres!$A$1:$I$89,5,0)</f>
        <v>271.75200000000012</v>
      </c>
      <c r="AK134" s="13">
        <f t="shared" si="143"/>
        <v>65.220947824724988</v>
      </c>
      <c r="AL134" s="20">
        <f t="shared" si="112"/>
        <v>586.89455079472953</v>
      </c>
      <c r="AM134" s="59">
        <f t="shared" si="113"/>
        <v>880.2278841280629</v>
      </c>
      <c r="AN134" s="59">
        <f ca="1">AVERAGE(OFFSET($AM$3,0,0,'Données projet'!$E$10+1,1))-AVERAGE(OFFSET($H$3,0,0,'Données projet'!$E$10+1,1))</f>
        <v>292.42154837691379</v>
      </c>
      <c r="AO134" s="59">
        <f t="shared" si="144"/>
        <v>193.18009444354601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52.587187665790267</v>
      </c>
      <c r="AV134" s="21">
        <f>EXP(-LN(2)/25)*AV133+(1-EXP(-LN(2)/25))/(LN(2)/25)*Calculateur!AQ134*Calculateur!AS134*VLOOKUP('Données projet'!$B$10,Paramètres!$A$1:$I$89,3,0)*0.475*44/12</f>
        <v>2.0432270293676345</v>
      </c>
      <c r="AW134" s="21">
        <f>EXP(-LN(2)/2)*AW133+(1-EXP(-LN(2)/2))/(LN(2)/2)*AQ134*AT134*VLOOKUP('Données projet'!$B$10,Paramètres!$A$1:$I$89,3,0)*0.475*44/12</f>
        <v>2.6525035482025536E-2</v>
      </c>
      <c r="AX134" s="21">
        <f t="shared" si="114"/>
        <v>54.656939730639927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322</v>
      </c>
      <c r="BE134" s="13">
        <f>BD134*VLOOKUP('Données projet'!$B$11,Paramètres!$A$1:$I$89,3,0)*VLOOKUP('Données projet'!$B$11,Paramètres!$A$1:$I$89,5,0)</f>
        <v>306.41519999999997</v>
      </c>
      <c r="BF134" s="13">
        <f t="shared" si="145"/>
        <v>72.519675217547672</v>
      </c>
      <c r="BG134" s="20">
        <f t="shared" si="115"/>
        <v>659.9782410038955</v>
      </c>
      <c r="BH134" s="59">
        <f t="shared" si="116"/>
        <v>953.31157433722888</v>
      </c>
      <c r="BI134" s="59">
        <f ca="1">AVERAGE(OFFSET($BH$3,0,0,'Données projet'!$E$11+1,1))-AVERAGE(OFFSET($H$3,0,0,'Données projet'!$E$11+1,1))</f>
        <v>339.00921630742886</v>
      </c>
      <c r="BJ134" s="59">
        <f t="shared" si="146"/>
        <v>314.95763895978303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20.534065738392577</v>
      </c>
      <c r="BQ134" s="21">
        <f>EXP(-LN(2)/25)*BQ133+(1-EXP(-LN(2)/25))/(LN(2)/25)*Calculateur!BL134*Calculateur!BN134*VLOOKUP('Données projet'!$B$11,Paramètres!$A$1:$I$89,3,0)*0.475*44/12</f>
        <v>0.78380713377974465</v>
      </c>
      <c r="BR134" s="21">
        <f>EXP(-LN(2)/2)*BR133+(1-EXP(-LN(2)/2))/(LN(2)/2)*BL134*BO134*VLOOKUP('Données projet'!$B$11,Paramètres!$A$1:$I$89,3,0)*0.475*44/12</f>
        <v>1.5765129218442037E-7</v>
      </c>
      <c r="BS134" s="22">
        <f t="shared" si="117"/>
        <v>21.317873029823616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296.99999999999983</v>
      </c>
      <c r="BZ134" s="13">
        <f>BY134*VLOOKUP('Données projet'!$B$12,Paramètres!$A$1:$I$89,3,0)*VLOOKUP('Données projet'!$B$12,Paramètres!$A$1:$I$89,5,0)</f>
        <v>254.82599999999988</v>
      </c>
      <c r="CA134" s="13">
        <f t="shared" si="147"/>
        <v>61.61820333959453</v>
      </c>
      <c r="CB134" s="20">
        <f t="shared" si="118"/>
        <v>551.1403208164603</v>
      </c>
      <c r="CC134" s="59">
        <f t="shared" si="119"/>
        <v>844.47365414979367</v>
      </c>
      <c r="CD134" s="59">
        <f ca="1">AVERAGE(OFFSET($CC$3,0,0,'Données projet'!$E$12+1,1))-AVERAGE(OFFSET($H$3,0,0,'Données projet'!$E$12+1,1))</f>
        <v>204.6927427024138</v>
      </c>
      <c r="CE134" s="59">
        <f t="shared" si="148"/>
        <v>115.74231133146816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28.712981955371919</v>
      </c>
      <c r="CL134" s="21">
        <f>EXP(-LN(2)/25)*CL133+(1-EXP(-LN(2)/25))/(LN(2)/25)*Calculateur!CG134*Calculateur!CI134*VLOOKUP('Données projet'!$B$12,Paramètres!$A$1:$I$89,3,0)*0.475*44/12</f>
        <v>1.2447092045756345</v>
      </c>
      <c r="CM134" s="21">
        <f>EXP(-LN(2)/2)*CM133+(1-EXP(-LN(2)/2))/(LN(2)/2)*CG134*CJ134*VLOOKUP('Données projet'!$B$12,Paramètres!$A$1:$I$89,3,0)*0.475*44/12</f>
        <v>2.4456432077000898E-5</v>
      </c>
      <c r="CN134" s="22">
        <f t="shared" si="120"/>
        <v>29.95771561637963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204.15575418077316</v>
      </c>
      <c r="CZ134" s="59">
        <f t="shared" si="150"/>
        <v>473.73726605265045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10.601930189787655</v>
      </c>
      <c r="DG134" s="21">
        <f>EXP(-LN(2)/25)*DG133+(1-EXP(-LN(2)/25))/(LN(2)/25)*Calculateur!DB134*Calculateur!DD134*VLOOKUP('Données projet'!$B$13,Paramètres!$A$1:$I$89,3,0)*0.475*44/12</f>
        <v>2.7907856249653031</v>
      </c>
      <c r="DH134" s="21">
        <f>EXP(-LN(2)/2)*DH133+(1-EXP(-LN(2)/2))/(LN(2)/2)*DB134*DE134*VLOOKUP('Données projet'!$B$13,Paramètres!$A$1:$I$89,3,0)*0.475*44/12</f>
        <v>3.3827356487459729E-15</v>
      </c>
      <c r="DI134" s="22">
        <f t="shared" si="123"/>
        <v>13.392715814752961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216.83230520434313</v>
      </c>
      <c r="T135" s="59">
        <f t="shared" si="142"/>
        <v>275.41891707278205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23.129861716825395</v>
      </c>
      <c r="AA135" s="21">
        <f>EXP(-LN(2)/25)*AA134+(1-EXP(-LN(2)/25))/(LN(2)/25)*Calculateur!V135*Calculateur!X135*VLOOKUP('Données projet'!$B$9,Paramètres!$A$1:$I$89,3,0)*0.475*44/12</f>
        <v>2.2632033193872192</v>
      </c>
      <c r="AB135" s="21">
        <f>EXP(-LN(2)/2)*AB134+(1-EXP(-LN(2)/2))/(LN(2)/2)*V135*Y135*VLOOKUP('Données projet'!$B$9,Paramètres!$A$1:$I$89,3,0)*0.475*44/12</f>
        <v>4.6157115258140633E-12</v>
      </c>
      <c r="AC135" s="22">
        <f t="shared" si="111"/>
        <v>25.39306503621723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268.00000000000011</v>
      </c>
      <c r="AJ135" s="13">
        <f>AI135*VLOOKUP('Données projet'!$B$10,Paramètres!$A$1:$I$89,3,0)*VLOOKUP('Données projet'!$B$10,Paramètres!$A$1:$I$89,5,0)</f>
        <v>271.75200000000012</v>
      </c>
      <c r="AK135" s="13">
        <f t="shared" si="143"/>
        <v>65.220947824724988</v>
      </c>
      <c r="AL135" s="20">
        <f t="shared" si="112"/>
        <v>586.89455079472953</v>
      </c>
      <c r="AM135" s="59">
        <f t="shared" si="113"/>
        <v>880.2278841280629</v>
      </c>
      <c r="AN135" s="59">
        <f ca="1">AVERAGE(OFFSET($AM$3,0,0,'Données projet'!$E$10+1,1))-AVERAGE(OFFSET($H$3,0,0,'Données projet'!$E$10+1,1))</f>
        <v>292.42154837691379</v>
      </c>
      <c r="AO135" s="59">
        <f t="shared" si="144"/>
        <v>193.18009444354601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51.555984990681452</v>
      </c>
      <c r="AV135" s="21">
        <f>EXP(-LN(2)/25)*AV134+(1-EXP(-LN(2)/25))/(LN(2)/25)*Calculateur!AQ135*Calculateur!AS135*VLOOKUP('Données projet'!$B$10,Paramètres!$A$1:$I$89,3,0)*0.475*44/12</f>
        <v>1.987354878800937</v>
      </c>
      <c r="AW135" s="21">
        <f>EXP(-LN(2)/2)*AW134+(1-EXP(-LN(2)/2))/(LN(2)/2)*AQ135*AT135*VLOOKUP('Données projet'!$B$10,Paramètres!$A$1:$I$89,3,0)*0.475*44/12</f>
        <v>1.8756032460554042E-2</v>
      </c>
      <c r="AX135" s="21">
        <f t="shared" si="114"/>
        <v>53.562095901942939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322</v>
      </c>
      <c r="BE135" s="13">
        <f>BD135*VLOOKUP('Données projet'!$B$11,Paramètres!$A$1:$I$89,3,0)*VLOOKUP('Données projet'!$B$11,Paramètres!$A$1:$I$89,5,0)</f>
        <v>306.41519999999997</v>
      </c>
      <c r="BF135" s="13">
        <f t="shared" si="145"/>
        <v>72.519675217547672</v>
      </c>
      <c r="BG135" s="20">
        <f t="shared" si="115"/>
        <v>659.9782410038955</v>
      </c>
      <c r="BH135" s="59">
        <f t="shared" si="116"/>
        <v>953.31157433722888</v>
      </c>
      <c r="BI135" s="59">
        <f ca="1">AVERAGE(OFFSET($BH$3,0,0,'Données projet'!$E$11+1,1))-AVERAGE(OFFSET($H$3,0,0,'Données projet'!$E$11+1,1))</f>
        <v>339.00921630742886</v>
      </c>
      <c r="BJ135" s="59">
        <f t="shared" si="146"/>
        <v>314.95763895978303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20.131405233806102</v>
      </c>
      <c r="BQ135" s="21">
        <f>EXP(-LN(2)/25)*BQ134+(1-EXP(-LN(2)/25))/(LN(2)/25)*Calculateur!BL135*Calculateur!BN135*VLOOKUP('Données projet'!$B$11,Paramètres!$A$1:$I$89,3,0)*0.475*44/12</f>
        <v>0.76237388648791182</v>
      </c>
      <c r="BR135" s="21">
        <f>EXP(-LN(2)/2)*BR134+(1-EXP(-LN(2)/2))/(LN(2)/2)*BL135*BO135*VLOOKUP('Données projet'!$B$11,Paramètres!$A$1:$I$89,3,0)*0.475*44/12</f>
        <v>1.114762977664254E-7</v>
      </c>
      <c r="BS135" s="22">
        <f t="shared" si="117"/>
        <v>20.89377923177031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296.99999999999983</v>
      </c>
      <c r="BZ135" s="13">
        <f>BY135*VLOOKUP('Données projet'!$B$12,Paramètres!$A$1:$I$89,3,0)*VLOOKUP('Données projet'!$B$12,Paramètres!$A$1:$I$89,5,0)</f>
        <v>254.82599999999988</v>
      </c>
      <c r="CA135" s="13">
        <f t="shared" si="147"/>
        <v>61.61820333959453</v>
      </c>
      <c r="CB135" s="20">
        <f t="shared" si="118"/>
        <v>551.1403208164603</v>
      </c>
      <c r="CC135" s="59">
        <f t="shared" si="119"/>
        <v>844.47365414979367</v>
      </c>
      <c r="CD135" s="59">
        <f ca="1">AVERAGE(OFFSET($CC$3,0,0,'Données projet'!$E$12+1,1))-AVERAGE(OFFSET($H$3,0,0,'Données projet'!$E$12+1,1))</f>
        <v>204.6927427024138</v>
      </c>
      <c r="CE135" s="59">
        <f t="shared" si="148"/>
        <v>115.74231133146816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28.149937892416784</v>
      </c>
      <c r="CL135" s="21">
        <f>EXP(-LN(2)/25)*CL134+(1-EXP(-LN(2)/25))/(LN(2)/25)*Calculateur!CG135*Calculateur!CI135*VLOOKUP('Données projet'!$B$12,Paramètres!$A$1:$I$89,3,0)*0.475*44/12</f>
        <v>1.2106725659201014</v>
      </c>
      <c r="CM135" s="21">
        <f>EXP(-LN(2)/2)*CM134+(1-EXP(-LN(2)/2))/(LN(2)/2)*CG135*CJ135*VLOOKUP('Données projet'!$B$12,Paramètres!$A$1:$I$89,3,0)*0.475*44/12</f>
        <v>1.7293308965275536E-5</v>
      </c>
      <c r="CN135" s="22">
        <f t="shared" si="120"/>
        <v>29.36062775164585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204.15575418077316</v>
      </c>
      <c r="CZ135" s="59">
        <f t="shared" si="150"/>
        <v>473.73726605265045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10.394032805304818</v>
      </c>
      <c r="DG135" s="21">
        <f>EXP(-LN(2)/25)*DG134+(1-EXP(-LN(2)/25))/(LN(2)/25)*Calculateur!DB135*Calculateur!DD135*VLOOKUP('Données projet'!$B$13,Paramètres!$A$1:$I$89,3,0)*0.475*44/12</f>
        <v>2.7144714452895893</v>
      </c>
      <c r="DH135" s="21">
        <f>EXP(-LN(2)/2)*DH134+(1-EXP(-LN(2)/2))/(LN(2)/2)*DB135*DE135*VLOOKUP('Données projet'!$B$13,Paramètres!$A$1:$I$89,3,0)*0.475*44/12</f>
        <v>2.3919553161897525E-15</v>
      </c>
      <c r="DI135" s="22">
        <f t="shared" si="123"/>
        <v>13.108504250594409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216.83230520434313</v>
      </c>
      <c r="T136" s="59">
        <f t="shared" si="142"/>
        <v>275.41891707278205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22.676299236381066</v>
      </c>
      <c r="AA136" s="21">
        <f>EXP(-LN(2)/25)*AA135+(1-EXP(-LN(2)/25))/(LN(2)/25)*Calculateur!V136*Calculateur!X136*VLOOKUP('Données projet'!$B$9,Paramètres!$A$1:$I$89,3,0)*0.475*44/12</f>
        <v>2.2013159056018856</v>
      </c>
      <c r="AB136" s="21">
        <f>EXP(-LN(2)/2)*AB135+(1-EXP(-LN(2)/2))/(LN(2)/2)*V136*Y136*VLOOKUP('Données projet'!$B$9,Paramètres!$A$1:$I$89,3,0)*0.475*44/12</f>
        <v>3.2638009199040303E-12</v>
      </c>
      <c r="AC136" s="22">
        <f t="shared" si="111"/>
        <v>24.877615141986215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268.00000000000011</v>
      </c>
      <c r="AJ136" s="13">
        <f>AI136*VLOOKUP('Données projet'!$B$10,Paramètres!$A$1:$I$89,3,0)*VLOOKUP('Données projet'!$B$10,Paramètres!$A$1:$I$89,5,0)</f>
        <v>271.75200000000012</v>
      </c>
      <c r="AK136" s="13">
        <f t="shared" si="143"/>
        <v>65.220947824724988</v>
      </c>
      <c r="AL136" s="20">
        <f t="shared" si="112"/>
        <v>586.89455079472953</v>
      </c>
      <c r="AM136" s="59">
        <f t="shared" si="113"/>
        <v>880.2278841280629</v>
      </c>
      <c r="AN136" s="59">
        <f ca="1">AVERAGE(OFFSET($AM$3,0,0,'Données projet'!$E$10+1,1))-AVERAGE(OFFSET($H$3,0,0,'Données projet'!$E$10+1,1))</f>
        <v>292.42154837691379</v>
      </c>
      <c r="AO136" s="59">
        <f t="shared" si="144"/>
        <v>193.18009444354601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50.545003571059993</v>
      </c>
      <c r="AV136" s="21">
        <f>EXP(-LN(2)/25)*AV135+(1-EXP(-LN(2)/25))/(LN(2)/25)*Calculateur!AQ136*Calculateur!AS136*VLOOKUP('Données projet'!$B$10,Paramètres!$A$1:$I$89,3,0)*0.475*44/12</f>
        <v>1.9330105551296743</v>
      </c>
      <c r="AW136" s="21">
        <f>EXP(-LN(2)/2)*AW135+(1-EXP(-LN(2)/2))/(LN(2)/2)*AQ136*AT136*VLOOKUP('Données projet'!$B$10,Paramètres!$A$1:$I$89,3,0)*0.475*44/12</f>
        <v>1.326251774101277E-2</v>
      </c>
      <c r="AX136" s="21">
        <f t="shared" si="114"/>
        <v>52.491276643930682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322</v>
      </c>
      <c r="BE136" s="13">
        <f>BD136*VLOOKUP('Données projet'!$B$11,Paramètres!$A$1:$I$89,3,0)*VLOOKUP('Données projet'!$B$11,Paramètres!$A$1:$I$89,5,0)</f>
        <v>306.41519999999997</v>
      </c>
      <c r="BF136" s="13">
        <f t="shared" si="145"/>
        <v>72.519675217547672</v>
      </c>
      <c r="BG136" s="20">
        <f t="shared" si="115"/>
        <v>659.9782410038955</v>
      </c>
      <c r="BH136" s="59">
        <f t="shared" si="116"/>
        <v>953.31157433722888</v>
      </c>
      <c r="BI136" s="59">
        <f ca="1">AVERAGE(OFFSET($BH$3,0,0,'Données projet'!$E$11+1,1))-AVERAGE(OFFSET($H$3,0,0,'Données projet'!$E$11+1,1))</f>
        <v>339.00921630742886</v>
      </c>
      <c r="BJ136" s="59">
        <f t="shared" si="146"/>
        <v>314.95763895978303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19.736640656115913</v>
      </c>
      <c r="BQ136" s="21">
        <f>EXP(-LN(2)/25)*BQ135+(1-EXP(-LN(2)/25))/(LN(2)/25)*Calculateur!BL136*Calculateur!BN136*VLOOKUP('Données projet'!$B$11,Paramètres!$A$1:$I$89,3,0)*0.475*44/12</f>
        <v>0.74152673247039957</v>
      </c>
      <c r="BR136" s="21">
        <f>EXP(-LN(2)/2)*BR135+(1-EXP(-LN(2)/2))/(LN(2)/2)*BL136*BO136*VLOOKUP('Données projet'!$B$11,Paramètres!$A$1:$I$89,3,0)*0.475*44/12</f>
        <v>7.8825646092210184E-8</v>
      </c>
      <c r="BS136" s="22">
        <f t="shared" si="117"/>
        <v>20.478167467411961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296.99999999999983</v>
      </c>
      <c r="BZ136" s="13">
        <f>BY136*VLOOKUP('Données projet'!$B$12,Paramètres!$A$1:$I$89,3,0)*VLOOKUP('Données projet'!$B$12,Paramètres!$A$1:$I$89,5,0)</f>
        <v>254.82599999999988</v>
      </c>
      <c r="CA136" s="13">
        <f t="shared" si="147"/>
        <v>61.61820333959453</v>
      </c>
      <c r="CB136" s="20">
        <f t="shared" si="118"/>
        <v>551.1403208164603</v>
      </c>
      <c r="CC136" s="59">
        <f t="shared" si="119"/>
        <v>844.47365414979367</v>
      </c>
      <c r="CD136" s="59">
        <f ca="1">AVERAGE(OFFSET($CC$3,0,0,'Données projet'!$E$12+1,1))-AVERAGE(OFFSET($H$3,0,0,'Données projet'!$E$12+1,1))</f>
        <v>204.6927427024138</v>
      </c>
      <c r="CE136" s="59">
        <f t="shared" si="148"/>
        <v>115.74231133146816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27.597934780113231</v>
      </c>
      <c r="CL136" s="21">
        <f>EXP(-LN(2)/25)*CL135+(1-EXP(-LN(2)/25))/(LN(2)/25)*Calculateur!CG136*Calculateur!CI136*VLOOKUP('Données projet'!$B$12,Paramètres!$A$1:$I$89,3,0)*0.475*44/12</f>
        <v>1.1775666609385131</v>
      </c>
      <c r="CM136" s="21">
        <f>EXP(-LN(2)/2)*CM135+(1-EXP(-LN(2)/2))/(LN(2)/2)*CG136*CJ136*VLOOKUP('Données projet'!$B$12,Paramètres!$A$1:$I$89,3,0)*0.475*44/12</f>
        <v>1.2228216038500449E-5</v>
      </c>
      <c r="CN136" s="22">
        <f t="shared" si="120"/>
        <v>28.775513669267784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204.15575418077316</v>
      </c>
      <c r="CZ136" s="59">
        <f t="shared" si="150"/>
        <v>473.73726605265045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10.190212161726805</v>
      </c>
      <c r="DG136" s="21">
        <f>EXP(-LN(2)/25)*DG135+(1-EXP(-LN(2)/25))/(LN(2)/25)*Calculateur!DB136*Calculateur!DD136*VLOOKUP('Données projet'!$B$13,Paramètres!$A$1:$I$89,3,0)*0.475*44/12</f>
        <v>2.6402440808702963</v>
      </c>
      <c r="DH136" s="21">
        <f>EXP(-LN(2)/2)*DH135+(1-EXP(-LN(2)/2))/(LN(2)/2)*DB136*DE136*VLOOKUP('Données projet'!$B$13,Paramètres!$A$1:$I$89,3,0)*0.475*44/12</f>
        <v>1.6913678243729864E-15</v>
      </c>
      <c r="DI136" s="22">
        <f t="shared" si="123"/>
        <v>12.830456242597103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216.83230520434313</v>
      </c>
      <c r="T137" s="59">
        <f t="shared" si="142"/>
        <v>275.41891707278205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22.231630839532453</v>
      </c>
      <c r="AA137" s="21">
        <f>EXP(-LN(2)/25)*AA136+(1-EXP(-LN(2)/25))/(LN(2)/25)*Calculateur!V137*Calculateur!X137*VLOOKUP('Données projet'!$B$9,Paramètres!$A$1:$I$89,3,0)*0.475*44/12</f>
        <v>2.1411208064010299</v>
      </c>
      <c r="AB137" s="21">
        <f>EXP(-LN(2)/2)*AB136+(1-EXP(-LN(2)/2))/(LN(2)/2)*V137*Y137*VLOOKUP('Données projet'!$B$9,Paramètres!$A$1:$I$89,3,0)*0.475*44/12</f>
        <v>2.3078557629070316E-12</v>
      </c>
      <c r="AC137" s="22">
        <f t="shared" si="111"/>
        <v>24.372751645935793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268.00000000000011</v>
      </c>
      <c r="AJ137" s="13">
        <f>AI137*VLOOKUP('Données projet'!$B$10,Paramètres!$A$1:$I$89,3,0)*VLOOKUP('Données projet'!$B$10,Paramètres!$A$1:$I$89,5,0)</f>
        <v>271.75200000000012</v>
      </c>
      <c r="AK137" s="13">
        <f t="shared" si="143"/>
        <v>65.220947824724988</v>
      </c>
      <c r="AL137" s="20">
        <f t="shared" si="112"/>
        <v>586.89455079472953</v>
      </c>
      <c r="AM137" s="59">
        <f t="shared" si="113"/>
        <v>880.2278841280629</v>
      </c>
      <c r="AN137" s="59">
        <f ca="1">AVERAGE(OFFSET($AM$3,0,0,'Données projet'!$E$10+1,1))-AVERAGE(OFFSET($H$3,0,0,'Données projet'!$E$10+1,1))</f>
        <v>292.42154837691379</v>
      </c>
      <c r="AO137" s="59">
        <f t="shared" si="144"/>
        <v>193.18009444354601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49.553846880439536</v>
      </c>
      <c r="AV137" s="21">
        <f>EXP(-LN(2)/25)*AV136+(1-EXP(-LN(2)/25))/(LN(2)/25)*Calculateur!AQ137*Calculateur!AS137*VLOOKUP('Données projet'!$B$10,Paramètres!$A$1:$I$89,3,0)*0.475*44/12</f>
        <v>1.8801522798470462</v>
      </c>
      <c r="AW137" s="21">
        <f>EXP(-LN(2)/2)*AW136+(1-EXP(-LN(2)/2))/(LN(2)/2)*AQ137*AT137*VLOOKUP('Données projet'!$B$10,Paramètres!$A$1:$I$89,3,0)*0.475*44/12</f>
        <v>9.3780162302770226E-3</v>
      </c>
      <c r="AX137" s="21">
        <f t="shared" si="114"/>
        <v>51.443377176516861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322</v>
      </c>
      <c r="BE137" s="13">
        <f>BD137*VLOOKUP('Données projet'!$B$11,Paramètres!$A$1:$I$89,3,0)*VLOOKUP('Données projet'!$B$11,Paramètres!$A$1:$I$89,5,0)</f>
        <v>306.41519999999997</v>
      </c>
      <c r="BF137" s="13">
        <f t="shared" si="145"/>
        <v>72.519675217547672</v>
      </c>
      <c r="BG137" s="20">
        <f t="shared" si="115"/>
        <v>659.9782410038955</v>
      </c>
      <c r="BH137" s="59">
        <f t="shared" si="116"/>
        <v>953.31157433722888</v>
      </c>
      <c r="BI137" s="59">
        <f ca="1">AVERAGE(OFFSET($BH$3,0,0,'Données projet'!$E$11+1,1))-AVERAGE(OFFSET($H$3,0,0,'Données projet'!$E$11+1,1))</f>
        <v>339.00921630742886</v>
      </c>
      <c r="BJ137" s="59">
        <f t="shared" si="146"/>
        <v>314.95763895978303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19.349617171011612</v>
      </c>
      <c r="BQ137" s="21">
        <f>EXP(-LN(2)/25)*BQ136+(1-EXP(-LN(2)/25))/(LN(2)/25)*Calculateur!BL137*Calculateur!BN137*VLOOKUP('Données projet'!$B$11,Paramètres!$A$1:$I$89,3,0)*0.475*44/12</f>
        <v>0.72124964497580046</v>
      </c>
      <c r="BR137" s="21">
        <f>EXP(-LN(2)/2)*BR136+(1-EXP(-LN(2)/2))/(LN(2)/2)*BL137*BO137*VLOOKUP('Données projet'!$B$11,Paramètres!$A$1:$I$89,3,0)*0.475*44/12</f>
        <v>5.5738148883212702E-8</v>
      </c>
      <c r="BS137" s="22">
        <f t="shared" si="117"/>
        <v>20.07086687172556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296.99999999999983</v>
      </c>
      <c r="BZ137" s="13">
        <f>BY137*VLOOKUP('Données projet'!$B$12,Paramètres!$A$1:$I$89,3,0)*VLOOKUP('Données projet'!$B$12,Paramètres!$A$1:$I$89,5,0)</f>
        <v>254.82599999999988</v>
      </c>
      <c r="CA137" s="13">
        <f t="shared" si="147"/>
        <v>61.61820333959453</v>
      </c>
      <c r="CB137" s="20">
        <f t="shared" si="118"/>
        <v>551.1403208164603</v>
      </c>
      <c r="CC137" s="59">
        <f t="shared" si="119"/>
        <v>844.47365414979367</v>
      </c>
      <c r="CD137" s="59">
        <f ca="1">AVERAGE(OFFSET($CC$3,0,0,'Données projet'!$E$12+1,1))-AVERAGE(OFFSET($H$3,0,0,'Données projet'!$E$12+1,1))</f>
        <v>204.6927427024138</v>
      </c>
      <c r="CE137" s="59">
        <f t="shared" si="148"/>
        <v>115.74231133146816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27.056756112153298</v>
      </c>
      <c r="CL137" s="21">
        <f>EXP(-LN(2)/25)*CL136+(1-EXP(-LN(2)/25))/(LN(2)/25)*Calculateur!CG137*Calculateur!CI137*VLOOKUP('Données projet'!$B$12,Paramètres!$A$1:$I$89,3,0)*0.475*44/12</f>
        <v>1.1453660386696101</v>
      </c>
      <c r="CM137" s="21">
        <f>EXP(-LN(2)/2)*CM136+(1-EXP(-LN(2)/2))/(LN(2)/2)*CG137*CJ137*VLOOKUP('Données projet'!$B$12,Paramètres!$A$1:$I$89,3,0)*0.475*44/12</f>
        <v>8.646654482637768E-6</v>
      </c>
      <c r="CN137" s="22">
        <f t="shared" si="120"/>
        <v>28.202130797477391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204.15575418077316</v>
      </c>
      <c r="CZ137" s="59">
        <f t="shared" si="150"/>
        <v>473.73726605265045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9.990388316651039</v>
      </c>
      <c r="DG137" s="21">
        <f>EXP(-LN(2)/25)*DG136+(1-EXP(-LN(2)/25))/(LN(2)/25)*Calculateur!DB137*Calculateur!DD137*VLOOKUP('Données projet'!$B$13,Paramètres!$A$1:$I$89,3,0)*0.475*44/12</f>
        <v>2.5680464676344963</v>
      </c>
      <c r="DH137" s="21">
        <f>EXP(-LN(2)/2)*DH136+(1-EXP(-LN(2)/2))/(LN(2)/2)*DB137*DE137*VLOOKUP('Données projet'!$B$13,Paramètres!$A$1:$I$89,3,0)*0.475*44/12</f>
        <v>1.1959776580948762E-15</v>
      </c>
      <c r="DI137" s="22">
        <f t="shared" si="123"/>
        <v>12.558434784285536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216.83230520434313</v>
      </c>
      <c r="T138" s="59">
        <f t="shared" si="142"/>
        <v>275.41891707278205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21.7956821187251</v>
      </c>
      <c r="AA138" s="21">
        <f>EXP(-LN(2)/25)*AA137+(1-EXP(-LN(2)/25))/(LN(2)/25)*Calculateur!V138*Calculateur!X138*VLOOKUP('Données projet'!$B$9,Paramètres!$A$1:$I$89,3,0)*0.475*44/12</f>
        <v>2.0825717453533441</v>
      </c>
      <c r="AB138" s="21">
        <f>EXP(-LN(2)/2)*AB137+(1-EXP(-LN(2)/2))/(LN(2)/2)*V138*Y138*VLOOKUP('Données projet'!$B$9,Paramètres!$A$1:$I$89,3,0)*0.475*44/12</f>
        <v>1.6319004599520151E-12</v>
      </c>
      <c r="AC138" s="22">
        <f t="shared" si="111"/>
        <v>23.878253864080076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268.00000000000011</v>
      </c>
      <c r="AJ138" s="13">
        <f>AI138*VLOOKUP('Données projet'!$B$10,Paramètres!$A$1:$I$89,3,0)*VLOOKUP('Données projet'!$B$10,Paramètres!$A$1:$I$89,5,0)</f>
        <v>271.75200000000012</v>
      </c>
      <c r="AK138" s="13">
        <f t="shared" si="143"/>
        <v>65.220947824724988</v>
      </c>
      <c r="AL138" s="20">
        <f t="shared" si="112"/>
        <v>586.89455079472953</v>
      </c>
      <c r="AM138" s="59">
        <f t="shared" si="113"/>
        <v>880.2278841280629</v>
      </c>
      <c r="AN138" s="59">
        <f ca="1">AVERAGE(OFFSET($AM$3,0,0,'Données projet'!$E$10+1,1))-AVERAGE(OFFSET($H$3,0,0,'Données projet'!$E$10+1,1))</f>
        <v>292.42154837691379</v>
      </c>
      <c r="AO138" s="59">
        <f t="shared" si="144"/>
        <v>193.18009444354601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48.582126167976256</v>
      </c>
      <c r="AV138" s="21">
        <f>EXP(-LN(2)/25)*AV137+(1-EXP(-LN(2)/25))/(LN(2)/25)*Calculateur!AQ138*Calculateur!AS138*VLOOKUP('Données projet'!$B$10,Paramètres!$A$1:$I$89,3,0)*0.475*44/12</f>
        <v>1.8287394168817175</v>
      </c>
      <c r="AW138" s="21">
        <f>EXP(-LN(2)/2)*AW137+(1-EXP(-LN(2)/2))/(LN(2)/2)*AQ138*AT138*VLOOKUP('Données projet'!$B$10,Paramètres!$A$1:$I$89,3,0)*0.475*44/12</f>
        <v>6.6312588705063867E-3</v>
      </c>
      <c r="AX138" s="21">
        <f t="shared" si="114"/>
        <v>50.417496843728479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322</v>
      </c>
      <c r="BE138" s="13">
        <f>BD138*VLOOKUP('Données projet'!$B$11,Paramètres!$A$1:$I$89,3,0)*VLOOKUP('Données projet'!$B$11,Paramètres!$A$1:$I$89,5,0)</f>
        <v>306.41519999999997</v>
      </c>
      <c r="BF138" s="13">
        <f t="shared" si="145"/>
        <v>72.519675217547672</v>
      </c>
      <c r="BG138" s="20">
        <f t="shared" si="115"/>
        <v>659.9782410038955</v>
      </c>
      <c r="BH138" s="59">
        <f t="shared" si="116"/>
        <v>953.31157433722888</v>
      </c>
      <c r="BI138" s="59">
        <f ca="1">AVERAGE(OFFSET($BH$3,0,0,'Données projet'!$E$11+1,1))-AVERAGE(OFFSET($H$3,0,0,'Données projet'!$E$11+1,1))</f>
        <v>339.00921630742886</v>
      </c>
      <c r="BJ138" s="59">
        <f t="shared" si="146"/>
        <v>314.95763895978303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18.97018298038919</v>
      </c>
      <c r="BQ138" s="21">
        <f>EXP(-LN(2)/25)*BQ137+(1-EXP(-LN(2)/25))/(LN(2)/25)*Calculateur!BL138*Calculateur!BN138*VLOOKUP('Données projet'!$B$11,Paramètres!$A$1:$I$89,3,0)*0.475*44/12</f>
        <v>0.70152703550506679</v>
      </c>
      <c r="BR138" s="21">
        <f>EXP(-LN(2)/2)*BR137+(1-EXP(-LN(2)/2))/(LN(2)/2)*BL138*BO138*VLOOKUP('Données projet'!$B$11,Paramètres!$A$1:$I$89,3,0)*0.475*44/12</f>
        <v>3.9412823046105092E-8</v>
      </c>
      <c r="BS138" s="22">
        <f t="shared" si="117"/>
        <v>19.671710055307077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296.99999999999983</v>
      </c>
      <c r="BZ138" s="13">
        <f>BY138*VLOOKUP('Données projet'!$B$12,Paramètres!$A$1:$I$89,3,0)*VLOOKUP('Données projet'!$B$12,Paramètres!$A$1:$I$89,5,0)</f>
        <v>254.82599999999988</v>
      </c>
      <c r="CA138" s="13">
        <f t="shared" si="147"/>
        <v>61.61820333959453</v>
      </c>
      <c r="CB138" s="20">
        <f t="shared" si="118"/>
        <v>551.1403208164603</v>
      </c>
      <c r="CC138" s="59">
        <f t="shared" si="119"/>
        <v>844.47365414979367</v>
      </c>
      <c r="CD138" s="59">
        <f ca="1">AVERAGE(OFFSET($CC$3,0,0,'Données projet'!$E$12+1,1))-AVERAGE(OFFSET($H$3,0,0,'Données projet'!$E$12+1,1))</f>
        <v>204.6927427024138</v>
      </c>
      <c r="CE138" s="59">
        <f t="shared" si="148"/>
        <v>115.74231133146816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26.526189627785666</v>
      </c>
      <c r="CL138" s="21">
        <f>EXP(-LN(2)/25)*CL137+(1-EXP(-LN(2)/25))/(LN(2)/25)*Calculateur!CG138*Calculateur!CI138*VLOOKUP('Données projet'!$B$12,Paramètres!$A$1:$I$89,3,0)*0.475*44/12</f>
        <v>1.1140459441100075</v>
      </c>
      <c r="CM138" s="21">
        <f>EXP(-LN(2)/2)*CM137+(1-EXP(-LN(2)/2))/(LN(2)/2)*CG138*CJ138*VLOOKUP('Données projet'!$B$12,Paramètres!$A$1:$I$89,3,0)*0.475*44/12</f>
        <v>6.1141080192502246E-6</v>
      </c>
      <c r="CN138" s="22">
        <f t="shared" si="120"/>
        <v>27.640241686003691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204.15575418077316</v>
      </c>
      <c r="CZ138" s="59">
        <f t="shared" si="150"/>
        <v>473.73726605265045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9.7944828952966994</v>
      </c>
      <c r="DG138" s="21">
        <f>EXP(-LN(2)/25)*DG137+(1-EXP(-LN(2)/25))/(LN(2)/25)*Calculateur!DB138*Calculateur!DD138*VLOOKUP('Données projet'!$B$13,Paramètres!$A$1:$I$89,3,0)*0.475*44/12</f>
        <v>2.4978231019293364</v>
      </c>
      <c r="DH138" s="21">
        <f>EXP(-LN(2)/2)*DH137+(1-EXP(-LN(2)/2))/(LN(2)/2)*DB138*DE138*VLOOKUP('Données projet'!$B$13,Paramètres!$A$1:$I$89,3,0)*0.475*44/12</f>
        <v>8.4568391218649322E-16</v>
      </c>
      <c r="DI138" s="22">
        <f t="shared" si="123"/>
        <v>12.292305997226036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216.83230520434313</v>
      </c>
      <c r="T139" s="59">
        <f t="shared" si="142"/>
        <v>275.41891707278205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21.368282086430316</v>
      </c>
      <c r="AA139" s="21">
        <f>EXP(-LN(2)/25)*AA138+(1-EXP(-LN(2)/25))/(LN(2)/25)*Calculateur!V139*Calculateur!X139*VLOOKUP('Données projet'!$B$9,Paramètres!$A$1:$I$89,3,0)*0.475*44/12</f>
        <v>2.0256237114589686</v>
      </c>
      <c r="AB139" s="21">
        <f>EXP(-LN(2)/2)*AB138+(1-EXP(-LN(2)/2))/(LN(2)/2)*V139*Y139*VLOOKUP('Données projet'!$B$9,Paramètres!$A$1:$I$89,3,0)*0.475*44/12</f>
        <v>1.1539278814535158E-12</v>
      </c>
      <c r="AC139" s="22">
        <f t="shared" si="111"/>
        <v>23.39390579789044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268.00000000000011</v>
      </c>
      <c r="AJ139" s="13">
        <f>AI139*VLOOKUP('Données projet'!$B$10,Paramètres!$A$1:$I$89,3,0)*VLOOKUP('Données projet'!$B$10,Paramètres!$A$1:$I$89,5,0)</f>
        <v>271.75200000000012</v>
      </c>
      <c r="AK139" s="13">
        <f t="shared" si="143"/>
        <v>65.220947824724988</v>
      </c>
      <c r="AL139" s="20">
        <f t="shared" si="112"/>
        <v>586.89455079472953</v>
      </c>
      <c r="AM139" s="59">
        <f t="shared" si="113"/>
        <v>880.2278841280629</v>
      </c>
      <c r="AN139" s="59">
        <f ca="1">AVERAGE(OFFSET($AM$3,0,0,'Données projet'!$E$10+1,1))-AVERAGE(OFFSET($H$3,0,0,'Données projet'!$E$10+1,1))</f>
        <v>292.42154837691379</v>
      </c>
      <c r="AO139" s="59">
        <f t="shared" si="144"/>
        <v>193.18009444354601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47.62946030599327</v>
      </c>
      <c r="AV139" s="21">
        <f>EXP(-LN(2)/25)*AV138+(1-EXP(-LN(2)/25))/(LN(2)/25)*Calculateur!AQ139*Calculateur!AS139*VLOOKUP('Données projet'!$B$10,Paramètres!$A$1:$I$89,3,0)*0.475*44/12</f>
        <v>1.7787324413578607</v>
      </c>
      <c r="AW139" s="21">
        <f>EXP(-LN(2)/2)*AW138+(1-EXP(-LN(2)/2))/(LN(2)/2)*AQ139*AT139*VLOOKUP('Données projet'!$B$10,Paramètres!$A$1:$I$89,3,0)*0.475*44/12</f>
        <v>4.6890081151385122E-3</v>
      </c>
      <c r="AX139" s="21">
        <f t="shared" si="114"/>
        <v>49.412881755466266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322</v>
      </c>
      <c r="BE139" s="13">
        <f>BD139*VLOOKUP('Données projet'!$B$11,Paramètres!$A$1:$I$89,3,0)*VLOOKUP('Données projet'!$B$11,Paramètres!$A$1:$I$89,5,0)</f>
        <v>306.41519999999997</v>
      </c>
      <c r="BF139" s="13">
        <f t="shared" si="145"/>
        <v>72.519675217547672</v>
      </c>
      <c r="BG139" s="20">
        <f t="shared" si="115"/>
        <v>659.9782410038955</v>
      </c>
      <c r="BH139" s="59">
        <f t="shared" si="116"/>
        <v>953.31157433722888</v>
      </c>
      <c r="BI139" s="59">
        <f ca="1">AVERAGE(OFFSET($BH$3,0,0,'Données projet'!$E$11+1,1))-AVERAGE(OFFSET($H$3,0,0,'Données projet'!$E$11+1,1))</f>
        <v>339.00921630742886</v>
      </c>
      <c r="BJ139" s="59">
        <f t="shared" si="146"/>
        <v>314.95763895978303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18.598189262812866</v>
      </c>
      <c r="BQ139" s="21">
        <f>EXP(-LN(2)/25)*BQ138+(1-EXP(-LN(2)/25))/(LN(2)/25)*Calculateur!BL139*Calculateur!BN139*VLOOKUP('Données projet'!$B$11,Paramètres!$A$1:$I$89,3,0)*0.475*44/12</f>
        <v>0.68234374182747726</v>
      </c>
      <c r="BR139" s="21">
        <f>EXP(-LN(2)/2)*BR138+(1-EXP(-LN(2)/2))/(LN(2)/2)*BL139*BO139*VLOOKUP('Données projet'!$B$11,Paramètres!$A$1:$I$89,3,0)*0.475*44/12</f>
        <v>2.7869074441606351E-8</v>
      </c>
      <c r="BS139" s="22">
        <f t="shared" si="117"/>
        <v>19.280533032509418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296.99999999999983</v>
      </c>
      <c r="BZ139" s="13">
        <f>BY139*VLOOKUP('Données projet'!$B$12,Paramètres!$A$1:$I$89,3,0)*VLOOKUP('Données projet'!$B$12,Paramètres!$A$1:$I$89,5,0)</f>
        <v>254.82599999999988</v>
      </c>
      <c r="CA139" s="13">
        <f t="shared" si="147"/>
        <v>61.61820333959453</v>
      </c>
      <c r="CB139" s="20">
        <f t="shared" si="118"/>
        <v>551.1403208164603</v>
      </c>
      <c r="CC139" s="59">
        <f t="shared" si="119"/>
        <v>844.47365414979367</v>
      </c>
      <c r="CD139" s="59">
        <f ca="1">AVERAGE(OFFSET($CC$3,0,0,'Données projet'!$E$12+1,1))-AVERAGE(OFFSET($H$3,0,0,'Données projet'!$E$12+1,1))</f>
        <v>204.6927427024138</v>
      </c>
      <c r="CE139" s="59">
        <f t="shared" si="148"/>
        <v>115.74231133146816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26.006027228562882</v>
      </c>
      <c r="CL139" s="21">
        <f>EXP(-LN(2)/25)*CL138+(1-EXP(-LN(2)/25))/(LN(2)/25)*Calculateur!CG139*Calculateur!CI139*VLOOKUP('Données projet'!$B$12,Paramètres!$A$1:$I$89,3,0)*0.475*44/12</f>
        <v>1.0835822991831894</v>
      </c>
      <c r="CM139" s="21">
        <f>EXP(-LN(2)/2)*CM138+(1-EXP(-LN(2)/2))/(LN(2)/2)*CG139*CJ139*VLOOKUP('Données projet'!$B$12,Paramètres!$A$1:$I$89,3,0)*0.475*44/12</f>
        <v>4.323327241318884E-6</v>
      </c>
      <c r="CN139" s="22">
        <f t="shared" si="120"/>
        <v>27.089613851073313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204.15575418077316</v>
      </c>
      <c r="CZ139" s="59">
        <f t="shared" si="150"/>
        <v>473.73726605265045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9.6024190597646086</v>
      </c>
      <c r="DG139" s="21">
        <f>EXP(-LN(2)/25)*DG138+(1-EXP(-LN(2)/25))/(LN(2)/25)*Calculateur!DB139*Calculateur!DD139*VLOOKUP('Données projet'!$B$13,Paramètres!$A$1:$I$89,3,0)*0.475*44/12</f>
        <v>2.4295199978522706</v>
      </c>
      <c r="DH139" s="21">
        <f>EXP(-LN(2)/2)*DH138+(1-EXP(-LN(2)/2))/(LN(2)/2)*DB139*DE139*VLOOKUP('Données projet'!$B$13,Paramètres!$A$1:$I$89,3,0)*0.475*44/12</f>
        <v>5.9798882904743812E-16</v>
      </c>
      <c r="DI139" s="22">
        <f t="shared" si="123"/>
        <v>12.03193905761688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216.83230520434313</v>
      </c>
      <c r="T140" s="59">
        <f t="shared" si="142"/>
        <v>275.41891707278205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20.949263108080551</v>
      </c>
      <c r="AA140" s="21">
        <f>EXP(-LN(2)/25)*AA139+(1-EXP(-LN(2)/25))/(LN(2)/25)*Calculateur!V140*Calculateur!X140*VLOOKUP('Données projet'!$B$9,Paramètres!$A$1:$I$89,3,0)*0.475*44/12</f>
        <v>1.9702329245462018</v>
      </c>
      <c r="AB140" s="21">
        <f>EXP(-LN(2)/2)*AB139+(1-EXP(-LN(2)/2))/(LN(2)/2)*V140*Y140*VLOOKUP('Données projet'!$B$9,Paramètres!$A$1:$I$89,3,0)*0.475*44/12</f>
        <v>8.1595022997600756E-13</v>
      </c>
      <c r="AC140" s="22">
        <f t="shared" si="111"/>
        <v>22.919496032627571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268.00000000000011</v>
      </c>
      <c r="AJ140" s="13">
        <f>AI140*VLOOKUP('Données projet'!$B$10,Paramètres!$A$1:$I$89,3,0)*VLOOKUP('Données projet'!$B$10,Paramètres!$A$1:$I$89,5,0)</f>
        <v>271.75200000000012</v>
      </c>
      <c r="AK140" s="13">
        <f t="shared" si="143"/>
        <v>65.220947824724988</v>
      </c>
      <c r="AL140" s="20">
        <f t="shared" si="112"/>
        <v>586.89455079472953</v>
      </c>
      <c r="AM140" s="59">
        <f t="shared" si="113"/>
        <v>880.2278841280629</v>
      </c>
      <c r="AN140" s="59">
        <f ca="1">AVERAGE(OFFSET($AM$3,0,0,'Données projet'!$E$10+1,1))-AVERAGE(OFFSET($H$3,0,0,'Données projet'!$E$10+1,1))</f>
        <v>292.42154837691379</v>
      </c>
      <c r="AO140" s="59">
        <f t="shared" si="144"/>
        <v>193.18009444354601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46.695475640494969</v>
      </c>
      <c r="AV140" s="21">
        <f>EXP(-LN(2)/25)*AV139+(1-EXP(-LN(2)/25))/(LN(2)/25)*Calculateur!AQ140*Calculateur!AS140*VLOOKUP('Données projet'!$B$10,Paramètres!$A$1:$I$89,3,0)*0.475*44/12</f>
        <v>1.7300929092094561</v>
      </c>
      <c r="AW140" s="21">
        <f>EXP(-LN(2)/2)*AW139+(1-EXP(-LN(2)/2))/(LN(2)/2)*AQ140*AT140*VLOOKUP('Données projet'!$B$10,Paramètres!$A$1:$I$89,3,0)*0.475*44/12</f>
        <v>3.3156294352531938E-3</v>
      </c>
      <c r="AX140" s="21">
        <f t="shared" si="114"/>
        <v>48.428884179139679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322</v>
      </c>
      <c r="BE140" s="13">
        <f>BD140*VLOOKUP('Données projet'!$B$11,Paramètres!$A$1:$I$89,3,0)*VLOOKUP('Données projet'!$B$11,Paramètres!$A$1:$I$89,5,0)</f>
        <v>306.41519999999997</v>
      </c>
      <c r="BF140" s="13">
        <f t="shared" si="145"/>
        <v>72.519675217547672</v>
      </c>
      <c r="BG140" s="20">
        <f t="shared" si="115"/>
        <v>659.9782410038955</v>
      </c>
      <c r="BH140" s="59">
        <f t="shared" si="116"/>
        <v>953.31157433722888</v>
      </c>
      <c r="BI140" s="59">
        <f ca="1">AVERAGE(OFFSET($BH$3,0,0,'Données projet'!$E$11+1,1))-AVERAGE(OFFSET($H$3,0,0,'Données projet'!$E$11+1,1))</f>
        <v>339.00921630742886</v>
      </c>
      <c r="BJ140" s="59">
        <f t="shared" si="146"/>
        <v>314.95763895978303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18.233490115144452</v>
      </c>
      <c r="BQ140" s="21">
        <f>EXP(-LN(2)/25)*BQ139+(1-EXP(-LN(2)/25))/(LN(2)/25)*Calculateur!BL140*Calculateur!BN140*VLOOKUP('Données projet'!$B$11,Paramètres!$A$1:$I$89,3,0)*0.475*44/12</f>
        <v>0.66368501632430699</v>
      </c>
      <c r="BR140" s="21">
        <f>EXP(-LN(2)/2)*BR139+(1-EXP(-LN(2)/2))/(LN(2)/2)*BL140*BO140*VLOOKUP('Données projet'!$B$11,Paramètres!$A$1:$I$89,3,0)*0.475*44/12</f>
        <v>1.9706411523052546E-8</v>
      </c>
      <c r="BS140" s="22">
        <f t="shared" si="117"/>
        <v>18.897175151175173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296.99999999999983</v>
      </c>
      <c r="BZ140" s="13">
        <f>BY140*VLOOKUP('Données projet'!$B$12,Paramètres!$A$1:$I$89,3,0)*VLOOKUP('Données projet'!$B$12,Paramètres!$A$1:$I$89,5,0)</f>
        <v>254.82599999999988</v>
      </c>
      <c r="CA140" s="13">
        <f t="shared" si="147"/>
        <v>61.61820333959453</v>
      </c>
      <c r="CB140" s="20">
        <f t="shared" si="118"/>
        <v>551.1403208164603</v>
      </c>
      <c r="CC140" s="59">
        <f t="shared" si="119"/>
        <v>844.47365414979367</v>
      </c>
      <c r="CD140" s="59">
        <f ca="1">AVERAGE(OFFSET($CC$3,0,0,'Données projet'!$E$12+1,1))-AVERAGE(OFFSET($H$3,0,0,'Données projet'!$E$12+1,1))</f>
        <v>204.6927427024138</v>
      </c>
      <c r="CE140" s="59">
        <f t="shared" si="148"/>
        <v>115.74231133146816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25.496064896721119</v>
      </c>
      <c r="CL140" s="21">
        <f>EXP(-LN(2)/25)*CL139+(1-EXP(-LN(2)/25))/(LN(2)/25)*Calculateur!CG140*Calculateur!CI140*VLOOKUP('Données projet'!$B$12,Paramètres!$A$1:$I$89,3,0)*0.475*44/12</f>
        <v>1.0539516842289085</v>
      </c>
      <c r="CM140" s="21">
        <f>EXP(-LN(2)/2)*CM139+(1-EXP(-LN(2)/2))/(LN(2)/2)*CG140*CJ140*VLOOKUP('Données projet'!$B$12,Paramètres!$A$1:$I$89,3,0)*0.475*44/12</f>
        <v>3.0570540096251123E-6</v>
      </c>
      <c r="CN140" s="22">
        <f t="shared" si="120"/>
        <v>26.550019638004038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204.15575418077316</v>
      </c>
      <c r="CZ140" s="59">
        <f t="shared" si="150"/>
        <v>473.73726605265045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9.414121478899931</v>
      </c>
      <c r="DG140" s="21">
        <f>EXP(-LN(2)/25)*DG139+(1-EXP(-LN(2)/25))/(LN(2)/25)*Calculateur!DB140*Calculateur!DD140*VLOOKUP('Données projet'!$B$13,Paramètres!$A$1:$I$89,3,0)*0.475*44/12</f>
        <v>2.3630846457480965</v>
      </c>
      <c r="DH140" s="21">
        <f>EXP(-LN(2)/2)*DH139+(1-EXP(-LN(2)/2))/(LN(2)/2)*DB140*DE140*VLOOKUP('Données projet'!$B$13,Paramètres!$A$1:$I$89,3,0)*0.475*44/12</f>
        <v>4.2284195609324661E-16</v>
      </c>
      <c r="DI140" s="22">
        <f t="shared" si="123"/>
        <v>11.777206124648028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216.83230520434313</v>
      </c>
      <c r="T141" s="59">
        <f t="shared" si="142"/>
        <v>275.41891707278205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20.538460836319885</v>
      </c>
      <c r="AA141" s="21">
        <f>EXP(-LN(2)/25)*AA140+(1-EXP(-LN(2)/25))/(LN(2)/25)*Calculateur!V141*Calculateur!X141*VLOOKUP('Données projet'!$B$9,Paramètres!$A$1:$I$89,3,0)*0.475*44/12</f>
        <v>1.9163568016144394</v>
      </c>
      <c r="AB141" s="21">
        <f>EXP(-LN(2)/2)*AB140+(1-EXP(-LN(2)/2))/(LN(2)/2)*V141*Y141*VLOOKUP('Données projet'!$B$9,Paramètres!$A$1:$I$89,3,0)*0.475*44/12</f>
        <v>5.7696394072675791E-13</v>
      </c>
      <c r="AC141" s="22">
        <f t="shared" si="111"/>
        <v>22.454817637934902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268.00000000000011</v>
      </c>
      <c r="AJ141" s="13">
        <f>AI141*VLOOKUP('Données projet'!$B$10,Paramètres!$A$1:$I$89,3,0)*VLOOKUP('Données projet'!$B$10,Paramètres!$A$1:$I$89,5,0)</f>
        <v>271.75200000000012</v>
      </c>
      <c r="AK141" s="13">
        <f t="shared" si="143"/>
        <v>65.220947824724988</v>
      </c>
      <c r="AL141" s="20">
        <f t="shared" si="112"/>
        <v>586.89455079472953</v>
      </c>
      <c r="AM141" s="59">
        <f t="shared" si="113"/>
        <v>880.2278841280629</v>
      </c>
      <c r="AN141" s="59">
        <f ca="1">AVERAGE(OFFSET($AM$3,0,0,'Données projet'!$E$10+1,1))-AVERAGE(OFFSET($H$3,0,0,'Données projet'!$E$10+1,1))</f>
        <v>292.42154837691379</v>
      </c>
      <c r="AO141" s="59">
        <f t="shared" si="144"/>
        <v>193.18009444354601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45.779805844612696</v>
      </c>
      <c r="AV141" s="21">
        <f>EXP(-LN(2)/25)*AV140+(1-EXP(-LN(2)/25))/(LN(2)/25)*Calculateur!AQ141*Calculateur!AS141*VLOOKUP('Données projet'!$B$10,Paramètres!$A$1:$I$89,3,0)*0.475*44/12</f>
        <v>1.6827834276254916</v>
      </c>
      <c r="AW141" s="21">
        <f>EXP(-LN(2)/2)*AW140+(1-EXP(-LN(2)/2))/(LN(2)/2)*AQ141*AT141*VLOOKUP('Données projet'!$B$10,Paramètres!$A$1:$I$89,3,0)*0.475*44/12</f>
        <v>2.3445040575692565E-3</v>
      </c>
      <c r="AX141" s="21">
        <f t="shared" si="114"/>
        <v>47.464933776295759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322</v>
      </c>
      <c r="BE141" s="13">
        <f>BD141*VLOOKUP('Données projet'!$B$11,Paramètres!$A$1:$I$89,3,0)*VLOOKUP('Données projet'!$B$11,Paramètres!$A$1:$I$89,5,0)</f>
        <v>306.41519999999997</v>
      </c>
      <c r="BF141" s="13">
        <f t="shared" si="145"/>
        <v>72.519675217547672</v>
      </c>
      <c r="BG141" s="20">
        <f t="shared" si="115"/>
        <v>659.9782410038955</v>
      </c>
      <c r="BH141" s="59">
        <f t="shared" si="116"/>
        <v>953.31157433722888</v>
      </c>
      <c r="BI141" s="59">
        <f ca="1">AVERAGE(OFFSET($BH$3,0,0,'Données projet'!$E$11+1,1))-AVERAGE(OFFSET($H$3,0,0,'Données projet'!$E$11+1,1))</f>
        <v>339.00921630742886</v>
      </c>
      <c r="BJ141" s="59">
        <f t="shared" si="146"/>
        <v>314.95763895978303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17.8759424953173</v>
      </c>
      <c r="BQ141" s="21">
        <f>EXP(-LN(2)/25)*BQ140+(1-EXP(-LN(2)/25))/(LN(2)/25)*Calculateur!BL141*Calculateur!BN141*VLOOKUP('Données projet'!$B$11,Paramètres!$A$1:$I$89,3,0)*0.475*44/12</f>
        <v>0.64553651465124062</v>
      </c>
      <c r="BR141" s="21">
        <f>EXP(-LN(2)/2)*BR140+(1-EXP(-LN(2)/2))/(LN(2)/2)*BL141*BO141*VLOOKUP('Données projet'!$B$11,Paramètres!$A$1:$I$89,3,0)*0.475*44/12</f>
        <v>1.3934537220803176E-8</v>
      </c>
      <c r="BS141" s="22">
        <f t="shared" si="117"/>
        <v>18.52147902390308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296.99999999999983</v>
      </c>
      <c r="BZ141" s="13">
        <f>BY141*VLOOKUP('Données projet'!$B$12,Paramètres!$A$1:$I$89,3,0)*VLOOKUP('Données projet'!$B$12,Paramètres!$A$1:$I$89,5,0)</f>
        <v>254.82599999999988</v>
      </c>
      <c r="CA141" s="13">
        <f t="shared" si="147"/>
        <v>61.61820333959453</v>
      </c>
      <c r="CB141" s="20">
        <f t="shared" si="118"/>
        <v>551.1403208164603</v>
      </c>
      <c r="CC141" s="59">
        <f t="shared" si="119"/>
        <v>844.47365414979367</v>
      </c>
      <c r="CD141" s="59">
        <f ca="1">AVERAGE(OFFSET($CC$3,0,0,'Données projet'!$E$12+1,1))-AVERAGE(OFFSET($H$3,0,0,'Données projet'!$E$12+1,1))</f>
        <v>204.6927427024138</v>
      </c>
      <c r="CE141" s="59">
        <f t="shared" si="148"/>
        <v>115.74231133146816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24.996102615160464</v>
      </c>
      <c r="CL141" s="21">
        <f>EXP(-LN(2)/25)*CL140+(1-EXP(-LN(2)/25))/(LN(2)/25)*Calculateur!CG141*Calculateur!CI141*VLOOKUP('Données projet'!$B$12,Paramètres!$A$1:$I$89,3,0)*0.475*44/12</f>
        <v>1.0251313199987588</v>
      </c>
      <c r="CM141" s="21">
        <f>EXP(-LN(2)/2)*CM140+(1-EXP(-LN(2)/2))/(LN(2)/2)*CG141*CJ141*VLOOKUP('Données projet'!$B$12,Paramètres!$A$1:$I$89,3,0)*0.475*44/12</f>
        <v>2.161663620659442E-6</v>
      </c>
      <c r="CN141" s="22">
        <f t="shared" si="120"/>
        <v>26.021236096822843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204.15575418077316</v>
      </c>
      <c r="CZ141" s="59">
        <f t="shared" si="150"/>
        <v>473.73726605265045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9.2295162987458248</v>
      </c>
      <c r="DG141" s="21">
        <f>EXP(-LN(2)/25)*DG140+(1-EXP(-LN(2)/25))/(LN(2)/25)*Calculateur!DB141*Calculateur!DD141*VLOOKUP('Données projet'!$B$13,Paramètres!$A$1:$I$89,3,0)*0.475*44/12</f>
        <v>2.2984659718408942</v>
      </c>
      <c r="DH141" s="21">
        <f>EXP(-LN(2)/2)*DH140+(1-EXP(-LN(2)/2))/(LN(2)/2)*DB141*DE141*VLOOKUP('Données projet'!$B$13,Paramètres!$A$1:$I$89,3,0)*0.475*44/12</f>
        <v>2.9899441452371906E-16</v>
      </c>
      <c r="DI141" s="22">
        <f t="shared" si="123"/>
        <v>11.527982270586719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216.83230520434313</v>
      </c>
      <c r="T142" s="59">
        <f t="shared" si="142"/>
        <v>275.41891707278205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20.135714146543801</v>
      </c>
      <c r="AA142" s="21">
        <f>EXP(-LN(2)/25)*AA141+(1-EXP(-LN(2)/25))/(LN(2)/25)*Calculateur!V142*Calculateur!X142*VLOOKUP('Données projet'!$B$9,Paramètres!$A$1:$I$89,3,0)*0.475*44/12</f>
        <v>1.8639539240974683</v>
      </c>
      <c r="AB142" s="21">
        <f>EXP(-LN(2)/2)*AB141+(1-EXP(-LN(2)/2))/(LN(2)/2)*V142*Y142*VLOOKUP('Données projet'!$B$9,Paramètres!$A$1:$I$89,3,0)*0.475*44/12</f>
        <v>4.0797511498800378E-13</v>
      </c>
      <c r="AC142" s="22">
        <f t="shared" si="111"/>
        <v>21.999668070641679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268.00000000000011</v>
      </c>
      <c r="AJ142" s="13">
        <f>AI142*VLOOKUP('Données projet'!$B$10,Paramètres!$A$1:$I$89,3,0)*VLOOKUP('Données projet'!$B$10,Paramètres!$A$1:$I$89,5,0)</f>
        <v>271.75200000000012</v>
      </c>
      <c r="AK142" s="13">
        <f t="shared" si="143"/>
        <v>65.220947824724988</v>
      </c>
      <c r="AL142" s="20">
        <f t="shared" si="112"/>
        <v>586.89455079472953</v>
      </c>
      <c r="AM142" s="59">
        <f t="shared" si="113"/>
        <v>880.2278841280629</v>
      </c>
      <c r="AN142" s="59">
        <f ca="1">AVERAGE(OFFSET($AM$3,0,0,'Données projet'!$E$10+1,1))-AVERAGE(OFFSET($H$3,0,0,'Données projet'!$E$10+1,1))</f>
        <v>292.42154837691379</v>
      </c>
      <c r="AO142" s="59">
        <f t="shared" si="144"/>
        <v>193.18009444354601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44.882091774924248</v>
      </c>
      <c r="AV142" s="21">
        <f>EXP(-LN(2)/25)*AV141+(1-EXP(-LN(2)/25))/(LN(2)/25)*Calculateur!AQ142*Calculateur!AS142*VLOOKUP('Données projet'!$B$10,Paramètres!$A$1:$I$89,3,0)*0.475*44/12</f>
        <v>1.6367676263033382</v>
      </c>
      <c r="AW142" s="21">
        <f>EXP(-LN(2)/2)*AW141+(1-EXP(-LN(2)/2))/(LN(2)/2)*AQ142*AT142*VLOOKUP('Données projet'!$B$10,Paramètres!$A$1:$I$89,3,0)*0.475*44/12</f>
        <v>1.6578147176265971E-3</v>
      </c>
      <c r="AX142" s="21">
        <f t="shared" si="114"/>
        <v>46.520517215945212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322</v>
      </c>
      <c r="BE142" s="13">
        <f>BD142*VLOOKUP('Données projet'!$B$11,Paramètres!$A$1:$I$89,3,0)*VLOOKUP('Données projet'!$B$11,Paramètres!$A$1:$I$89,5,0)</f>
        <v>306.41519999999997</v>
      </c>
      <c r="BF142" s="13">
        <f t="shared" si="145"/>
        <v>72.519675217547672</v>
      </c>
      <c r="BG142" s="20">
        <f t="shared" si="115"/>
        <v>659.9782410038955</v>
      </c>
      <c r="BH142" s="59">
        <f t="shared" si="116"/>
        <v>953.31157433722888</v>
      </c>
      <c r="BI142" s="59">
        <f ca="1">AVERAGE(OFFSET($BH$3,0,0,'Données projet'!$E$11+1,1))-AVERAGE(OFFSET($H$3,0,0,'Données projet'!$E$11+1,1))</f>
        <v>339.00921630742886</v>
      </c>
      <c r="BJ142" s="59">
        <f t="shared" si="146"/>
        <v>314.95763895978303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17.525406166232443</v>
      </c>
      <c r="BQ142" s="21">
        <f>EXP(-LN(2)/25)*BQ141+(1-EXP(-LN(2)/25))/(LN(2)/25)*Calculateur!BL142*Calculateur!BN142*VLOOKUP('Données projet'!$B$11,Paramètres!$A$1:$I$89,3,0)*0.475*44/12</f>
        <v>0.62788428471081259</v>
      </c>
      <c r="BR142" s="21">
        <f>EXP(-LN(2)/2)*BR141+(1-EXP(-LN(2)/2))/(LN(2)/2)*BL142*BO142*VLOOKUP('Données projet'!$B$11,Paramètres!$A$1:$I$89,3,0)*0.475*44/12</f>
        <v>9.853205761526273E-9</v>
      </c>
      <c r="BS142" s="22">
        <f t="shared" si="117"/>
        <v>18.153290460796462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296.99999999999983</v>
      </c>
      <c r="BZ142" s="13">
        <f>BY142*VLOOKUP('Données projet'!$B$12,Paramètres!$A$1:$I$89,3,0)*VLOOKUP('Données projet'!$B$12,Paramètres!$A$1:$I$89,5,0)</f>
        <v>254.82599999999988</v>
      </c>
      <c r="CA142" s="13">
        <f t="shared" si="147"/>
        <v>61.61820333959453</v>
      </c>
      <c r="CB142" s="20">
        <f t="shared" si="118"/>
        <v>551.1403208164603</v>
      </c>
      <c r="CC142" s="59">
        <f t="shared" si="119"/>
        <v>844.47365414979367</v>
      </c>
      <c r="CD142" s="59">
        <f ca="1">AVERAGE(OFFSET($CC$3,0,0,'Données projet'!$E$12+1,1))-AVERAGE(OFFSET($H$3,0,0,'Données projet'!$E$12+1,1))</f>
        <v>204.6927427024138</v>
      </c>
      <c r="CE142" s="59">
        <f t="shared" si="148"/>
        <v>115.74231133146816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24.505944288994332</v>
      </c>
      <c r="CL142" s="21">
        <f>EXP(-LN(2)/25)*CL141+(1-EXP(-LN(2)/25))/(LN(2)/25)*Calculateur!CG142*Calculateur!CI142*VLOOKUP('Données projet'!$B$12,Paramètres!$A$1:$I$89,3,0)*0.475*44/12</f>
        <v>0.99709905014407962</v>
      </c>
      <c r="CM142" s="21">
        <f>EXP(-LN(2)/2)*CM141+(1-EXP(-LN(2)/2))/(LN(2)/2)*CG142*CJ142*VLOOKUP('Données projet'!$B$12,Paramètres!$A$1:$I$89,3,0)*0.475*44/12</f>
        <v>1.5285270048125561E-6</v>
      </c>
      <c r="CN142" s="22">
        <f t="shared" si="120"/>
        <v>25.503044867665416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204.15575418077316</v>
      </c>
      <c r="CZ142" s="59">
        <f t="shared" si="150"/>
        <v>473.73726605265045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9.0485311135764999</v>
      </c>
      <c r="DG142" s="21">
        <f>EXP(-LN(2)/25)*DG141+(1-EXP(-LN(2)/25))/(LN(2)/25)*Calculateur!DB142*Calculateur!DD142*VLOOKUP('Données projet'!$B$13,Paramètres!$A$1:$I$89,3,0)*0.475*44/12</f>
        <v>2.2356142989698329</v>
      </c>
      <c r="DH142" s="21">
        <f>EXP(-LN(2)/2)*DH141+(1-EXP(-LN(2)/2))/(LN(2)/2)*DB142*DE142*VLOOKUP('Données projet'!$B$13,Paramètres!$A$1:$I$89,3,0)*0.475*44/12</f>
        <v>2.114209780466233E-16</v>
      </c>
      <c r="DI142" s="22">
        <f t="shared" si="123"/>
        <v>11.284145412546334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216.83230520434313</v>
      </c>
      <c r="T143" s="59">
        <f t="shared" si="142"/>
        <v>275.41891707278205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19.740865073703002</v>
      </c>
      <c r="AA143" s="21">
        <f>EXP(-LN(2)/25)*AA142+(1-EXP(-LN(2)/25))/(LN(2)/25)*Calculateur!V143*Calculateur!X143*VLOOKUP('Données projet'!$B$9,Paramètres!$A$1:$I$89,3,0)*0.475*44/12</f>
        <v>1.8129840060219462</v>
      </c>
      <c r="AB143" s="21">
        <f>EXP(-LN(2)/2)*AB142+(1-EXP(-LN(2)/2))/(LN(2)/2)*V143*Y143*VLOOKUP('Données projet'!$B$9,Paramètres!$A$1:$I$89,3,0)*0.475*44/12</f>
        <v>2.8848197036337895E-13</v>
      </c>
      <c r="AC143" s="22">
        <f t="shared" si="111"/>
        <v>21.553849079725236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268.00000000000011</v>
      </c>
      <c r="AJ143" s="13">
        <f>AI143*VLOOKUP('Données projet'!$B$10,Paramètres!$A$1:$I$89,3,0)*VLOOKUP('Données projet'!$B$10,Paramètres!$A$1:$I$89,5,0)</f>
        <v>271.75200000000012</v>
      </c>
      <c r="AK143" s="13">
        <f t="shared" si="143"/>
        <v>65.220947824724988</v>
      </c>
      <c r="AL143" s="20">
        <f t="shared" si="112"/>
        <v>586.89455079472953</v>
      </c>
      <c r="AM143" s="59">
        <f t="shared" si="113"/>
        <v>880.2278841280629</v>
      </c>
      <c r="AN143" s="59">
        <f ca="1">AVERAGE(OFFSET($AM$3,0,0,'Données projet'!$E$10+1,1))-AVERAGE(OFFSET($H$3,0,0,'Données projet'!$E$10+1,1))</f>
        <v>292.42154837691379</v>
      </c>
      <c r="AO143" s="59">
        <f t="shared" si="144"/>
        <v>193.18009444354601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44.001981330590873</v>
      </c>
      <c r="AV143" s="21">
        <f>EXP(-LN(2)/25)*AV142+(1-EXP(-LN(2)/25))/(LN(2)/25)*Calculateur!AQ143*Calculateur!AS143*VLOOKUP('Données projet'!$B$10,Paramètres!$A$1:$I$89,3,0)*0.475*44/12</f>
        <v>1.5920101294882048</v>
      </c>
      <c r="AW143" s="21">
        <f>EXP(-LN(2)/2)*AW142+(1-EXP(-LN(2)/2))/(LN(2)/2)*AQ143*AT143*VLOOKUP('Données projet'!$B$10,Paramètres!$A$1:$I$89,3,0)*0.475*44/12</f>
        <v>1.1722520287846283E-3</v>
      </c>
      <c r="AX143" s="21">
        <f t="shared" si="114"/>
        <v>45.595163712107862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322</v>
      </c>
      <c r="BE143" s="13">
        <f>BD143*VLOOKUP('Données projet'!$B$11,Paramètres!$A$1:$I$89,3,0)*VLOOKUP('Données projet'!$B$11,Paramètres!$A$1:$I$89,5,0)</f>
        <v>306.41519999999997</v>
      </c>
      <c r="BF143" s="13">
        <f t="shared" si="145"/>
        <v>72.519675217547672</v>
      </c>
      <c r="BG143" s="20">
        <f t="shared" si="115"/>
        <v>659.9782410038955</v>
      </c>
      <c r="BH143" s="59">
        <f t="shared" si="116"/>
        <v>953.31157433722888</v>
      </c>
      <c r="BI143" s="59">
        <f ca="1">AVERAGE(OFFSET($BH$3,0,0,'Données projet'!$E$11+1,1))-AVERAGE(OFFSET($H$3,0,0,'Données projet'!$E$11+1,1))</f>
        <v>339.00921630742886</v>
      </c>
      <c r="BJ143" s="59">
        <f t="shared" si="146"/>
        <v>314.95763895978303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17.181743640754892</v>
      </c>
      <c r="BQ143" s="21">
        <f>EXP(-LN(2)/25)*BQ142+(1-EXP(-LN(2)/25))/(LN(2)/25)*Calculateur!BL143*Calculateur!BN143*VLOOKUP('Données projet'!$B$11,Paramètres!$A$1:$I$89,3,0)*0.475*44/12</f>
        <v>0.6107147559263959</v>
      </c>
      <c r="BR143" s="21">
        <f>EXP(-LN(2)/2)*BR142+(1-EXP(-LN(2)/2))/(LN(2)/2)*BL143*BO143*VLOOKUP('Données projet'!$B$11,Paramètres!$A$1:$I$89,3,0)*0.475*44/12</f>
        <v>6.9672686104015878E-9</v>
      </c>
      <c r="BS143" s="22">
        <f t="shared" si="117"/>
        <v>17.792458403648556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296.99999999999983</v>
      </c>
      <c r="BZ143" s="13">
        <f>BY143*VLOOKUP('Données projet'!$B$12,Paramètres!$A$1:$I$89,3,0)*VLOOKUP('Données projet'!$B$12,Paramètres!$A$1:$I$89,5,0)</f>
        <v>254.82599999999988</v>
      </c>
      <c r="CA143" s="13">
        <f t="shared" si="147"/>
        <v>61.61820333959453</v>
      </c>
      <c r="CB143" s="20">
        <f t="shared" si="118"/>
        <v>551.1403208164603</v>
      </c>
      <c r="CC143" s="59">
        <f t="shared" si="119"/>
        <v>844.47365414979367</v>
      </c>
      <c r="CD143" s="59">
        <f ca="1">AVERAGE(OFFSET($CC$3,0,0,'Données projet'!$E$12+1,1))-AVERAGE(OFFSET($H$3,0,0,'Données projet'!$E$12+1,1))</f>
        <v>204.6927427024138</v>
      </c>
      <c r="CE143" s="59">
        <f t="shared" si="148"/>
        <v>115.74231133146816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24.025397668637261</v>
      </c>
      <c r="CL143" s="21">
        <f>EXP(-LN(2)/25)*CL142+(1-EXP(-LN(2)/25))/(LN(2)/25)*Calculateur!CG143*Calculateur!CI143*VLOOKUP('Données projet'!$B$12,Paramètres!$A$1:$I$89,3,0)*0.475*44/12</f>
        <v>0.96983332418272961</v>
      </c>
      <c r="CM143" s="21">
        <f>EXP(-LN(2)/2)*CM142+(1-EXP(-LN(2)/2))/(LN(2)/2)*CG143*CJ143*VLOOKUP('Données projet'!$B$12,Paramètres!$A$1:$I$89,3,0)*0.475*44/12</f>
        <v>1.080831810329721E-6</v>
      </c>
      <c r="CN143" s="22">
        <f t="shared" si="120"/>
        <v>24.995232073651803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204.15575418077316</v>
      </c>
      <c r="CZ143" s="59">
        <f t="shared" si="150"/>
        <v>473.73726605265045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8.8710949374982828</v>
      </c>
      <c r="DG143" s="21">
        <f>EXP(-LN(2)/25)*DG142+(1-EXP(-LN(2)/25))/(LN(2)/25)*Calculateur!DB143*Calculateur!DD143*VLOOKUP('Données projet'!$B$13,Paramètres!$A$1:$I$89,3,0)*0.475*44/12</f>
        <v>2.1744813083986565</v>
      </c>
      <c r="DH143" s="21">
        <f>EXP(-LN(2)/2)*DH142+(1-EXP(-LN(2)/2))/(LN(2)/2)*DB143*DE143*VLOOKUP('Données projet'!$B$13,Paramètres!$A$1:$I$89,3,0)*0.475*44/12</f>
        <v>1.4949720726185953E-16</v>
      </c>
      <c r="DI143" s="22">
        <f t="shared" si="123"/>
        <v>11.045576245896939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216.83230520434313</v>
      </c>
      <c r="T144" s="59">
        <f t="shared" si="142"/>
        <v>275.41891707278205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19.353758750346458</v>
      </c>
      <c r="AA144" s="21">
        <f>EXP(-LN(2)/25)*AA143+(1-EXP(-LN(2)/25))/(LN(2)/25)*Calculateur!V144*Calculateur!X144*VLOOKUP('Données projet'!$B$9,Paramètres!$A$1:$I$89,3,0)*0.475*44/12</f>
        <v>1.7634078630365908</v>
      </c>
      <c r="AB144" s="21">
        <f>EXP(-LN(2)/2)*AB143+(1-EXP(-LN(2)/2))/(LN(2)/2)*V144*Y144*VLOOKUP('Données projet'!$B$9,Paramètres!$A$1:$I$89,3,0)*0.475*44/12</f>
        <v>2.0398755749400189E-13</v>
      </c>
      <c r="AC144" s="22">
        <f t="shared" si="111"/>
        <v>21.117166613383251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268.00000000000011</v>
      </c>
      <c r="AJ144" s="13">
        <f>AI144*VLOOKUP('Données projet'!$B$10,Paramètres!$A$1:$I$89,3,0)*VLOOKUP('Données projet'!$B$10,Paramètres!$A$1:$I$89,5,0)</f>
        <v>271.75200000000012</v>
      </c>
      <c r="AK144" s="13">
        <f t="shared" si="143"/>
        <v>65.220947824724988</v>
      </c>
      <c r="AL144" s="20">
        <f t="shared" si="112"/>
        <v>586.89455079472953</v>
      </c>
      <c r="AM144" s="59">
        <f t="shared" si="113"/>
        <v>880.2278841280629</v>
      </c>
      <c r="AN144" s="59">
        <f ca="1">AVERAGE(OFFSET($AM$3,0,0,'Données projet'!$E$10+1,1))-AVERAGE(OFFSET($H$3,0,0,'Données projet'!$E$10+1,1))</f>
        <v>292.42154837691379</v>
      </c>
      <c r="AO144" s="59">
        <f t="shared" si="144"/>
        <v>193.18009444354601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43.139129315256511</v>
      </c>
      <c r="AV144" s="21">
        <f>EXP(-LN(2)/25)*AV143+(1-EXP(-LN(2)/25))/(LN(2)/25)*Calculateur!AQ144*Calculateur!AS144*VLOOKUP('Données projet'!$B$10,Paramètres!$A$1:$I$89,3,0)*0.475*44/12</f>
        <v>1.5484765287771756</v>
      </c>
      <c r="AW144" s="21">
        <f>EXP(-LN(2)/2)*AW143+(1-EXP(-LN(2)/2))/(LN(2)/2)*AQ144*AT144*VLOOKUP('Données projet'!$B$10,Paramètres!$A$1:$I$89,3,0)*0.475*44/12</f>
        <v>8.2890735881329856E-4</v>
      </c>
      <c r="AX144" s="21">
        <f t="shared" si="114"/>
        <v>44.688434751392499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322</v>
      </c>
      <c r="BE144" s="13">
        <f>BD144*VLOOKUP('Données projet'!$B$11,Paramètres!$A$1:$I$89,3,0)*VLOOKUP('Données projet'!$B$11,Paramètres!$A$1:$I$89,5,0)</f>
        <v>306.41519999999997</v>
      </c>
      <c r="BF144" s="13">
        <f t="shared" si="145"/>
        <v>72.519675217547672</v>
      </c>
      <c r="BG144" s="20">
        <f t="shared" si="115"/>
        <v>659.9782410038955</v>
      </c>
      <c r="BH144" s="59">
        <f t="shared" si="116"/>
        <v>953.31157433722888</v>
      </c>
      <c r="BI144" s="59">
        <f ca="1">AVERAGE(OFFSET($BH$3,0,0,'Données projet'!$E$11+1,1))-AVERAGE(OFFSET($H$3,0,0,'Données projet'!$E$11+1,1))</f>
        <v>339.00921630742886</v>
      </c>
      <c r="BJ144" s="59">
        <f t="shared" si="146"/>
        <v>314.95763895978303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16.844820127788513</v>
      </c>
      <c r="BQ144" s="21">
        <f>EXP(-LN(2)/25)*BQ143+(1-EXP(-LN(2)/25))/(LN(2)/25)*Calculateur!BL144*Calculateur!BN144*VLOOKUP('Données projet'!$B$11,Paramètres!$A$1:$I$89,3,0)*0.475*44/12</f>
        <v>0.59401472880949535</v>
      </c>
      <c r="BR144" s="21">
        <f>EXP(-LN(2)/2)*BR143+(1-EXP(-LN(2)/2))/(LN(2)/2)*BL144*BO144*VLOOKUP('Données projet'!$B$11,Paramètres!$A$1:$I$89,3,0)*0.475*44/12</f>
        <v>4.9266028807631365E-9</v>
      </c>
      <c r="BS144" s="22">
        <f t="shared" si="117"/>
        <v>17.438834861524608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296.99999999999983</v>
      </c>
      <c r="BZ144" s="13">
        <f>BY144*VLOOKUP('Données projet'!$B$12,Paramètres!$A$1:$I$89,3,0)*VLOOKUP('Données projet'!$B$12,Paramètres!$A$1:$I$89,5,0)</f>
        <v>254.82599999999988</v>
      </c>
      <c r="CA144" s="13">
        <f t="shared" si="147"/>
        <v>61.61820333959453</v>
      </c>
      <c r="CB144" s="20">
        <f t="shared" si="118"/>
        <v>551.1403208164603</v>
      </c>
      <c r="CC144" s="59">
        <f t="shared" si="119"/>
        <v>844.47365414979367</v>
      </c>
      <c r="CD144" s="59">
        <f ca="1">AVERAGE(OFFSET($CC$3,0,0,'Données projet'!$E$12+1,1))-AVERAGE(OFFSET($H$3,0,0,'Données projet'!$E$12+1,1))</f>
        <v>204.6927427024138</v>
      </c>
      <c r="CE144" s="59">
        <f t="shared" si="148"/>
        <v>115.74231133146816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23.554274274400896</v>
      </c>
      <c r="CL144" s="21">
        <f>EXP(-LN(2)/25)*CL143+(1-EXP(-LN(2)/25))/(LN(2)/25)*Calculateur!CG144*Calculateur!CI144*VLOOKUP('Données projet'!$B$12,Paramètres!$A$1:$I$89,3,0)*0.475*44/12</f>
        <v>0.94331318093163496</v>
      </c>
      <c r="CM144" s="21">
        <f>EXP(-LN(2)/2)*CM143+(1-EXP(-LN(2)/2))/(LN(2)/2)*CG144*CJ144*VLOOKUP('Données projet'!$B$12,Paramètres!$A$1:$I$89,3,0)*0.475*44/12</f>
        <v>7.6426350240627807E-7</v>
      </c>
      <c r="CN144" s="22">
        <f t="shared" si="120"/>
        <v>24.497588219596036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204.15575418077316</v>
      </c>
      <c r="CZ144" s="59">
        <f t="shared" si="150"/>
        <v>473.73726605265045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8.6971381766075773</v>
      </c>
      <c r="DG144" s="21">
        <f>EXP(-LN(2)/25)*DG143+(1-EXP(-LN(2)/25))/(LN(2)/25)*Calculateur!DB144*Calculateur!DD144*VLOOKUP('Données projet'!$B$13,Paramètres!$A$1:$I$89,3,0)*0.475*44/12</f>
        <v>2.115020002669493</v>
      </c>
      <c r="DH144" s="21">
        <f>EXP(-LN(2)/2)*DH143+(1-EXP(-LN(2)/2))/(LN(2)/2)*DB144*DE144*VLOOKUP('Données projet'!$B$13,Paramètres!$A$1:$I$89,3,0)*0.475*44/12</f>
        <v>1.0571048902331165E-16</v>
      </c>
      <c r="DI144" s="22">
        <f t="shared" si="123"/>
        <v>10.81215817927707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216.83230520434313</v>
      </c>
      <c r="T145" s="59">
        <f t="shared" si="142"/>
        <v>275.41891707278205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18.97424334587939</v>
      </c>
      <c r="AA145" s="21">
        <f>EXP(-LN(2)/25)*AA144+(1-EXP(-LN(2)/25))/(LN(2)/25)*Calculateur!V145*Calculateur!X145*VLOOKUP('Données projet'!$B$9,Paramètres!$A$1:$I$89,3,0)*0.475*44/12</f>
        <v>1.7151873822882659</v>
      </c>
      <c r="AB145" s="21">
        <f>EXP(-LN(2)/2)*AB144+(1-EXP(-LN(2)/2))/(LN(2)/2)*V145*Y145*VLOOKUP('Données projet'!$B$9,Paramètres!$A$1:$I$89,3,0)*0.475*44/12</f>
        <v>1.4424098518168948E-13</v>
      </c>
      <c r="AC145" s="22">
        <f t="shared" si="111"/>
        <v>20.689430728167803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268.00000000000011</v>
      </c>
      <c r="AJ145" s="13">
        <f>AI145*VLOOKUP('Données projet'!$B$10,Paramètres!$A$1:$I$89,3,0)*VLOOKUP('Données projet'!$B$10,Paramètres!$A$1:$I$89,5,0)</f>
        <v>271.75200000000012</v>
      </c>
      <c r="AK145" s="13">
        <f t="shared" si="143"/>
        <v>65.220947824724988</v>
      </c>
      <c r="AL145" s="20">
        <f t="shared" si="112"/>
        <v>586.89455079472953</v>
      </c>
      <c r="AM145" s="59">
        <f t="shared" si="113"/>
        <v>880.2278841280629</v>
      </c>
      <c r="AN145" s="59">
        <f ca="1">AVERAGE(OFFSET($AM$3,0,0,'Données projet'!$E$10+1,1))-AVERAGE(OFFSET($H$3,0,0,'Données projet'!$E$10+1,1))</f>
        <v>292.42154837691379</v>
      </c>
      <c r="AO145" s="59">
        <f t="shared" si="144"/>
        <v>193.18009444354601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42.293197301655091</v>
      </c>
      <c r="AV145" s="21">
        <f>EXP(-LN(2)/25)*AV144+(1-EXP(-LN(2)/25))/(LN(2)/25)*Calculateur!AQ145*Calculateur!AS145*VLOOKUP('Données projet'!$B$10,Paramètres!$A$1:$I$89,3,0)*0.475*44/12</f>
        <v>1.5061333566669222</v>
      </c>
      <c r="AW145" s="21">
        <f>EXP(-LN(2)/2)*AW144+(1-EXP(-LN(2)/2))/(LN(2)/2)*AQ145*AT145*VLOOKUP('Données projet'!$B$10,Paramètres!$A$1:$I$89,3,0)*0.475*44/12</f>
        <v>5.8612601439231413E-4</v>
      </c>
      <c r="AX145" s="21">
        <f t="shared" si="114"/>
        <v>43.799916784336403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322</v>
      </c>
      <c r="BE145" s="13">
        <f>BD145*VLOOKUP('Données projet'!$B$11,Paramètres!$A$1:$I$89,3,0)*VLOOKUP('Données projet'!$B$11,Paramètres!$A$1:$I$89,5,0)</f>
        <v>306.41519999999997</v>
      </c>
      <c r="BF145" s="13">
        <f t="shared" si="145"/>
        <v>72.519675217547672</v>
      </c>
      <c r="BG145" s="20">
        <f t="shared" si="115"/>
        <v>659.9782410038955</v>
      </c>
      <c r="BH145" s="59">
        <f t="shared" si="116"/>
        <v>953.31157433722888</v>
      </c>
      <c r="BI145" s="59">
        <f ca="1">AVERAGE(OFFSET($BH$3,0,0,'Données projet'!$E$11+1,1))-AVERAGE(OFFSET($H$3,0,0,'Données projet'!$E$11+1,1))</f>
        <v>339.00921630742886</v>
      </c>
      <c r="BJ145" s="59">
        <f t="shared" si="146"/>
        <v>314.95763895978303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16.514503479408351</v>
      </c>
      <c r="BQ145" s="21">
        <f>EXP(-LN(2)/25)*BQ144+(1-EXP(-LN(2)/25))/(LN(2)/25)*Calculateur!BL145*Calculateur!BN145*VLOOKUP('Données projet'!$B$11,Paramètres!$A$1:$I$89,3,0)*0.475*44/12</f>
        <v>0.57777136481232272</v>
      </c>
      <c r="BR145" s="21">
        <f>EXP(-LN(2)/2)*BR144+(1-EXP(-LN(2)/2))/(LN(2)/2)*BL145*BO145*VLOOKUP('Données projet'!$B$11,Paramètres!$A$1:$I$89,3,0)*0.475*44/12</f>
        <v>3.4836343052007939E-9</v>
      </c>
      <c r="BS145" s="22">
        <f t="shared" si="117"/>
        <v>17.092274847704306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296.99999999999983</v>
      </c>
      <c r="BZ145" s="13">
        <f>BY145*VLOOKUP('Données projet'!$B$12,Paramètres!$A$1:$I$89,3,0)*VLOOKUP('Données projet'!$B$12,Paramètres!$A$1:$I$89,5,0)</f>
        <v>254.82599999999988</v>
      </c>
      <c r="CA145" s="13">
        <f t="shared" si="147"/>
        <v>61.61820333959453</v>
      </c>
      <c r="CB145" s="20">
        <f t="shared" si="118"/>
        <v>551.1403208164603</v>
      </c>
      <c r="CC145" s="59">
        <f t="shared" si="119"/>
        <v>844.47365414979367</v>
      </c>
      <c r="CD145" s="59">
        <f ca="1">AVERAGE(OFFSET($CC$3,0,0,'Données projet'!$E$12+1,1))-AVERAGE(OFFSET($H$3,0,0,'Données projet'!$E$12+1,1))</f>
        <v>204.6927427024138</v>
      </c>
      <c r="CE145" s="59">
        <f t="shared" si="148"/>
        <v>115.74231133146816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23.092389322568611</v>
      </c>
      <c r="CL145" s="21">
        <f>EXP(-LN(2)/25)*CL144+(1-EXP(-LN(2)/25))/(LN(2)/25)*Calculateur!CG145*Calculateur!CI145*VLOOKUP('Données projet'!$B$12,Paramètres!$A$1:$I$89,3,0)*0.475*44/12</f>
        <v>0.91751823239237518</v>
      </c>
      <c r="CM145" s="21">
        <f>EXP(-LN(2)/2)*CM144+(1-EXP(-LN(2)/2))/(LN(2)/2)*CG145*CJ145*VLOOKUP('Données projet'!$B$12,Paramètres!$A$1:$I$89,3,0)*0.475*44/12</f>
        <v>5.404159051648605E-7</v>
      </c>
      <c r="CN145" s="22">
        <f t="shared" si="120"/>
        <v>24.00990809537689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204.15575418077316</v>
      </c>
      <c r="CZ145" s="59">
        <f t="shared" si="150"/>
        <v>473.73726605265045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8.5265926016947926</v>
      </c>
      <c r="DG145" s="21">
        <f>EXP(-LN(2)/25)*DG144+(1-EXP(-LN(2)/25))/(LN(2)/25)*Calculateur!DB145*Calculateur!DD145*VLOOKUP('Données projet'!$B$13,Paramètres!$A$1:$I$89,3,0)*0.475*44/12</f>
        <v>2.0571846694724276</v>
      </c>
      <c r="DH145" s="21">
        <f>EXP(-LN(2)/2)*DH144+(1-EXP(-LN(2)/2))/(LN(2)/2)*DB145*DE145*VLOOKUP('Données projet'!$B$13,Paramètres!$A$1:$I$89,3,0)*0.475*44/12</f>
        <v>7.4748603630929766E-17</v>
      </c>
      <c r="DI145" s="22">
        <f t="shared" si="123"/>
        <v>10.58377727116722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216.83230520434313</v>
      </c>
      <c r="T146" s="59">
        <f t="shared" si="142"/>
        <v>275.41891707278205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18.602170007012383</v>
      </c>
      <c r="AA146" s="21">
        <f>EXP(-LN(2)/25)*AA145+(1-EXP(-LN(2)/25))/(LN(2)/25)*Calculateur!V146*Calculateur!X146*VLOOKUP('Données projet'!$B$9,Paramètres!$A$1:$I$89,3,0)*0.475*44/12</f>
        <v>1.668285493121809</v>
      </c>
      <c r="AB146" s="21">
        <f>EXP(-LN(2)/2)*AB145+(1-EXP(-LN(2)/2))/(LN(2)/2)*V146*Y146*VLOOKUP('Données projet'!$B$9,Paramètres!$A$1:$I$89,3,0)*0.475*44/12</f>
        <v>1.0199377874700095E-13</v>
      </c>
      <c r="AC146" s="22">
        <f t="shared" si="111"/>
        <v>20.270455500134293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268.00000000000011</v>
      </c>
      <c r="AJ146" s="13">
        <f>AI146*VLOOKUP('Données projet'!$B$10,Paramètres!$A$1:$I$89,3,0)*VLOOKUP('Données projet'!$B$10,Paramètres!$A$1:$I$89,5,0)</f>
        <v>271.75200000000012</v>
      </c>
      <c r="AK146" s="13">
        <f t="shared" si="143"/>
        <v>65.220947824724988</v>
      </c>
      <c r="AL146" s="20">
        <f t="shared" si="112"/>
        <v>586.89455079472953</v>
      </c>
      <c r="AM146" s="59">
        <f t="shared" si="113"/>
        <v>880.2278841280629</v>
      </c>
      <c r="AN146" s="59">
        <f ca="1">AVERAGE(OFFSET($AM$3,0,0,'Données projet'!$E$10+1,1))-AVERAGE(OFFSET($H$3,0,0,'Données projet'!$E$10+1,1))</f>
        <v>292.42154837691379</v>
      </c>
      <c r="AO146" s="59">
        <f t="shared" si="144"/>
        <v>193.18009444354601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41.463853498872815</v>
      </c>
      <c r="AV146" s="21">
        <f>EXP(-LN(2)/25)*AV145+(1-EXP(-LN(2)/25))/(LN(2)/25)*Calculateur!AQ146*Calculateur!AS146*VLOOKUP('Données projet'!$B$10,Paramètres!$A$1:$I$89,3,0)*0.475*44/12</f>
        <v>1.4649480608247543</v>
      </c>
      <c r="AW146" s="21">
        <f>EXP(-LN(2)/2)*AW145+(1-EXP(-LN(2)/2))/(LN(2)/2)*AQ146*AT146*VLOOKUP('Données projet'!$B$10,Paramètres!$A$1:$I$89,3,0)*0.475*44/12</f>
        <v>4.1445367940664928E-4</v>
      </c>
      <c r="AX146" s="21">
        <f t="shared" si="114"/>
        <v>42.929216013376973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322</v>
      </c>
      <c r="BE146" s="13">
        <f>BD146*VLOOKUP('Données projet'!$B$11,Paramètres!$A$1:$I$89,3,0)*VLOOKUP('Données projet'!$B$11,Paramètres!$A$1:$I$89,5,0)</f>
        <v>306.41519999999997</v>
      </c>
      <c r="BF146" s="13">
        <f t="shared" si="145"/>
        <v>72.519675217547672</v>
      </c>
      <c r="BG146" s="20">
        <f t="shared" si="115"/>
        <v>659.9782410038955</v>
      </c>
      <c r="BH146" s="59">
        <f t="shared" si="116"/>
        <v>953.31157433722888</v>
      </c>
      <c r="BI146" s="59">
        <f ca="1">AVERAGE(OFFSET($BH$3,0,0,'Données projet'!$E$11+1,1))-AVERAGE(OFFSET($H$3,0,0,'Données projet'!$E$11+1,1))</f>
        <v>339.00921630742886</v>
      </c>
      <c r="BJ146" s="59">
        <f t="shared" si="146"/>
        <v>314.95763895978303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16.190664139029664</v>
      </c>
      <c r="BQ146" s="21">
        <f>EXP(-LN(2)/25)*BQ145+(1-EXP(-LN(2)/25))/(LN(2)/25)*Calculateur!BL146*Calculateur!BN146*VLOOKUP('Données projet'!$B$11,Paramètres!$A$1:$I$89,3,0)*0.475*44/12</f>
        <v>0.56197217645785424</v>
      </c>
      <c r="BR146" s="21">
        <f>EXP(-LN(2)/2)*BR145+(1-EXP(-LN(2)/2))/(LN(2)/2)*BL146*BO146*VLOOKUP('Données projet'!$B$11,Paramètres!$A$1:$I$89,3,0)*0.475*44/12</f>
        <v>2.4633014403815682E-9</v>
      </c>
      <c r="BS146" s="22">
        <f t="shared" si="117"/>
        <v>16.75263631795082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296.99999999999983</v>
      </c>
      <c r="BZ146" s="13">
        <f>BY146*VLOOKUP('Données projet'!$B$12,Paramètres!$A$1:$I$89,3,0)*VLOOKUP('Données projet'!$B$12,Paramètres!$A$1:$I$89,5,0)</f>
        <v>254.82599999999988</v>
      </c>
      <c r="CA146" s="13">
        <f t="shared" si="147"/>
        <v>61.61820333959453</v>
      </c>
      <c r="CB146" s="20">
        <f t="shared" si="118"/>
        <v>551.1403208164603</v>
      </c>
      <c r="CC146" s="59">
        <f t="shared" si="119"/>
        <v>844.47365414979367</v>
      </c>
      <c r="CD146" s="59">
        <f ca="1">AVERAGE(OFFSET($CC$3,0,0,'Données projet'!$E$12+1,1))-AVERAGE(OFFSET($H$3,0,0,'Données projet'!$E$12+1,1))</f>
        <v>204.6927427024138</v>
      </c>
      <c r="CE146" s="59">
        <f t="shared" si="148"/>
        <v>115.74231133146816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22.639561652919753</v>
      </c>
      <c r="CL146" s="21">
        <f>EXP(-LN(2)/25)*CL145+(1-EXP(-LN(2)/25))/(LN(2)/25)*Calculateur!CG146*Calculateur!CI146*VLOOKUP('Données projet'!$B$12,Paramètres!$A$1:$I$89,3,0)*0.475*44/12</f>
        <v>0.89242864807741884</v>
      </c>
      <c r="CM146" s="21">
        <f>EXP(-LN(2)/2)*CM145+(1-EXP(-LN(2)/2))/(LN(2)/2)*CG146*CJ146*VLOOKUP('Données projet'!$B$12,Paramètres!$A$1:$I$89,3,0)*0.475*44/12</f>
        <v>3.8213175120313903E-7</v>
      </c>
      <c r="CN146" s="22">
        <f t="shared" si="120"/>
        <v>23.531990683128925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204.15575418077316</v>
      </c>
      <c r="CZ146" s="59">
        <f t="shared" si="150"/>
        <v>473.73726605265045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8.3593913214835176</v>
      </c>
      <c r="DG146" s="21">
        <f>EXP(-LN(2)/25)*DG145+(1-EXP(-LN(2)/25))/(LN(2)/25)*Calculateur!DB146*Calculateur!DD146*VLOOKUP('Données projet'!$B$13,Paramètres!$A$1:$I$89,3,0)*0.475*44/12</f>
        <v>2.000930846503064</v>
      </c>
      <c r="DH146" s="21">
        <f>EXP(-LN(2)/2)*DH145+(1-EXP(-LN(2)/2))/(LN(2)/2)*DB146*DE146*VLOOKUP('Données projet'!$B$13,Paramètres!$A$1:$I$89,3,0)*0.475*44/12</f>
        <v>5.2855244511655826E-17</v>
      </c>
      <c r="DI146" s="22">
        <f t="shared" si="123"/>
        <v>10.360322167986581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216.83230520434313</v>
      </c>
      <c r="T147" s="59">
        <f t="shared" si="142"/>
        <v>275.41891707278205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18.237392799378231</v>
      </c>
      <c r="AA147" s="21">
        <f>EXP(-LN(2)/25)*AA146+(1-EXP(-LN(2)/25))/(LN(2)/25)*Calculateur!V147*Calculateur!X147*VLOOKUP('Données projet'!$B$9,Paramètres!$A$1:$I$89,3,0)*0.475*44/12</f>
        <v>1.6226661385810719</v>
      </c>
      <c r="AB147" s="21">
        <f>EXP(-LN(2)/2)*AB146+(1-EXP(-LN(2)/2))/(LN(2)/2)*V147*Y147*VLOOKUP('Données projet'!$B$9,Paramètres!$A$1:$I$89,3,0)*0.475*44/12</f>
        <v>7.2120492590844738E-14</v>
      </c>
      <c r="AC147" s="22">
        <f t="shared" si="111"/>
        <v>19.860058937959373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268.00000000000011</v>
      </c>
      <c r="AJ147" s="13">
        <f>AI147*VLOOKUP('Données projet'!$B$10,Paramètres!$A$1:$I$89,3,0)*VLOOKUP('Données projet'!$B$10,Paramètres!$A$1:$I$89,5,0)</f>
        <v>271.75200000000012</v>
      </c>
      <c r="AK147" s="13">
        <f t="shared" si="143"/>
        <v>65.220947824724988</v>
      </c>
      <c r="AL147" s="20">
        <f t="shared" si="112"/>
        <v>586.89455079472953</v>
      </c>
      <c r="AM147" s="59">
        <f t="shared" si="113"/>
        <v>880.2278841280629</v>
      </c>
      <c r="AN147" s="59">
        <f ca="1">AVERAGE(OFFSET($AM$3,0,0,'Données projet'!$E$10+1,1))-AVERAGE(OFFSET($H$3,0,0,'Données projet'!$E$10+1,1))</f>
        <v>292.42154837691379</v>
      </c>
      <c r="AO147" s="59">
        <f t="shared" si="144"/>
        <v>193.18009444354601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40.650772622213331</v>
      </c>
      <c r="AV147" s="21">
        <f>EXP(-LN(2)/25)*AV146+(1-EXP(-LN(2)/25))/(LN(2)/25)*Calculateur!AQ147*Calculateur!AS147*VLOOKUP('Données projet'!$B$10,Paramètres!$A$1:$I$89,3,0)*0.475*44/12</f>
        <v>1.4248889790632311</v>
      </c>
      <c r="AW147" s="21">
        <f>EXP(-LN(2)/2)*AW146+(1-EXP(-LN(2)/2))/(LN(2)/2)*AQ147*AT147*VLOOKUP('Données projet'!$B$10,Paramètres!$A$1:$I$89,3,0)*0.475*44/12</f>
        <v>2.9306300719615706E-4</v>
      </c>
      <c r="AX147" s="21">
        <f t="shared" si="114"/>
        <v>42.075954664283763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322</v>
      </c>
      <c r="BE147" s="13">
        <f>BD147*VLOOKUP('Données projet'!$B$11,Paramètres!$A$1:$I$89,3,0)*VLOOKUP('Données projet'!$B$11,Paramètres!$A$1:$I$89,5,0)</f>
        <v>306.41519999999997</v>
      </c>
      <c r="BF147" s="13">
        <f t="shared" si="145"/>
        <v>72.519675217547672</v>
      </c>
      <c r="BG147" s="20">
        <f t="shared" si="115"/>
        <v>659.9782410038955</v>
      </c>
      <c r="BH147" s="59">
        <f t="shared" si="116"/>
        <v>953.31157433722888</v>
      </c>
      <c r="BI147" s="59">
        <f ca="1">AVERAGE(OFFSET($BH$3,0,0,'Données projet'!$E$11+1,1))-AVERAGE(OFFSET($H$3,0,0,'Données projet'!$E$11+1,1))</f>
        <v>339.00921630742886</v>
      </c>
      <c r="BJ147" s="59">
        <f t="shared" si="146"/>
        <v>314.95763895978303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15.873175090593309</v>
      </c>
      <c r="BQ147" s="21">
        <f>EXP(-LN(2)/25)*BQ146+(1-EXP(-LN(2)/25))/(LN(2)/25)*Calculateur!BL147*Calculateur!BN147*VLOOKUP('Données projet'!$B$11,Paramètres!$A$1:$I$89,3,0)*0.475*44/12</f>
        <v>0.54660501773978187</v>
      </c>
      <c r="BR147" s="21">
        <f>EXP(-LN(2)/2)*BR146+(1-EXP(-LN(2)/2))/(LN(2)/2)*BL147*BO147*VLOOKUP('Données projet'!$B$11,Paramètres!$A$1:$I$89,3,0)*0.475*44/12</f>
        <v>1.7418171526003969E-9</v>
      </c>
      <c r="BS147" s="22">
        <f t="shared" si="117"/>
        <v>16.419780110074907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296.99999999999983</v>
      </c>
      <c r="BZ147" s="13">
        <f>BY147*VLOOKUP('Données projet'!$B$12,Paramètres!$A$1:$I$89,3,0)*VLOOKUP('Données projet'!$B$12,Paramètres!$A$1:$I$89,5,0)</f>
        <v>254.82599999999988</v>
      </c>
      <c r="CA147" s="13">
        <f t="shared" si="147"/>
        <v>61.61820333959453</v>
      </c>
      <c r="CB147" s="20">
        <f t="shared" si="118"/>
        <v>551.1403208164603</v>
      </c>
      <c r="CC147" s="59">
        <f t="shared" si="119"/>
        <v>844.47365414979367</v>
      </c>
      <c r="CD147" s="59">
        <f ca="1">AVERAGE(OFFSET($CC$3,0,0,'Données projet'!$E$12+1,1))-AVERAGE(OFFSET($H$3,0,0,'Données projet'!$E$12+1,1))</f>
        <v>204.6927427024138</v>
      </c>
      <c r="CE147" s="59">
        <f t="shared" si="148"/>
        <v>115.74231133146816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22.195613657675104</v>
      </c>
      <c r="CL147" s="21">
        <f>EXP(-LN(2)/25)*CL146+(1-EXP(-LN(2)/25))/(LN(2)/25)*Calculateur!CG147*Calculateur!CI147*VLOOKUP('Données projet'!$B$12,Paramètres!$A$1:$I$89,3,0)*0.475*44/12</f>
        <v>0.86802513976495888</v>
      </c>
      <c r="CM147" s="21">
        <f>EXP(-LN(2)/2)*CM146+(1-EXP(-LN(2)/2))/(LN(2)/2)*CG147*CJ147*VLOOKUP('Données projet'!$B$12,Paramètres!$A$1:$I$89,3,0)*0.475*44/12</f>
        <v>2.7020795258243025E-7</v>
      </c>
      <c r="CN147" s="22">
        <f t="shared" si="120"/>
        <v>23.063639067648015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204.15575418077316</v>
      </c>
      <c r="CZ147" s="59">
        <f t="shared" si="150"/>
        <v>473.73726605265045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8.1954687563944741</v>
      </c>
      <c r="DG147" s="21">
        <f>EXP(-LN(2)/25)*DG146+(1-EXP(-LN(2)/25))/(LN(2)/25)*Calculateur!DB147*Calculateur!DD147*VLOOKUP('Données projet'!$B$13,Paramètres!$A$1:$I$89,3,0)*0.475*44/12</f>
        <v>1.9462152872810576</v>
      </c>
      <c r="DH147" s="21">
        <f>EXP(-LN(2)/2)*DH146+(1-EXP(-LN(2)/2))/(LN(2)/2)*DB147*DE147*VLOOKUP('Données projet'!$B$13,Paramètres!$A$1:$I$89,3,0)*0.475*44/12</f>
        <v>3.7374301815464883E-17</v>
      </c>
      <c r="DI147" s="22">
        <f t="shared" si="123"/>
        <v>10.141684043675532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216.83230520434313</v>
      </c>
      <c r="T148" s="59">
        <f t="shared" si="142"/>
        <v>275.41891707278205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17.879768650293656</v>
      </c>
      <c r="AA148" s="21">
        <f>EXP(-LN(2)/25)*AA147+(1-EXP(-LN(2)/25))/(LN(2)/25)*Calculateur!V148*Calculateur!X148*VLOOKUP('Données projet'!$B$9,Paramètres!$A$1:$I$89,3,0)*0.475*44/12</f>
        <v>1.578294247689269</v>
      </c>
      <c r="AB148" s="21">
        <f>EXP(-LN(2)/2)*AB147+(1-EXP(-LN(2)/2))/(LN(2)/2)*V148*Y148*VLOOKUP('Données projet'!$B$9,Paramètres!$A$1:$I$89,3,0)*0.475*44/12</f>
        <v>5.0996889373500473E-14</v>
      </c>
      <c r="AC148" s="22">
        <f t="shared" si="111"/>
        <v>19.458062897982973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268.00000000000011</v>
      </c>
      <c r="AJ148" s="13">
        <f>AI148*VLOOKUP('Données projet'!$B$10,Paramètres!$A$1:$I$89,3,0)*VLOOKUP('Données projet'!$B$10,Paramètres!$A$1:$I$89,5,0)</f>
        <v>271.75200000000012</v>
      </c>
      <c r="AK148" s="13">
        <f t="shared" si="143"/>
        <v>65.220947824724988</v>
      </c>
      <c r="AL148" s="20">
        <f t="shared" si="112"/>
        <v>586.89455079472953</v>
      </c>
      <c r="AM148" s="59">
        <f t="shared" si="113"/>
        <v>880.2278841280629</v>
      </c>
      <c r="AN148" s="59">
        <f ca="1">AVERAGE(OFFSET($AM$3,0,0,'Données projet'!$E$10+1,1))-AVERAGE(OFFSET($H$3,0,0,'Données projet'!$E$10+1,1))</f>
        <v>292.42154837691379</v>
      </c>
      <c r="AO148" s="59">
        <f t="shared" si="144"/>
        <v>193.18009444354601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39.853635765614769</v>
      </c>
      <c r="AV148" s="21">
        <f>EXP(-LN(2)/25)*AV147+(1-EXP(-LN(2)/25))/(LN(2)/25)*Calculateur!AQ148*Calculateur!AS148*VLOOKUP('Données projet'!$B$10,Paramètres!$A$1:$I$89,3,0)*0.475*44/12</f>
        <v>1.3859253149990922</v>
      </c>
      <c r="AW148" s="21">
        <f>EXP(-LN(2)/2)*AW147+(1-EXP(-LN(2)/2))/(LN(2)/2)*AQ148*AT148*VLOOKUP('Données projet'!$B$10,Paramètres!$A$1:$I$89,3,0)*0.475*44/12</f>
        <v>2.0722683970332464E-4</v>
      </c>
      <c r="AX148" s="21">
        <f t="shared" si="114"/>
        <v>41.239768307453566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322</v>
      </c>
      <c r="BE148" s="13">
        <f>BD148*VLOOKUP('Données projet'!$B$11,Paramètres!$A$1:$I$89,3,0)*VLOOKUP('Données projet'!$B$11,Paramètres!$A$1:$I$89,5,0)</f>
        <v>306.41519999999997</v>
      </c>
      <c r="BF148" s="13">
        <f t="shared" si="145"/>
        <v>72.519675217547672</v>
      </c>
      <c r="BG148" s="20">
        <f t="shared" si="115"/>
        <v>659.9782410038955</v>
      </c>
      <c r="BH148" s="59">
        <f t="shared" si="116"/>
        <v>953.31157433722888</v>
      </c>
      <c r="BI148" s="59">
        <f ca="1">AVERAGE(OFFSET($BH$3,0,0,'Données projet'!$E$11+1,1))-AVERAGE(OFFSET($H$3,0,0,'Données projet'!$E$11+1,1))</f>
        <v>339.00921630742886</v>
      </c>
      <c r="BJ148" s="59">
        <f t="shared" si="146"/>
        <v>314.95763895978303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15.561911808747592</v>
      </c>
      <c r="BQ148" s="21">
        <f>EXP(-LN(2)/25)*BQ147+(1-EXP(-LN(2)/25))/(LN(2)/25)*Calculateur!BL148*Calculateur!BN148*VLOOKUP('Données projet'!$B$11,Paramètres!$A$1:$I$89,3,0)*0.475*44/12</f>
        <v>0.53165807478497895</v>
      </c>
      <c r="BR148" s="21">
        <f>EXP(-LN(2)/2)*BR147+(1-EXP(-LN(2)/2))/(LN(2)/2)*BL148*BO148*VLOOKUP('Données projet'!$B$11,Paramètres!$A$1:$I$89,3,0)*0.475*44/12</f>
        <v>1.2316507201907841E-9</v>
      </c>
      <c r="BS148" s="22">
        <f t="shared" si="117"/>
        <v>16.093569884764221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296.99999999999983</v>
      </c>
      <c r="BZ148" s="13">
        <f>BY148*VLOOKUP('Données projet'!$B$12,Paramètres!$A$1:$I$89,3,0)*VLOOKUP('Données projet'!$B$12,Paramètres!$A$1:$I$89,5,0)</f>
        <v>254.82599999999988</v>
      </c>
      <c r="CA148" s="13">
        <f t="shared" si="147"/>
        <v>61.61820333959453</v>
      </c>
      <c r="CB148" s="20">
        <f t="shared" si="118"/>
        <v>551.1403208164603</v>
      </c>
      <c r="CC148" s="59">
        <f t="shared" si="119"/>
        <v>844.47365414979367</v>
      </c>
      <c r="CD148" s="59">
        <f ca="1">AVERAGE(OFFSET($CC$3,0,0,'Données projet'!$E$12+1,1))-AVERAGE(OFFSET($H$3,0,0,'Données projet'!$E$12+1,1))</f>
        <v>204.6927427024138</v>
      </c>
      <c r="CE148" s="59">
        <f t="shared" si="148"/>
        <v>115.74231133146816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21.760371211835661</v>
      </c>
      <c r="CL148" s="21">
        <f>EXP(-LN(2)/25)*CL147+(1-EXP(-LN(2)/25))/(LN(2)/25)*Calculateur!CG148*Calculateur!CI148*VLOOKUP('Données projet'!$B$12,Paramètres!$A$1:$I$89,3,0)*0.475*44/12</f>
        <v>0.84428894667062793</v>
      </c>
      <c r="CM148" s="21">
        <f>EXP(-LN(2)/2)*CM147+(1-EXP(-LN(2)/2))/(LN(2)/2)*CG148*CJ148*VLOOKUP('Données projet'!$B$12,Paramètres!$A$1:$I$89,3,0)*0.475*44/12</f>
        <v>1.9106587560156952E-7</v>
      </c>
      <c r="CN148" s="22">
        <f t="shared" si="120"/>
        <v>22.604660349572164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204.15575418077316</v>
      </c>
      <c r="CZ148" s="59">
        <f t="shared" si="150"/>
        <v>473.73726605265045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8.0347606128239359</v>
      </c>
      <c r="DG148" s="21">
        <f>EXP(-LN(2)/25)*DG147+(1-EXP(-LN(2)/25))/(LN(2)/25)*Calculateur!DB148*Calculateur!DD148*VLOOKUP('Données projet'!$B$13,Paramètres!$A$1:$I$89,3,0)*0.475*44/12</f>
        <v>1.8929959279033433</v>
      </c>
      <c r="DH148" s="21">
        <f>EXP(-LN(2)/2)*DH147+(1-EXP(-LN(2)/2))/(LN(2)/2)*DB148*DE148*VLOOKUP('Données projet'!$B$13,Paramètres!$A$1:$I$89,3,0)*0.475*44/12</f>
        <v>2.6427622255827913E-17</v>
      </c>
      <c r="DI148" s="22">
        <f t="shared" si="123"/>
        <v>9.9277565407272785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216.83230520434313</v>
      </c>
      <c r="T149" s="59">
        <f t="shared" si="142"/>
        <v>275.41891707278205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17.529157292643436</v>
      </c>
      <c r="AA149" s="21">
        <f>EXP(-LN(2)/25)*AA148+(1-EXP(-LN(2)/25))/(LN(2)/25)*Calculateur!V149*Calculateur!X149*VLOOKUP('Données projet'!$B$9,Paramètres!$A$1:$I$89,3,0)*0.475*44/12</f>
        <v>1.5351357084873187</v>
      </c>
      <c r="AB149" s="21">
        <f>EXP(-LN(2)/2)*AB148+(1-EXP(-LN(2)/2))/(LN(2)/2)*V149*Y149*VLOOKUP('Données projet'!$B$9,Paramètres!$A$1:$I$89,3,0)*0.475*44/12</f>
        <v>3.6060246295422369E-14</v>
      </c>
      <c r="AC149" s="22">
        <f t="shared" si="111"/>
        <v>19.064293001130789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268.00000000000011</v>
      </c>
      <c r="AJ149" s="13">
        <f>AI149*VLOOKUP('Données projet'!$B$10,Paramètres!$A$1:$I$89,3,0)*VLOOKUP('Données projet'!$B$10,Paramètres!$A$1:$I$89,5,0)</f>
        <v>271.75200000000012</v>
      </c>
      <c r="AK149" s="13">
        <f t="shared" si="143"/>
        <v>65.220947824724988</v>
      </c>
      <c r="AL149" s="20">
        <f t="shared" si="112"/>
        <v>586.89455079472953</v>
      </c>
      <c r="AM149" s="59">
        <f t="shared" si="113"/>
        <v>880.2278841280629</v>
      </c>
      <c r="AN149" s="59">
        <f ca="1">AVERAGE(OFFSET($AM$3,0,0,'Données projet'!$E$10+1,1))-AVERAGE(OFFSET($H$3,0,0,'Données projet'!$E$10+1,1))</f>
        <v>292.42154837691379</v>
      </c>
      <c r="AO149" s="59">
        <f t="shared" si="144"/>
        <v>193.18009444354601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39.072130276568636</v>
      </c>
      <c r="AV149" s="21">
        <f>EXP(-LN(2)/25)*AV148+(1-EXP(-LN(2)/25))/(LN(2)/25)*Calculateur!AQ149*Calculateur!AS149*VLOOKUP('Données projet'!$B$10,Paramètres!$A$1:$I$89,3,0)*0.475*44/12</f>
        <v>1.3480271143777973</v>
      </c>
      <c r="AW149" s="21">
        <f>EXP(-LN(2)/2)*AW148+(1-EXP(-LN(2)/2))/(LN(2)/2)*AQ149*AT149*VLOOKUP('Données projet'!$B$10,Paramètres!$A$1:$I$89,3,0)*0.475*44/12</f>
        <v>1.4653150359807853E-4</v>
      </c>
      <c r="AX149" s="21">
        <f t="shared" si="114"/>
        <v>40.420303922450032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322</v>
      </c>
      <c r="BE149" s="13">
        <f>BD149*VLOOKUP('Données projet'!$B$11,Paramètres!$A$1:$I$89,3,0)*VLOOKUP('Données projet'!$B$11,Paramètres!$A$1:$I$89,5,0)</f>
        <v>306.41519999999997</v>
      </c>
      <c r="BF149" s="13">
        <f t="shared" si="145"/>
        <v>72.519675217547672</v>
      </c>
      <c r="BG149" s="20">
        <f t="shared" si="115"/>
        <v>659.9782410038955</v>
      </c>
      <c r="BH149" s="59">
        <f t="shared" si="116"/>
        <v>953.31157433722888</v>
      </c>
      <c r="BI149" s="59">
        <f ca="1">AVERAGE(OFFSET($BH$3,0,0,'Données projet'!$E$11+1,1))-AVERAGE(OFFSET($H$3,0,0,'Données projet'!$E$11+1,1))</f>
        <v>339.00921630742886</v>
      </c>
      <c r="BJ149" s="59">
        <f t="shared" si="146"/>
        <v>314.95763895978303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15.256752210007015</v>
      </c>
      <c r="BQ149" s="21">
        <f>EXP(-LN(2)/25)*BQ148+(1-EXP(-LN(2)/25))/(LN(2)/25)*Calculateur!BL149*Calculateur!BN149*VLOOKUP('Données projet'!$B$11,Paramètres!$A$1:$I$89,3,0)*0.475*44/12</f>
        <v>0.51711985677130068</v>
      </c>
      <c r="BR149" s="21">
        <f>EXP(-LN(2)/2)*BR148+(1-EXP(-LN(2)/2))/(LN(2)/2)*BL149*BO149*VLOOKUP('Données projet'!$B$11,Paramètres!$A$1:$I$89,3,0)*0.475*44/12</f>
        <v>8.7090857630019847E-10</v>
      </c>
      <c r="BS149" s="22">
        <f t="shared" si="117"/>
        <v>15.773872067649224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296.99999999999983</v>
      </c>
      <c r="BZ149" s="13">
        <f>BY149*VLOOKUP('Données projet'!$B$12,Paramètres!$A$1:$I$89,3,0)*VLOOKUP('Données projet'!$B$12,Paramètres!$A$1:$I$89,5,0)</f>
        <v>254.82599999999988</v>
      </c>
      <c r="CA149" s="13">
        <f t="shared" si="147"/>
        <v>61.61820333959453</v>
      </c>
      <c r="CB149" s="20">
        <f t="shared" si="118"/>
        <v>551.1403208164603</v>
      </c>
      <c r="CC149" s="59">
        <f t="shared" si="119"/>
        <v>844.47365414979367</v>
      </c>
      <c r="CD149" s="59">
        <f ca="1">AVERAGE(OFFSET($CC$3,0,0,'Données projet'!$E$12+1,1))-AVERAGE(OFFSET($H$3,0,0,'Données projet'!$E$12+1,1))</f>
        <v>204.6927427024138</v>
      </c>
      <c r="CE149" s="59">
        <f t="shared" si="148"/>
        <v>115.74231133146816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21.333663604887452</v>
      </c>
      <c r="CL149" s="21">
        <f>EXP(-LN(2)/25)*CL148+(1-EXP(-LN(2)/25))/(LN(2)/25)*Calculateur!CG149*Calculateur!CI149*VLOOKUP('Données projet'!$B$12,Paramètres!$A$1:$I$89,3,0)*0.475*44/12</f>
        <v>0.82120182102469352</v>
      </c>
      <c r="CM149" s="21">
        <f>EXP(-LN(2)/2)*CM148+(1-EXP(-LN(2)/2))/(LN(2)/2)*CG149*CJ149*VLOOKUP('Données projet'!$B$12,Paramètres!$A$1:$I$89,3,0)*0.475*44/12</f>
        <v>1.3510397629121512E-7</v>
      </c>
      <c r="CN149" s="22">
        <f t="shared" si="120"/>
        <v>22.154865561016123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204.15575418077316</v>
      </c>
      <c r="CZ149" s="59">
        <f t="shared" si="150"/>
        <v>473.73726605265045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7.8772038579265269</v>
      </c>
      <c r="DG149" s="21">
        <f>EXP(-LN(2)/25)*DG148+(1-EXP(-LN(2)/25))/(LN(2)/25)*Calculateur!DB149*Calculateur!DD149*VLOOKUP('Données projet'!$B$13,Paramètres!$A$1:$I$89,3,0)*0.475*44/12</f>
        <v>1.841231854706497</v>
      </c>
      <c r="DH149" s="21">
        <f>EXP(-LN(2)/2)*DH148+(1-EXP(-LN(2)/2))/(LN(2)/2)*DB149*DE149*VLOOKUP('Données projet'!$B$13,Paramètres!$A$1:$I$89,3,0)*0.475*44/12</f>
        <v>1.8687150907732441E-17</v>
      </c>
      <c r="DI149" s="22">
        <f t="shared" si="123"/>
        <v>9.7184357126330241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216.83230520434313</v>
      </c>
      <c r="T150" s="59">
        <f t="shared" si="142"/>
        <v>275.41891707278205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17.185421209864927</v>
      </c>
      <c r="AA150" s="21">
        <f>EXP(-LN(2)/25)*AA149+(1-EXP(-LN(2)/25))/(LN(2)/25)*Calculateur!V150*Calculateur!X150*VLOOKUP('Données projet'!$B$9,Paramètres!$A$1:$I$89,3,0)*0.475*44/12</f>
        <v>1.4931573418094546</v>
      </c>
      <c r="AB150" s="21">
        <f>EXP(-LN(2)/2)*AB149+(1-EXP(-LN(2)/2))/(LN(2)/2)*V150*Y150*VLOOKUP('Données projet'!$B$9,Paramètres!$A$1:$I$89,3,0)*0.475*44/12</f>
        <v>2.5498444686750236E-14</v>
      </c>
      <c r="AC150" s="22">
        <f t="shared" si="111"/>
        <v>18.678578551674406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268.00000000000011</v>
      </c>
      <c r="AJ150" s="13">
        <f>AI150*VLOOKUP('Données projet'!$B$10,Paramètres!$A$1:$I$89,3,0)*VLOOKUP('Données projet'!$B$10,Paramètres!$A$1:$I$89,5,0)</f>
        <v>271.75200000000012</v>
      </c>
      <c r="AK150" s="13">
        <f t="shared" si="143"/>
        <v>65.220947824724988</v>
      </c>
      <c r="AL150" s="20">
        <f t="shared" si="112"/>
        <v>586.89455079472953</v>
      </c>
      <c r="AM150" s="59">
        <f t="shared" si="113"/>
        <v>880.2278841280629</v>
      </c>
      <c r="AN150" s="59">
        <f ca="1">AVERAGE(OFFSET($AM$3,0,0,'Données projet'!$E$10+1,1))-AVERAGE(OFFSET($H$3,0,0,'Données projet'!$E$10+1,1))</f>
        <v>292.42154837691379</v>
      </c>
      <c r="AO150" s="59">
        <f t="shared" si="144"/>
        <v>193.18009444354601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38.305949633491416</v>
      </c>
      <c r="AV150" s="21">
        <f>EXP(-LN(2)/25)*AV149+(1-EXP(-LN(2)/25))/(LN(2)/25)*Calculateur!AQ150*Calculateur!AS150*VLOOKUP('Données projet'!$B$10,Paramètres!$A$1:$I$89,3,0)*0.475*44/12</f>
        <v>1.3111652420454714</v>
      </c>
      <c r="AW150" s="21">
        <f>EXP(-LN(2)/2)*AW149+(1-EXP(-LN(2)/2))/(LN(2)/2)*AQ150*AT150*VLOOKUP('Données projet'!$B$10,Paramètres!$A$1:$I$89,3,0)*0.475*44/12</f>
        <v>1.0361341985166232E-4</v>
      </c>
      <c r="AX150" s="21">
        <f t="shared" si="114"/>
        <v>39.617218488956738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322</v>
      </c>
      <c r="BE150" s="13">
        <f>BD150*VLOOKUP('Données projet'!$B$11,Paramètres!$A$1:$I$89,3,0)*VLOOKUP('Données projet'!$B$11,Paramètres!$A$1:$I$89,5,0)</f>
        <v>306.41519999999997</v>
      </c>
      <c r="BF150" s="13">
        <f t="shared" si="145"/>
        <v>72.519675217547672</v>
      </c>
      <c r="BG150" s="20">
        <f t="shared" si="115"/>
        <v>659.9782410038955</v>
      </c>
      <c r="BH150" s="59">
        <f t="shared" si="116"/>
        <v>953.31157433722888</v>
      </c>
      <c r="BI150" s="59">
        <f ca="1">AVERAGE(OFFSET($BH$3,0,0,'Données projet'!$E$11+1,1))-AVERAGE(OFFSET($H$3,0,0,'Données projet'!$E$11+1,1))</f>
        <v>339.00921630742886</v>
      </c>
      <c r="BJ150" s="59">
        <f t="shared" si="146"/>
        <v>314.95763895978303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14.957576604868764</v>
      </c>
      <c r="BQ150" s="21">
        <f>EXP(-LN(2)/25)*BQ149+(1-EXP(-LN(2)/25))/(LN(2)/25)*Calculateur!BL150*Calculateur!BN150*VLOOKUP('Données projet'!$B$11,Paramètres!$A$1:$I$89,3,0)*0.475*44/12</f>
        <v>0.50297918709373812</v>
      </c>
      <c r="BR150" s="21">
        <f>EXP(-LN(2)/2)*BR149+(1-EXP(-LN(2)/2))/(LN(2)/2)*BL150*BO150*VLOOKUP('Données projet'!$B$11,Paramètres!$A$1:$I$89,3,0)*0.475*44/12</f>
        <v>6.1582536009539206E-10</v>
      </c>
      <c r="BS150" s="22">
        <f t="shared" si="117"/>
        <v>15.460555792578328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296.99999999999983</v>
      </c>
      <c r="BZ150" s="13">
        <f>BY150*VLOOKUP('Données projet'!$B$12,Paramètres!$A$1:$I$89,3,0)*VLOOKUP('Données projet'!$B$12,Paramètres!$A$1:$I$89,5,0)</f>
        <v>254.82599999999988</v>
      </c>
      <c r="CA150" s="13">
        <f t="shared" si="147"/>
        <v>61.61820333959453</v>
      </c>
      <c r="CB150" s="20">
        <f t="shared" si="118"/>
        <v>551.1403208164603</v>
      </c>
      <c r="CC150" s="59">
        <f t="shared" si="119"/>
        <v>844.47365414979367</v>
      </c>
      <c r="CD150" s="59">
        <f ca="1">AVERAGE(OFFSET($CC$3,0,0,'Données projet'!$E$12+1,1))-AVERAGE(OFFSET($H$3,0,0,'Données projet'!$E$12+1,1))</f>
        <v>204.6927427024138</v>
      </c>
      <c r="CE150" s="59">
        <f t="shared" si="148"/>
        <v>115.74231133146816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20.915323473845554</v>
      </c>
      <c r="CL150" s="21">
        <f>EXP(-LN(2)/25)*CL149+(1-EXP(-LN(2)/25))/(LN(2)/25)*Calculateur!CG150*Calculateur!CI150*VLOOKUP('Données projet'!$B$12,Paramètres!$A$1:$I$89,3,0)*0.475*44/12</f>
        <v>0.79874601404364642</v>
      </c>
      <c r="CM150" s="21">
        <f>EXP(-LN(2)/2)*CM149+(1-EXP(-LN(2)/2))/(LN(2)/2)*CG150*CJ150*VLOOKUP('Données projet'!$B$12,Paramètres!$A$1:$I$89,3,0)*0.475*44/12</f>
        <v>9.5532937800784759E-8</v>
      </c>
      <c r="CN150" s="22">
        <f t="shared" si="120"/>
        <v>21.714069583422138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204.15575418077316</v>
      </c>
      <c r="CZ150" s="59">
        <f t="shared" si="150"/>
        <v>473.73726605265045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7.7227366948925242</v>
      </c>
      <c r="DG150" s="21">
        <f>EXP(-LN(2)/25)*DG149+(1-EXP(-LN(2)/25))/(LN(2)/25)*Calculateur!DB150*Calculateur!DD150*VLOOKUP('Données projet'!$B$13,Paramètres!$A$1:$I$89,3,0)*0.475*44/12</f>
        <v>1.7908832728133728</v>
      </c>
      <c r="DH150" s="21">
        <f>EXP(-LN(2)/2)*DH149+(1-EXP(-LN(2)/2))/(LN(2)/2)*DB150*DE150*VLOOKUP('Données projet'!$B$13,Paramètres!$A$1:$I$89,3,0)*0.475*44/12</f>
        <v>1.3213811127913957E-17</v>
      </c>
      <c r="DI150" s="22">
        <f t="shared" si="123"/>
        <v>9.5136199677058961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216.83230520434313</v>
      </c>
      <c r="T151" s="59">
        <f t="shared" si="142"/>
        <v>275.41891707278205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16.848425582011394</v>
      </c>
      <c r="AA151" s="21">
        <f>EXP(-LN(2)/25)*AA150+(1-EXP(-LN(2)/25))/(LN(2)/25)*Calculateur!V151*Calculateur!X151*VLOOKUP('Données projet'!$B$9,Paramètres!$A$1:$I$89,3,0)*0.475*44/12</f>
        <v>1.4523268757759431</v>
      </c>
      <c r="AB151" s="21">
        <f>EXP(-LN(2)/2)*AB150+(1-EXP(-LN(2)/2))/(LN(2)/2)*V151*Y151*VLOOKUP('Données projet'!$B$9,Paramètres!$A$1:$I$89,3,0)*0.475*44/12</f>
        <v>1.8030123147711185E-14</v>
      </c>
      <c r="AC151" s="22">
        <f t="shared" si="111"/>
        <v>18.300752457787354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268.00000000000011</v>
      </c>
      <c r="AJ151" s="13">
        <f>AI151*VLOOKUP('Données projet'!$B$10,Paramètres!$A$1:$I$89,3,0)*VLOOKUP('Données projet'!$B$10,Paramètres!$A$1:$I$89,5,0)</f>
        <v>271.75200000000012</v>
      </c>
      <c r="AK151" s="13">
        <f t="shared" si="143"/>
        <v>65.220947824724988</v>
      </c>
      <c r="AL151" s="20">
        <f t="shared" si="112"/>
        <v>586.89455079472953</v>
      </c>
      <c r="AM151" s="59">
        <f t="shared" si="113"/>
        <v>880.2278841280629</v>
      </c>
      <c r="AN151" s="59">
        <f ca="1">AVERAGE(OFFSET($AM$3,0,0,'Données projet'!$E$10+1,1))-AVERAGE(OFFSET($H$3,0,0,'Données projet'!$E$10+1,1))</f>
        <v>292.42154837691379</v>
      </c>
      <c r="AO151" s="59">
        <f t="shared" si="144"/>
        <v>193.18009444354601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37.554793325500889</v>
      </c>
      <c r="AV151" s="21">
        <f>EXP(-LN(2)/25)*AV150+(1-EXP(-LN(2)/25))/(LN(2)/25)*Calculateur!AQ151*Calculateur!AS151*VLOOKUP('Données projet'!$B$10,Paramètres!$A$1:$I$89,3,0)*0.475*44/12</f>
        <v>1.2753113595505545</v>
      </c>
      <c r="AW151" s="21">
        <f>EXP(-LN(2)/2)*AW150+(1-EXP(-LN(2)/2))/(LN(2)/2)*AQ151*AT151*VLOOKUP('Données projet'!$B$10,Paramètres!$A$1:$I$89,3,0)*0.475*44/12</f>
        <v>7.3265751799039266E-5</v>
      </c>
      <c r="AX151" s="21">
        <f t="shared" si="114"/>
        <v>38.830177950803247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322</v>
      </c>
      <c r="BE151" s="13">
        <f>BD151*VLOOKUP('Données projet'!$B$11,Paramètres!$A$1:$I$89,3,0)*VLOOKUP('Données projet'!$B$11,Paramètres!$A$1:$I$89,5,0)</f>
        <v>306.41519999999997</v>
      </c>
      <c r="BF151" s="13">
        <f t="shared" si="145"/>
        <v>72.519675217547672</v>
      </c>
      <c r="BG151" s="20">
        <f t="shared" si="115"/>
        <v>659.9782410038955</v>
      </c>
      <c r="BH151" s="59">
        <f t="shared" si="116"/>
        <v>953.31157433722888</v>
      </c>
      <c r="BI151" s="59">
        <f ca="1">AVERAGE(OFFSET($BH$3,0,0,'Données projet'!$E$11+1,1))-AVERAGE(OFFSET($H$3,0,0,'Données projet'!$E$11+1,1))</f>
        <v>339.00921630742886</v>
      </c>
      <c r="BJ151" s="59">
        <f t="shared" si="146"/>
        <v>314.95763895978303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14.664267650868174</v>
      </c>
      <c r="BQ151" s="21">
        <f>EXP(-LN(2)/25)*BQ150+(1-EXP(-LN(2)/25))/(LN(2)/25)*Calculateur!BL151*Calculateur!BN151*VLOOKUP('Données projet'!$B$11,Paramètres!$A$1:$I$89,3,0)*0.475*44/12</f>
        <v>0.489225194772134</v>
      </c>
      <c r="BR151" s="21">
        <f>EXP(-LN(2)/2)*BR150+(1-EXP(-LN(2)/2))/(LN(2)/2)*BL151*BO151*VLOOKUP('Données projet'!$B$11,Paramètres!$A$1:$I$89,3,0)*0.475*44/12</f>
        <v>4.3545428815009924E-10</v>
      </c>
      <c r="BS151" s="22">
        <f t="shared" si="117"/>
        <v>15.153492846075762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296.99999999999983</v>
      </c>
      <c r="BZ151" s="13">
        <f>BY151*VLOOKUP('Données projet'!$B$12,Paramètres!$A$1:$I$89,3,0)*VLOOKUP('Données projet'!$B$12,Paramètres!$A$1:$I$89,5,0)</f>
        <v>254.82599999999988</v>
      </c>
      <c r="CA151" s="13">
        <f t="shared" si="147"/>
        <v>61.61820333959453</v>
      </c>
      <c r="CB151" s="20">
        <f t="shared" si="118"/>
        <v>551.1403208164603</v>
      </c>
      <c r="CC151" s="59">
        <f t="shared" si="119"/>
        <v>844.47365414979367</v>
      </c>
      <c r="CD151" s="59">
        <f ca="1">AVERAGE(OFFSET($CC$3,0,0,'Données projet'!$E$12+1,1))-AVERAGE(OFFSET($H$3,0,0,'Données projet'!$E$12+1,1))</f>
        <v>204.6927427024138</v>
      </c>
      <c r="CE151" s="59">
        <f t="shared" si="148"/>
        <v>115.74231133146816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20.505186737611105</v>
      </c>
      <c r="CL151" s="21">
        <f>EXP(-LN(2)/25)*CL150+(1-EXP(-LN(2)/25))/(LN(2)/25)*Calculateur!CG151*Calculateur!CI151*VLOOKUP('Données projet'!$B$12,Paramètres!$A$1:$I$89,3,0)*0.475*44/12</f>
        <v>0.77690426228539555</v>
      </c>
      <c r="CM151" s="21">
        <f>EXP(-LN(2)/2)*CM150+(1-EXP(-LN(2)/2))/(LN(2)/2)*CG151*CJ151*VLOOKUP('Données projet'!$B$12,Paramètres!$A$1:$I$89,3,0)*0.475*44/12</f>
        <v>6.7551988145607562E-8</v>
      </c>
      <c r="CN151" s="22">
        <f t="shared" si="120"/>
        <v>21.282091067448487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204.15575418077316</v>
      </c>
      <c r="CZ151" s="59">
        <f t="shared" si="150"/>
        <v>473.73726605265045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7.5712985387099518</v>
      </c>
      <c r="DG151" s="21">
        <f>EXP(-LN(2)/25)*DG150+(1-EXP(-LN(2)/25))/(LN(2)/25)*Calculateur!DB151*Calculateur!DD151*VLOOKUP('Données projet'!$B$13,Paramètres!$A$1:$I$89,3,0)*0.475*44/12</f>
        <v>1.7419114755398328</v>
      </c>
      <c r="DH151" s="21">
        <f>EXP(-LN(2)/2)*DH150+(1-EXP(-LN(2)/2))/(LN(2)/2)*DB151*DE151*VLOOKUP('Données projet'!$B$13,Paramètres!$A$1:$I$89,3,0)*0.475*44/12</f>
        <v>9.3435754538662207E-18</v>
      </c>
      <c r="DI151" s="22">
        <f t="shared" si="123"/>
        <v>9.3132100142497851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216.83230520434313</v>
      </c>
      <c r="T152" s="59">
        <f t="shared" si="142"/>
        <v>275.41891707278205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16.518038232873032</v>
      </c>
      <c r="AA152" s="21">
        <f>EXP(-LN(2)/25)*AA151+(1-EXP(-LN(2)/25))/(LN(2)/25)*Calculateur!V152*Calculateur!X152*VLOOKUP('Données projet'!$B$9,Paramètres!$A$1:$I$89,3,0)*0.475*44/12</f>
        <v>1.4126129209832989</v>
      </c>
      <c r="AB152" s="21">
        <f>EXP(-LN(2)/2)*AB151+(1-EXP(-LN(2)/2))/(LN(2)/2)*V152*Y152*VLOOKUP('Données projet'!$B$9,Paramètres!$A$1:$I$89,3,0)*0.475*44/12</f>
        <v>1.2749222343375118E-14</v>
      </c>
      <c r="AC152" s="22">
        <f t="shared" si="111"/>
        <v>17.930651153856346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268.00000000000011</v>
      </c>
      <c r="AJ152" s="13">
        <f>AI152*VLOOKUP('Données projet'!$B$10,Paramètres!$A$1:$I$89,3,0)*VLOOKUP('Données projet'!$B$10,Paramètres!$A$1:$I$89,5,0)</f>
        <v>271.75200000000012</v>
      </c>
      <c r="AK152" s="13">
        <f t="shared" si="143"/>
        <v>65.220947824724988</v>
      </c>
      <c r="AL152" s="20">
        <f t="shared" si="112"/>
        <v>586.89455079472953</v>
      </c>
      <c r="AM152" s="59">
        <f t="shared" si="113"/>
        <v>880.2278841280629</v>
      </c>
      <c r="AN152" s="59">
        <f ca="1">AVERAGE(OFFSET($AM$3,0,0,'Données projet'!$E$10+1,1))-AVERAGE(OFFSET($H$3,0,0,'Données projet'!$E$10+1,1))</f>
        <v>292.42154837691379</v>
      </c>
      <c r="AO152" s="59">
        <f t="shared" si="144"/>
        <v>193.18009444354601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36.818366734549947</v>
      </c>
      <c r="AV152" s="21">
        <f>EXP(-LN(2)/25)*AV151+(1-EXP(-LN(2)/25))/(LN(2)/25)*Calculateur!AQ152*Calculateur!AS152*VLOOKUP('Données projet'!$B$10,Paramètres!$A$1:$I$89,3,0)*0.475*44/12</f>
        <v>1.2404379033579349</v>
      </c>
      <c r="AW152" s="21">
        <f>EXP(-LN(2)/2)*AW151+(1-EXP(-LN(2)/2))/(LN(2)/2)*AQ152*AT152*VLOOKUP('Données projet'!$B$10,Paramètres!$A$1:$I$89,3,0)*0.475*44/12</f>
        <v>5.180670992583116E-5</v>
      </c>
      <c r="AX152" s="21">
        <f t="shared" si="114"/>
        <v>38.05885644461781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322</v>
      </c>
      <c r="BE152" s="13">
        <f>BD152*VLOOKUP('Données projet'!$B$11,Paramètres!$A$1:$I$89,3,0)*VLOOKUP('Données projet'!$B$11,Paramètres!$A$1:$I$89,5,0)</f>
        <v>306.41519999999997</v>
      </c>
      <c r="BF152" s="13">
        <f t="shared" si="145"/>
        <v>72.519675217547672</v>
      </c>
      <c r="BG152" s="20">
        <f t="shared" si="115"/>
        <v>659.9782410038955</v>
      </c>
      <c r="BH152" s="59">
        <f t="shared" si="116"/>
        <v>953.31157433722888</v>
      </c>
      <c r="BI152" s="59">
        <f ca="1">AVERAGE(OFFSET($BH$3,0,0,'Données projet'!$E$11+1,1))-AVERAGE(OFFSET($H$3,0,0,'Données projet'!$E$11+1,1))</f>
        <v>339.00921630742886</v>
      </c>
      <c r="BJ152" s="59">
        <f t="shared" si="146"/>
        <v>314.95763895978303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14.376710306554738</v>
      </c>
      <c r="BQ152" s="21">
        <f>EXP(-LN(2)/25)*BQ151+(1-EXP(-LN(2)/25))/(LN(2)/25)*Calculateur!BL152*Calculateur!BN152*VLOOKUP('Données projet'!$B$11,Paramètres!$A$1:$I$89,3,0)*0.475*44/12</f>
        <v>0.47584730609385512</v>
      </c>
      <c r="BR152" s="21">
        <f>EXP(-LN(2)/2)*BR151+(1-EXP(-LN(2)/2))/(LN(2)/2)*BL152*BO152*VLOOKUP('Données projet'!$B$11,Paramètres!$A$1:$I$89,3,0)*0.475*44/12</f>
        <v>3.0791268004769603E-10</v>
      </c>
      <c r="BS152" s="22">
        <f t="shared" si="117"/>
        <v>14.852557612956506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296.99999999999983</v>
      </c>
      <c r="BZ152" s="13">
        <f>BY152*VLOOKUP('Données projet'!$B$12,Paramètres!$A$1:$I$89,3,0)*VLOOKUP('Données projet'!$B$12,Paramètres!$A$1:$I$89,5,0)</f>
        <v>254.82599999999988</v>
      </c>
      <c r="CA152" s="13">
        <f t="shared" si="147"/>
        <v>61.61820333959453</v>
      </c>
      <c r="CB152" s="20">
        <f t="shared" si="118"/>
        <v>551.1403208164603</v>
      </c>
      <c r="CC152" s="59">
        <f t="shared" si="119"/>
        <v>844.47365414979367</v>
      </c>
      <c r="CD152" s="59">
        <f ca="1">AVERAGE(OFFSET($CC$3,0,0,'Données projet'!$E$12+1,1))-AVERAGE(OFFSET($H$3,0,0,'Données projet'!$E$12+1,1))</f>
        <v>204.6927427024138</v>
      </c>
      <c r="CE152" s="59">
        <f t="shared" si="148"/>
        <v>115.74231133146816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20.103092532615506</v>
      </c>
      <c r="CL152" s="21">
        <f>EXP(-LN(2)/25)*CL151+(1-EXP(-LN(2)/25))/(LN(2)/25)*Calculateur!CG152*Calculateur!CI152*VLOOKUP('Données projet'!$B$12,Paramètres!$A$1:$I$89,3,0)*0.475*44/12</f>
        <v>0.75565977437758192</v>
      </c>
      <c r="CM152" s="21">
        <f>EXP(-LN(2)/2)*CM151+(1-EXP(-LN(2)/2))/(LN(2)/2)*CG152*CJ152*VLOOKUP('Données projet'!$B$12,Paramètres!$A$1:$I$89,3,0)*0.475*44/12</f>
        <v>4.7766468900392379E-8</v>
      </c>
      <c r="CN152" s="22">
        <f t="shared" si="120"/>
        <v>20.858752354759556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204.15575418077316</v>
      </c>
      <c r="CZ152" s="59">
        <f t="shared" si="150"/>
        <v>473.73726605265045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7.4228299924019652</v>
      </c>
      <c r="DG152" s="21">
        <f>EXP(-LN(2)/25)*DG151+(1-EXP(-LN(2)/25))/(LN(2)/25)*Calculateur!DB152*Calculateur!DD152*VLOOKUP('Données projet'!$B$13,Paramètres!$A$1:$I$89,3,0)*0.475*44/12</f>
        <v>1.6942788146380527</v>
      </c>
      <c r="DH152" s="21">
        <f>EXP(-LN(2)/2)*DH151+(1-EXP(-LN(2)/2))/(LN(2)/2)*DB152*DE152*VLOOKUP('Données projet'!$B$13,Paramètres!$A$1:$I$89,3,0)*0.475*44/12</f>
        <v>6.6069055639569783E-18</v>
      </c>
      <c r="DI152" s="22">
        <f t="shared" si="123"/>
        <v>9.1171088070400188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216.83230520434313</v>
      </c>
      <c r="T153" s="59">
        <f t="shared" si="142"/>
        <v>275.41891707278205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16.194129578134888</v>
      </c>
      <c r="AA153" s="21">
        <f>EXP(-LN(2)/25)*AA152+(1-EXP(-LN(2)/25))/(LN(2)/25)*Calculateur!V153*Calculateur!X153*VLOOKUP('Données projet'!$B$9,Paramètres!$A$1:$I$89,3,0)*0.475*44/12</f>
        <v>1.3739849463729257</v>
      </c>
      <c r="AB153" s="21">
        <f>EXP(-LN(2)/2)*AB152+(1-EXP(-LN(2)/2))/(LN(2)/2)*V153*Y153*VLOOKUP('Données projet'!$B$9,Paramètres!$A$1:$I$89,3,0)*0.475*44/12</f>
        <v>9.0150615738555923E-15</v>
      </c>
      <c r="AC153" s="22">
        <f t="shared" si="111"/>
        <v>17.568114524507823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268.00000000000011</v>
      </c>
      <c r="AJ153" s="13">
        <f>AI153*VLOOKUP('Données projet'!$B$10,Paramètres!$A$1:$I$89,3,0)*VLOOKUP('Données projet'!$B$10,Paramètres!$A$1:$I$89,5,0)</f>
        <v>271.75200000000012</v>
      </c>
      <c r="AK153" s="13">
        <f t="shared" si="143"/>
        <v>65.220947824724988</v>
      </c>
      <c r="AL153" s="20">
        <f t="shared" si="112"/>
        <v>586.89455079472953</v>
      </c>
      <c r="AM153" s="59">
        <f t="shared" si="113"/>
        <v>880.2278841280629</v>
      </c>
      <c r="AN153" s="59">
        <f ca="1">AVERAGE(OFFSET($AM$3,0,0,'Données projet'!$E$10+1,1))-AVERAGE(OFFSET($H$3,0,0,'Données projet'!$E$10+1,1))</f>
        <v>292.42154837691379</v>
      </c>
      <c r="AO153" s="59">
        <f t="shared" si="144"/>
        <v>193.18009444354601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36.096381019871686</v>
      </c>
      <c r="AV153" s="21">
        <f>EXP(-LN(2)/25)*AV152+(1-EXP(-LN(2)/25))/(LN(2)/25)*Calculateur!AQ153*Calculateur!AS153*VLOOKUP('Données projet'!$B$10,Paramètres!$A$1:$I$89,3,0)*0.475*44/12</f>
        <v>1.206518063658818</v>
      </c>
      <c r="AW153" s="21">
        <f>EXP(-LN(2)/2)*AW152+(1-EXP(-LN(2)/2))/(LN(2)/2)*AQ153*AT153*VLOOKUP('Données projet'!$B$10,Paramètres!$A$1:$I$89,3,0)*0.475*44/12</f>
        <v>3.6632875899519633E-5</v>
      </c>
      <c r="AX153" s="21">
        <f t="shared" si="114"/>
        <v>37.302935716406402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322</v>
      </c>
      <c r="BE153" s="13">
        <f>BD153*VLOOKUP('Données projet'!$B$11,Paramètres!$A$1:$I$89,3,0)*VLOOKUP('Données projet'!$B$11,Paramètres!$A$1:$I$89,5,0)</f>
        <v>306.41519999999997</v>
      </c>
      <c r="BF153" s="13">
        <f t="shared" si="145"/>
        <v>72.519675217547672</v>
      </c>
      <c r="BG153" s="20">
        <f t="shared" si="115"/>
        <v>659.9782410038955</v>
      </c>
      <c r="BH153" s="59">
        <f t="shared" si="116"/>
        <v>953.31157433722888</v>
      </c>
      <c r="BI153" s="59">
        <f ca="1">AVERAGE(OFFSET($BH$3,0,0,'Données projet'!$E$11+1,1))-AVERAGE(OFFSET($H$3,0,0,'Données projet'!$E$11+1,1))</f>
        <v>339.00921630742886</v>
      </c>
      <c r="BJ153" s="59">
        <f t="shared" si="146"/>
        <v>314.95763895978303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14.094791786370626</v>
      </c>
      <c r="BQ153" s="21">
        <f>EXP(-LN(2)/25)*BQ152+(1-EXP(-LN(2)/25))/(LN(2)/25)*Calculateur!BL153*Calculateur!BN153*VLOOKUP('Données projet'!$B$11,Paramètres!$A$1:$I$89,3,0)*0.475*44/12</f>
        <v>0.46283523648499636</v>
      </c>
      <c r="BR153" s="21">
        <f>EXP(-LN(2)/2)*BR152+(1-EXP(-LN(2)/2))/(LN(2)/2)*BL153*BO153*VLOOKUP('Données projet'!$B$11,Paramètres!$A$1:$I$89,3,0)*0.475*44/12</f>
        <v>2.1772714407504962E-10</v>
      </c>
      <c r="BS153" s="22">
        <f t="shared" si="117"/>
        <v>14.55762702307335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296.99999999999983</v>
      </c>
      <c r="BZ153" s="13">
        <f>BY153*VLOOKUP('Données projet'!$B$12,Paramètres!$A$1:$I$89,3,0)*VLOOKUP('Données projet'!$B$12,Paramètres!$A$1:$I$89,5,0)</f>
        <v>254.82599999999988</v>
      </c>
      <c r="CA153" s="13">
        <f t="shared" si="147"/>
        <v>61.61820333959453</v>
      </c>
      <c r="CB153" s="20">
        <f t="shared" si="118"/>
        <v>551.1403208164603</v>
      </c>
      <c r="CC153" s="59">
        <f t="shared" si="119"/>
        <v>844.47365414979367</v>
      </c>
      <c r="CD153" s="59">
        <f ca="1">AVERAGE(OFFSET($CC$3,0,0,'Données projet'!$E$12+1,1))-AVERAGE(OFFSET($H$3,0,0,'Données projet'!$E$12+1,1))</f>
        <v>204.6927427024138</v>
      </c>
      <c r="CE153" s="59">
        <f t="shared" si="148"/>
        <v>115.74231133146816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19.708883149726621</v>
      </c>
      <c r="CL153" s="21">
        <f>EXP(-LN(2)/25)*CL152+(1-EXP(-LN(2)/25))/(LN(2)/25)*Calculateur!CG153*Calculateur!CI153*VLOOKUP('Données projet'!$B$12,Paramètres!$A$1:$I$89,3,0)*0.475*44/12</f>
        <v>0.73499621810880644</v>
      </c>
      <c r="CM153" s="21">
        <f>EXP(-LN(2)/2)*CM152+(1-EXP(-LN(2)/2))/(LN(2)/2)*CG153*CJ153*VLOOKUP('Données projet'!$B$12,Paramètres!$A$1:$I$89,3,0)*0.475*44/12</f>
        <v>3.3775994072803781E-8</v>
      </c>
      <c r="CN153" s="22">
        <f t="shared" si="120"/>
        <v>20.443879401611422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204.15575418077316</v>
      </c>
      <c r="CZ153" s="59">
        <f t="shared" si="150"/>
        <v>473.73726605265045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7.2772728237302067</v>
      </c>
      <c r="DG153" s="21">
        <f>EXP(-LN(2)/25)*DG152+(1-EXP(-LN(2)/25))/(LN(2)/25)*Calculateur!DB153*Calculateur!DD153*VLOOKUP('Données projet'!$B$13,Paramètres!$A$1:$I$89,3,0)*0.475*44/12</f>
        <v>1.6479486713535247</v>
      </c>
      <c r="DH153" s="21">
        <f>EXP(-LN(2)/2)*DH152+(1-EXP(-LN(2)/2))/(LN(2)/2)*DB153*DE153*VLOOKUP('Données projet'!$B$13,Paramètres!$A$1:$I$89,3,0)*0.475*44/12</f>
        <v>4.6717877269331104E-18</v>
      </c>
      <c r="DI153" s="22">
        <f t="shared" si="123"/>
        <v>8.925221495083731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216.83230520434313</v>
      </c>
      <c r="T154" s="59">
        <f t="shared" si="142"/>
        <v>275.41891707278205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15.876572574551389</v>
      </c>
      <c r="AA154" s="21">
        <f>EXP(-LN(2)/25)*AA153+(1-EXP(-LN(2)/25))/(LN(2)/25)*Calculateur!V154*Calculateur!X154*VLOOKUP('Données projet'!$B$9,Paramètres!$A$1:$I$89,3,0)*0.475*44/12</f>
        <v>1.33641325575963</v>
      </c>
      <c r="AB154" s="21">
        <f>EXP(-LN(2)/2)*AB153+(1-EXP(-LN(2)/2))/(LN(2)/2)*V154*Y154*VLOOKUP('Données projet'!$B$9,Paramètres!$A$1:$I$89,3,0)*0.475*44/12</f>
        <v>6.3746111716875591E-15</v>
      </c>
      <c r="AC154" s="22">
        <f t="shared" ref="AC154:AC203" si="163">SUM(Z154:AB154)</f>
        <v>17.212985830311027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268.00000000000011</v>
      </c>
      <c r="AJ154" s="13">
        <f>AI154*VLOOKUP('Données projet'!$B$10,Paramètres!$A$1:$I$89,3,0)*VLOOKUP('Données projet'!$B$10,Paramètres!$A$1:$I$89,5,0)</f>
        <v>271.75200000000012</v>
      </c>
      <c r="AK154" s="13">
        <f t="shared" ref="AK154:AK203" si="164">EXP(-1.0587+0.8836*LN(AJ154)+0.284)</f>
        <v>65.220947824724988</v>
      </c>
      <c r="AL154" s="20">
        <f t="shared" ref="AL154:AL203" si="165">(AJ154+AK154)*0.475*44/12</f>
        <v>586.89455079472953</v>
      </c>
      <c r="AM154" s="59">
        <f t="shared" si="113"/>
        <v>880.2278841280629</v>
      </c>
      <c r="AN154" s="59">
        <f ca="1">AVERAGE(OFFSET($AM$3,0,0,'Données projet'!$E$10+1,1))-AVERAGE(OFFSET($H$3,0,0,'Données projet'!$E$10+1,1))</f>
        <v>292.42154837691379</v>
      </c>
      <c r="AO154" s="59">
        <f t="shared" si="144"/>
        <v>193.18009444354601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35.388553004690465</v>
      </c>
      <c r="AV154" s="21">
        <f>EXP(-LN(2)/25)*AV153+(1-EXP(-LN(2)/25))/(LN(2)/25)*Calculateur!AQ154*Calculateur!AS154*VLOOKUP('Données projet'!$B$10,Paramètres!$A$1:$I$89,3,0)*0.475*44/12</f>
        <v>1.1735257637600403</v>
      </c>
      <c r="AW154" s="21">
        <f>EXP(-LN(2)/2)*AW153+(1-EXP(-LN(2)/2))/(LN(2)/2)*AQ154*AT154*VLOOKUP('Données projet'!$B$10,Paramètres!$A$1:$I$89,3,0)*0.475*44/12</f>
        <v>2.590335496291558E-5</v>
      </c>
      <c r="AX154" s="21">
        <f t="shared" ref="AX154:AX203" si="166">SUM(AU154:AW154)</f>
        <v>36.562104671805464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322</v>
      </c>
      <c r="BE154" s="13">
        <f>BD154*VLOOKUP('Données projet'!$B$11,Paramètres!$A$1:$I$89,3,0)*VLOOKUP('Données projet'!$B$11,Paramètres!$A$1:$I$89,5,0)</f>
        <v>306.41519999999997</v>
      </c>
      <c r="BF154" s="13">
        <f t="shared" ref="BF154:BF203" si="167">EXP(-1.0587+0.8836*LN(BE154)+0.284)</f>
        <v>72.519675217547672</v>
      </c>
      <c r="BG154" s="20">
        <f t="shared" ref="BG154:BG203" si="168">(BE154+BF154)*0.475*44/12</f>
        <v>659.9782410038955</v>
      </c>
      <c r="BH154" s="59">
        <f t="shared" si="116"/>
        <v>953.31157433722888</v>
      </c>
      <c r="BI154" s="59">
        <f ca="1">AVERAGE(OFFSET($BH$3,0,0,'Données projet'!$E$11+1,1))-AVERAGE(OFFSET($H$3,0,0,'Données projet'!$E$11+1,1))</f>
        <v>339.00921630742886</v>
      </c>
      <c r="BJ154" s="59">
        <f t="shared" si="146"/>
        <v>314.95763895978303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13.818401516414006</v>
      </c>
      <c r="BQ154" s="21">
        <f>EXP(-LN(2)/25)*BQ153+(1-EXP(-LN(2)/25))/(LN(2)/25)*Calculateur!BL154*Calculateur!BN154*VLOOKUP('Données projet'!$B$11,Paramètres!$A$1:$I$89,3,0)*0.475*44/12</f>
        <v>0.45017898260386685</v>
      </c>
      <c r="BR154" s="21">
        <f>EXP(-LN(2)/2)*BR153+(1-EXP(-LN(2)/2))/(LN(2)/2)*BL154*BO154*VLOOKUP('Données projet'!$B$11,Paramètres!$A$1:$I$89,3,0)*0.475*44/12</f>
        <v>1.5395634002384802E-10</v>
      </c>
      <c r="BS154" s="22">
        <f t="shared" ref="BS154:BS203" si="169">SUM(BP154:BR154)</f>
        <v>14.268580499171829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296.99999999999983</v>
      </c>
      <c r="BZ154" s="13">
        <f>BY154*VLOOKUP('Données projet'!$B$12,Paramètres!$A$1:$I$89,3,0)*VLOOKUP('Données projet'!$B$12,Paramètres!$A$1:$I$89,5,0)</f>
        <v>254.82599999999988</v>
      </c>
      <c r="CA154" s="13">
        <f t="shared" ref="CA154:CA203" si="170">EXP(-1.0587+0.8836*LN(BZ154)+0.284)</f>
        <v>61.61820333959453</v>
      </c>
      <c r="CB154" s="20">
        <f t="shared" ref="CB154:CB203" si="171">(BZ154+CA154)*0.475*44/12</f>
        <v>551.1403208164603</v>
      </c>
      <c r="CC154" s="59">
        <f t="shared" si="119"/>
        <v>844.47365414979367</v>
      </c>
      <c r="CD154" s="59">
        <f ca="1">AVERAGE(OFFSET($CC$3,0,0,'Données projet'!$E$12+1,1))-AVERAGE(OFFSET($H$3,0,0,'Données projet'!$E$12+1,1))</f>
        <v>204.6927427024138</v>
      </c>
      <c r="CE154" s="59">
        <f t="shared" si="148"/>
        <v>115.74231133146816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19.322403972392205</v>
      </c>
      <c r="CL154" s="21">
        <f>EXP(-LN(2)/25)*CL153+(1-EXP(-LN(2)/25))/(LN(2)/25)*Calculateur!CG154*Calculateur!CI154*VLOOKUP('Données projet'!$B$12,Paramètres!$A$1:$I$89,3,0)*0.475*44/12</f>
        <v>0.7148977078728499</v>
      </c>
      <c r="CM154" s="21">
        <f>EXP(-LN(2)/2)*CM153+(1-EXP(-LN(2)/2))/(LN(2)/2)*CG154*CJ154*VLOOKUP('Données projet'!$B$12,Paramètres!$A$1:$I$89,3,0)*0.475*44/12</f>
        <v>2.388323445019619E-8</v>
      </c>
      <c r="CN154" s="22">
        <f t="shared" ref="CN154:CN203" si="172">SUM(CK154:CM154)</f>
        <v>20.037301704148291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204.15575418077316</v>
      </c>
      <c r="CZ154" s="59">
        <f t="shared" si="150"/>
        <v>473.73726605265045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7.1345699423549949</v>
      </c>
      <c r="DG154" s="21">
        <f>EXP(-LN(2)/25)*DG153+(1-EXP(-LN(2)/25))/(LN(2)/25)*Calculateur!DB154*Calculateur!DD154*VLOOKUP('Données projet'!$B$13,Paramètres!$A$1:$I$89,3,0)*0.475*44/12</f>
        <v>1.6028854282735083</v>
      </c>
      <c r="DH154" s="21">
        <f>EXP(-LN(2)/2)*DH153+(1-EXP(-LN(2)/2))/(LN(2)/2)*DB154*DE154*VLOOKUP('Données projet'!$B$13,Paramètres!$A$1:$I$89,3,0)*0.475*44/12</f>
        <v>3.3034527819784891E-18</v>
      </c>
      <c r="DI154" s="22">
        <f t="shared" ref="DI154:DI203" si="175">SUM(DF154:DH154)</f>
        <v>8.7374553706285027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216.83230520434313</v>
      </c>
      <c r="T155" s="59">
        <f t="shared" si="142"/>
        <v>275.41891707278205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15.565242670117515</v>
      </c>
      <c r="AA155" s="21">
        <f>EXP(-LN(2)/25)*AA154+(1-EXP(-LN(2)/25))/(LN(2)/25)*Calculateur!V155*Calculateur!X155*VLOOKUP('Données projet'!$B$9,Paramètres!$A$1:$I$89,3,0)*0.475*44/12</f>
        <v>1.2998689650019641</v>
      </c>
      <c r="AB155" s="21">
        <f>EXP(-LN(2)/2)*AB154+(1-EXP(-LN(2)/2))/(LN(2)/2)*V155*Y155*VLOOKUP('Données projet'!$B$9,Paramètres!$A$1:$I$89,3,0)*0.475*44/12</f>
        <v>4.5075307869277962E-15</v>
      </c>
      <c r="AC155" s="22">
        <f t="shared" si="163"/>
        <v>16.865111635119483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268.00000000000011</v>
      </c>
      <c r="AJ155" s="13">
        <f>AI155*VLOOKUP('Données projet'!$B$10,Paramètres!$A$1:$I$89,3,0)*VLOOKUP('Données projet'!$B$10,Paramètres!$A$1:$I$89,5,0)</f>
        <v>271.75200000000012</v>
      </c>
      <c r="AK155" s="13">
        <f t="shared" si="164"/>
        <v>65.220947824724988</v>
      </c>
      <c r="AL155" s="20">
        <f t="shared" si="165"/>
        <v>586.89455079472953</v>
      </c>
      <c r="AM155" s="59">
        <f t="shared" si="113"/>
        <v>880.2278841280629</v>
      </c>
      <c r="AN155" s="59">
        <f ca="1">AVERAGE(OFFSET($AM$3,0,0,'Données projet'!$E$10+1,1))-AVERAGE(OFFSET($H$3,0,0,'Données projet'!$E$10+1,1))</f>
        <v>292.42154837691379</v>
      </c>
      <c r="AO155" s="59">
        <f t="shared" si="144"/>
        <v>193.18009444354601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34.694605065154484</v>
      </c>
      <c r="AV155" s="21">
        <f>EXP(-LN(2)/25)*AV154+(1-EXP(-LN(2)/25))/(LN(2)/25)*Calculateur!AQ155*Calculateur!AS155*VLOOKUP('Données projet'!$B$10,Paramètres!$A$1:$I$89,3,0)*0.475*44/12</f>
        <v>1.1414356400369841</v>
      </c>
      <c r="AW155" s="21">
        <f>EXP(-LN(2)/2)*AW154+(1-EXP(-LN(2)/2))/(LN(2)/2)*AQ155*AT155*VLOOKUP('Données projet'!$B$10,Paramètres!$A$1:$I$89,3,0)*0.475*44/12</f>
        <v>1.8316437949759817E-5</v>
      </c>
      <c r="AX155" s="21">
        <f t="shared" si="166"/>
        <v>35.836059021629417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322</v>
      </c>
      <c r="BE155" s="13">
        <f>BD155*VLOOKUP('Données projet'!$B$11,Paramètres!$A$1:$I$89,3,0)*VLOOKUP('Données projet'!$B$11,Paramètres!$A$1:$I$89,5,0)</f>
        <v>306.41519999999997</v>
      </c>
      <c r="BF155" s="13">
        <f t="shared" si="167"/>
        <v>72.519675217547672</v>
      </c>
      <c r="BG155" s="20">
        <f t="shared" si="168"/>
        <v>659.9782410038955</v>
      </c>
      <c r="BH155" s="59">
        <f t="shared" si="116"/>
        <v>953.31157433722888</v>
      </c>
      <c r="BI155" s="59">
        <f ca="1">AVERAGE(OFFSET($BH$3,0,0,'Données projet'!$E$11+1,1))-AVERAGE(OFFSET($H$3,0,0,'Données projet'!$E$11+1,1))</f>
        <v>339.00921630742886</v>
      </c>
      <c r="BJ155" s="59">
        <f t="shared" si="146"/>
        <v>314.95763895978303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13.547431091069818</v>
      </c>
      <c r="BQ155" s="21">
        <f>EXP(-LN(2)/25)*BQ154+(1-EXP(-LN(2)/25))/(LN(2)/25)*Calculateur!BL155*Calculateur!BN155*VLOOKUP('Données projet'!$B$11,Paramètres!$A$1:$I$89,3,0)*0.475*44/12</f>
        <v>0.43786881465068034</v>
      </c>
      <c r="BR155" s="21">
        <f>EXP(-LN(2)/2)*BR154+(1-EXP(-LN(2)/2))/(LN(2)/2)*BL155*BO155*VLOOKUP('Données projet'!$B$11,Paramètres!$A$1:$I$89,3,0)*0.475*44/12</f>
        <v>1.0886357203752481E-10</v>
      </c>
      <c r="BS155" s="22">
        <f t="shared" si="169"/>
        <v>13.985299905829363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296.99999999999983</v>
      </c>
      <c r="BZ155" s="13">
        <f>BY155*VLOOKUP('Données projet'!$B$12,Paramètres!$A$1:$I$89,3,0)*VLOOKUP('Données projet'!$B$12,Paramètres!$A$1:$I$89,5,0)</f>
        <v>254.82599999999988</v>
      </c>
      <c r="CA155" s="13">
        <f t="shared" si="170"/>
        <v>61.61820333959453</v>
      </c>
      <c r="CB155" s="20">
        <f t="shared" si="171"/>
        <v>551.1403208164603</v>
      </c>
      <c r="CC155" s="59">
        <f t="shared" si="119"/>
        <v>844.47365414979367</v>
      </c>
      <c r="CD155" s="59">
        <f ca="1">AVERAGE(OFFSET($CC$3,0,0,'Données projet'!$E$12+1,1))-AVERAGE(OFFSET($H$3,0,0,'Données projet'!$E$12+1,1))</f>
        <v>204.6927427024138</v>
      </c>
      <c r="CE155" s="59">
        <f t="shared" si="148"/>
        <v>115.74231133146816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18.943503415996297</v>
      </c>
      <c r="CL155" s="21">
        <f>EXP(-LN(2)/25)*CL154+(1-EXP(-LN(2)/25))/(LN(2)/25)*Calculateur!CG155*Calculateur!CI155*VLOOKUP('Données projet'!$B$12,Paramètres!$A$1:$I$89,3,0)*0.475*44/12</f>
        <v>0.69534879245623027</v>
      </c>
      <c r="CM155" s="21">
        <f>EXP(-LN(2)/2)*CM154+(1-EXP(-LN(2)/2))/(LN(2)/2)*CG155*CJ155*VLOOKUP('Données projet'!$B$12,Paramètres!$A$1:$I$89,3,0)*0.475*44/12</f>
        <v>1.6887997036401891E-8</v>
      </c>
      <c r="CN155" s="22">
        <f t="shared" si="172"/>
        <v>19.638852225340525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204.15575418077316</v>
      </c>
      <c r="CZ155" s="59">
        <f t="shared" si="150"/>
        <v>473.73726605265045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6.994665377443388</v>
      </c>
      <c r="DG155" s="21">
        <f>EXP(-LN(2)/25)*DG154+(1-EXP(-LN(2)/25))/(LN(2)/25)*Calculateur!DB155*Calculateur!DD155*VLOOKUP('Données projet'!$B$13,Paramètres!$A$1:$I$89,3,0)*0.475*44/12</f>
        <v>1.5590544419452881</v>
      </c>
      <c r="DH155" s="21">
        <f>EXP(-LN(2)/2)*DH154+(1-EXP(-LN(2)/2))/(LN(2)/2)*DB155*DE155*VLOOKUP('Données projet'!$B$13,Paramètres!$A$1:$I$89,3,0)*0.475*44/12</f>
        <v>2.3358938634665552E-18</v>
      </c>
      <c r="DI155" s="22">
        <f t="shared" si="175"/>
        <v>8.5537198193886752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216.83230520434313</v>
      </c>
      <c r="T156" s="59">
        <f t="shared" si="142"/>
        <v>275.41891707278205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15.260017755217099</v>
      </c>
      <c r="AA156" s="21">
        <f>EXP(-LN(2)/25)*AA155+(1-EXP(-LN(2)/25))/(LN(2)/25)*Calculateur!V156*Calculateur!X156*VLOOKUP('Données projet'!$B$9,Paramètres!$A$1:$I$89,3,0)*0.475*44/12</f>
        <v>1.2643239797968475</v>
      </c>
      <c r="AB156" s="21">
        <f>EXP(-LN(2)/2)*AB155+(1-EXP(-LN(2)/2))/(LN(2)/2)*V156*Y156*VLOOKUP('Données projet'!$B$9,Paramètres!$A$1:$I$89,3,0)*0.475*44/12</f>
        <v>3.1873055858437796E-15</v>
      </c>
      <c r="AC156" s="22">
        <f t="shared" si="163"/>
        <v>16.524341735013952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268.00000000000011</v>
      </c>
      <c r="AJ156" s="13">
        <f>AI156*VLOOKUP('Données projet'!$B$10,Paramètres!$A$1:$I$89,3,0)*VLOOKUP('Données projet'!$B$10,Paramètres!$A$1:$I$89,5,0)</f>
        <v>271.75200000000012</v>
      </c>
      <c r="AK156" s="13">
        <f t="shared" si="164"/>
        <v>65.220947824724988</v>
      </c>
      <c r="AL156" s="20">
        <f t="shared" si="165"/>
        <v>586.89455079472953</v>
      </c>
      <c r="AM156" s="59">
        <f t="shared" si="113"/>
        <v>880.2278841280629</v>
      </c>
      <c r="AN156" s="59">
        <f ca="1">AVERAGE(OFFSET($AM$3,0,0,'Données projet'!$E$10+1,1))-AVERAGE(OFFSET($H$3,0,0,'Données projet'!$E$10+1,1))</f>
        <v>292.42154837691379</v>
      </c>
      <c r="AO156" s="59">
        <f t="shared" si="144"/>
        <v>193.18009444354601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34.014265021446356</v>
      </c>
      <c r="AV156" s="21">
        <f>EXP(-LN(2)/25)*AV155+(1-EXP(-LN(2)/25))/(LN(2)/25)*Calculateur!AQ156*Calculateur!AS156*VLOOKUP('Données projet'!$B$10,Paramètres!$A$1:$I$89,3,0)*0.475*44/12</f>
        <v>1.1102230224346812</v>
      </c>
      <c r="AW156" s="21">
        <f>EXP(-LN(2)/2)*AW155+(1-EXP(-LN(2)/2))/(LN(2)/2)*AQ156*AT156*VLOOKUP('Données projet'!$B$10,Paramètres!$A$1:$I$89,3,0)*0.475*44/12</f>
        <v>1.295167748145779E-5</v>
      </c>
      <c r="AX156" s="21">
        <f t="shared" si="166"/>
        <v>35.12450099555852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322</v>
      </c>
      <c r="BE156" s="13">
        <f>BD156*VLOOKUP('Données projet'!$B$11,Paramètres!$A$1:$I$89,3,0)*VLOOKUP('Données projet'!$B$11,Paramètres!$A$1:$I$89,5,0)</f>
        <v>306.41519999999997</v>
      </c>
      <c r="BF156" s="13">
        <f t="shared" si="167"/>
        <v>72.519675217547672</v>
      </c>
      <c r="BG156" s="20">
        <f t="shared" si="168"/>
        <v>659.9782410038955</v>
      </c>
      <c r="BH156" s="59">
        <f t="shared" si="116"/>
        <v>953.31157433722888</v>
      </c>
      <c r="BI156" s="59">
        <f ca="1">AVERAGE(OFFSET($BH$3,0,0,'Données projet'!$E$11+1,1))-AVERAGE(OFFSET($H$3,0,0,'Données projet'!$E$11+1,1))</f>
        <v>339.00921630742886</v>
      </c>
      <c r="BJ156" s="59">
        <f t="shared" si="146"/>
        <v>314.95763895978303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13.281774230490988</v>
      </c>
      <c r="BQ156" s="21">
        <f>EXP(-LN(2)/25)*BQ155+(1-EXP(-LN(2)/25))/(LN(2)/25)*Calculateur!BL156*Calculateur!BN156*VLOOKUP('Données projet'!$B$11,Paramètres!$A$1:$I$89,3,0)*0.475*44/12</f>
        <v>0.42589526888753726</v>
      </c>
      <c r="BR156" s="21">
        <f>EXP(-LN(2)/2)*BR155+(1-EXP(-LN(2)/2))/(LN(2)/2)*BL156*BO156*VLOOKUP('Données projet'!$B$11,Paramètres!$A$1:$I$89,3,0)*0.475*44/12</f>
        <v>7.6978170011924008E-11</v>
      </c>
      <c r="BS156" s="22">
        <f t="shared" si="169"/>
        <v>13.707669499455504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296.99999999999983</v>
      </c>
      <c r="BZ156" s="13">
        <f>BY156*VLOOKUP('Données projet'!$B$12,Paramètres!$A$1:$I$89,3,0)*VLOOKUP('Données projet'!$B$12,Paramètres!$A$1:$I$89,5,0)</f>
        <v>254.82599999999988</v>
      </c>
      <c r="CA156" s="13">
        <f t="shared" si="170"/>
        <v>61.61820333959453</v>
      </c>
      <c r="CB156" s="20">
        <f t="shared" si="171"/>
        <v>551.1403208164603</v>
      </c>
      <c r="CC156" s="59">
        <f t="shared" si="119"/>
        <v>844.47365414979367</v>
      </c>
      <c r="CD156" s="59">
        <f ca="1">AVERAGE(OFFSET($CC$3,0,0,'Données projet'!$E$12+1,1))-AVERAGE(OFFSET($H$3,0,0,'Données projet'!$E$12+1,1))</f>
        <v>204.6927427024138</v>
      </c>
      <c r="CE156" s="59">
        <f t="shared" si="148"/>
        <v>115.74231133146816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18.57203286840479</v>
      </c>
      <c r="CL156" s="21">
        <f>EXP(-LN(2)/25)*CL155+(1-EXP(-LN(2)/25))/(LN(2)/25)*Calculateur!CG156*Calculateur!CI156*VLOOKUP('Données projet'!$B$12,Paramètres!$A$1:$I$89,3,0)*0.475*44/12</f>
        <v>0.67633444315971092</v>
      </c>
      <c r="CM156" s="21">
        <f>EXP(-LN(2)/2)*CM155+(1-EXP(-LN(2)/2))/(LN(2)/2)*CG156*CJ156*VLOOKUP('Données projet'!$B$12,Paramètres!$A$1:$I$89,3,0)*0.475*44/12</f>
        <v>1.1941617225098095E-8</v>
      </c>
      <c r="CN156" s="22">
        <f t="shared" si="172"/>
        <v>19.248367323506116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204.15575418077316</v>
      </c>
      <c r="CZ156" s="59">
        <f t="shared" si="150"/>
        <v>473.73726605265045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6.8575042557163393</v>
      </c>
      <c r="DG156" s="21">
        <f>EXP(-LN(2)/25)*DG155+(1-EXP(-LN(2)/25))/(LN(2)/25)*Calculateur!DB156*Calculateur!DD156*VLOOKUP('Données projet'!$B$13,Paramètres!$A$1:$I$89,3,0)*0.475*44/12</f>
        <v>1.5164220162431843</v>
      </c>
      <c r="DH156" s="21">
        <f>EXP(-LN(2)/2)*DH155+(1-EXP(-LN(2)/2))/(LN(2)/2)*DB156*DE156*VLOOKUP('Données projet'!$B$13,Paramètres!$A$1:$I$89,3,0)*0.475*44/12</f>
        <v>1.6517263909892446E-18</v>
      </c>
      <c r="DI156" s="22">
        <f t="shared" si="175"/>
        <v>8.3739262719595242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216.83230520434313</v>
      </c>
      <c r="T157" s="59">
        <f t="shared" si="142"/>
        <v>275.41891707278205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14.960778114729065</v>
      </c>
      <c r="AA157" s="21">
        <f>EXP(-LN(2)/25)*AA156+(1-EXP(-LN(2)/25))/(LN(2)/25)*Calculateur!V157*Calculateur!X157*VLOOKUP('Données projet'!$B$9,Paramètres!$A$1:$I$89,3,0)*0.475*44/12</f>
        <v>1.2297509740813943</v>
      </c>
      <c r="AB157" s="21">
        <f>EXP(-LN(2)/2)*AB156+(1-EXP(-LN(2)/2))/(LN(2)/2)*V157*Y157*VLOOKUP('Données projet'!$B$9,Paramètres!$A$1:$I$89,3,0)*0.475*44/12</f>
        <v>2.2537653934638981E-15</v>
      </c>
      <c r="AC157" s="22">
        <f t="shared" si="163"/>
        <v>16.190529088810461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268.00000000000011</v>
      </c>
      <c r="AJ157" s="13">
        <f>AI157*VLOOKUP('Données projet'!$B$10,Paramètres!$A$1:$I$89,3,0)*VLOOKUP('Données projet'!$B$10,Paramètres!$A$1:$I$89,5,0)</f>
        <v>271.75200000000012</v>
      </c>
      <c r="AK157" s="13">
        <f t="shared" si="164"/>
        <v>65.220947824724988</v>
      </c>
      <c r="AL157" s="20">
        <f t="shared" si="165"/>
        <v>586.89455079472953</v>
      </c>
      <c r="AM157" s="59">
        <f t="shared" si="113"/>
        <v>880.2278841280629</v>
      </c>
      <c r="AN157" s="59">
        <f ca="1">AVERAGE(OFFSET($AM$3,0,0,'Données projet'!$E$10+1,1))-AVERAGE(OFFSET($H$3,0,0,'Données projet'!$E$10+1,1))</f>
        <v>292.42154837691379</v>
      </c>
      <c r="AO157" s="59">
        <f t="shared" si="144"/>
        <v>193.18009444354601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33.347266031028894</v>
      </c>
      <c r="AV157" s="21">
        <f>EXP(-LN(2)/25)*AV156+(1-EXP(-LN(2)/25))/(LN(2)/25)*Calculateur!AQ157*Calculateur!AS157*VLOOKUP('Données projet'!$B$10,Paramètres!$A$1:$I$89,3,0)*0.475*44/12</f>
        <v>1.0798639155021135</v>
      </c>
      <c r="AW157" s="21">
        <f>EXP(-LN(2)/2)*AW156+(1-EXP(-LN(2)/2))/(LN(2)/2)*AQ157*AT157*VLOOKUP('Données projet'!$B$10,Paramètres!$A$1:$I$89,3,0)*0.475*44/12</f>
        <v>9.1582189748799083E-6</v>
      </c>
      <c r="AX157" s="21">
        <f t="shared" si="166"/>
        <v>34.427139104749983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322</v>
      </c>
      <c r="BE157" s="13">
        <f>BD157*VLOOKUP('Données projet'!$B$11,Paramètres!$A$1:$I$89,3,0)*VLOOKUP('Données projet'!$B$11,Paramètres!$A$1:$I$89,5,0)</f>
        <v>306.41519999999997</v>
      </c>
      <c r="BF157" s="13">
        <f t="shared" si="167"/>
        <v>72.519675217547672</v>
      </c>
      <c r="BG157" s="20">
        <f t="shared" si="168"/>
        <v>659.9782410038955</v>
      </c>
      <c r="BH157" s="59">
        <f t="shared" si="116"/>
        <v>953.31157433722888</v>
      </c>
      <c r="BI157" s="59">
        <f ca="1">AVERAGE(OFFSET($BH$3,0,0,'Données projet'!$E$11+1,1))-AVERAGE(OFFSET($H$3,0,0,'Données projet'!$E$11+1,1))</f>
        <v>339.00921630742886</v>
      </c>
      <c r="BJ157" s="59">
        <f t="shared" si="146"/>
        <v>314.95763895978303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13.021326738913425</v>
      </c>
      <c r="BQ157" s="21">
        <f>EXP(-LN(2)/25)*BQ156+(1-EXP(-LN(2)/25))/(LN(2)/25)*Calculateur!BL157*Calculateur!BN157*VLOOKUP('Données projet'!$B$11,Paramètres!$A$1:$I$89,3,0)*0.475*44/12</f>
        <v>0.41424914036294874</v>
      </c>
      <c r="BR157" s="21">
        <f>EXP(-LN(2)/2)*BR156+(1-EXP(-LN(2)/2))/(LN(2)/2)*BL157*BO157*VLOOKUP('Données projet'!$B$11,Paramètres!$A$1:$I$89,3,0)*0.475*44/12</f>
        <v>5.4431786018762405E-11</v>
      </c>
      <c r="BS157" s="22">
        <f t="shared" si="169"/>
        <v>13.435575879330806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296.99999999999983</v>
      </c>
      <c r="BZ157" s="13">
        <f>BY157*VLOOKUP('Données projet'!$B$12,Paramètres!$A$1:$I$89,3,0)*VLOOKUP('Données projet'!$B$12,Paramètres!$A$1:$I$89,5,0)</f>
        <v>254.82599999999988</v>
      </c>
      <c r="CA157" s="13">
        <f t="shared" si="170"/>
        <v>61.61820333959453</v>
      </c>
      <c r="CB157" s="20">
        <f t="shared" si="171"/>
        <v>551.1403208164603</v>
      </c>
      <c r="CC157" s="59">
        <f t="shared" si="119"/>
        <v>844.47365414979367</v>
      </c>
      <c r="CD157" s="59">
        <f ca="1">AVERAGE(OFFSET($CC$3,0,0,'Données projet'!$E$12+1,1))-AVERAGE(OFFSET($H$3,0,0,'Données projet'!$E$12+1,1))</f>
        <v>204.6927427024138</v>
      </c>
      <c r="CE157" s="59">
        <f t="shared" si="148"/>
        <v>115.74231133146816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18.207846631676894</v>
      </c>
      <c r="CL157" s="21">
        <f>EXP(-LN(2)/25)*CL156+(1-EXP(-LN(2)/25))/(LN(2)/25)*Calculateur!CG157*Calculateur!CI157*VLOOKUP('Données projet'!$B$12,Paramètres!$A$1:$I$89,3,0)*0.475*44/12</f>
        <v>0.657840042244626</v>
      </c>
      <c r="CM157" s="21">
        <f>EXP(-LN(2)/2)*CM156+(1-EXP(-LN(2)/2))/(LN(2)/2)*CG157*CJ157*VLOOKUP('Données projet'!$B$12,Paramètres!$A$1:$I$89,3,0)*0.475*44/12</f>
        <v>8.4439985182009453E-9</v>
      </c>
      <c r="CN157" s="22">
        <f t="shared" si="172"/>
        <v>18.865686682365517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204.15575418077316</v>
      </c>
      <c r="CZ157" s="59">
        <f t="shared" si="150"/>
        <v>473.73726605265045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6.7230327799263341</v>
      </c>
      <c r="DG157" s="21">
        <f>EXP(-LN(2)/25)*DG156+(1-EXP(-LN(2)/25))/(LN(2)/25)*Calculateur!DB157*Calculateur!DD157*VLOOKUP('Données projet'!$B$13,Paramètres!$A$1:$I$89,3,0)*0.475*44/12</f>
        <v>1.4749553764638463</v>
      </c>
      <c r="DH157" s="21">
        <f>EXP(-LN(2)/2)*DH156+(1-EXP(-LN(2)/2))/(LN(2)/2)*DB157*DE157*VLOOKUP('Données projet'!$B$13,Paramètres!$A$1:$I$89,3,0)*0.475*44/12</f>
        <v>1.1679469317332776E-18</v>
      </c>
      <c r="DI157" s="22">
        <f t="shared" si="175"/>
        <v>8.1979881563901813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216.83230520434313</v>
      </c>
      <c r="T158" s="59">
        <f t="shared" si="142"/>
        <v>275.41891707278205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14.667406381072842</v>
      </c>
      <c r="AA158" s="21">
        <f>EXP(-LN(2)/25)*AA157+(1-EXP(-LN(2)/25))/(LN(2)/25)*Calculateur!V158*Calculateur!X158*VLOOKUP('Données projet'!$B$9,Paramètres!$A$1:$I$89,3,0)*0.475*44/12</f>
        <v>1.1961233690253454</v>
      </c>
      <c r="AB158" s="21">
        <f>EXP(-LN(2)/2)*AB157+(1-EXP(-LN(2)/2))/(LN(2)/2)*V158*Y158*VLOOKUP('Données projet'!$B$9,Paramètres!$A$1:$I$89,3,0)*0.475*44/12</f>
        <v>1.5936527929218898E-15</v>
      </c>
      <c r="AC158" s="22">
        <f t="shared" si="163"/>
        <v>15.86352975009819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268.00000000000011</v>
      </c>
      <c r="AJ158" s="13">
        <f>AI158*VLOOKUP('Données projet'!$B$10,Paramètres!$A$1:$I$89,3,0)*VLOOKUP('Données projet'!$B$10,Paramètres!$A$1:$I$89,5,0)</f>
        <v>271.75200000000012</v>
      </c>
      <c r="AK158" s="13">
        <f t="shared" si="164"/>
        <v>65.220947824724988</v>
      </c>
      <c r="AL158" s="20">
        <f t="shared" si="165"/>
        <v>586.89455079472953</v>
      </c>
      <c r="AM158" s="59">
        <f t="shared" si="113"/>
        <v>880.2278841280629</v>
      </c>
      <c r="AN158" s="59">
        <f ca="1">AVERAGE(OFFSET($AM$3,0,0,'Données projet'!$E$10+1,1))-AVERAGE(OFFSET($H$3,0,0,'Données projet'!$E$10+1,1))</f>
        <v>292.42154837691379</v>
      </c>
      <c r="AO158" s="59">
        <f t="shared" si="144"/>
        <v>193.18009444354601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32.693346483984307</v>
      </c>
      <c r="AV158" s="21">
        <f>EXP(-LN(2)/25)*AV157+(1-EXP(-LN(2)/25))/(LN(2)/25)*Calculateur!AQ158*Calculateur!AS158*VLOOKUP('Données projet'!$B$10,Paramètres!$A$1:$I$89,3,0)*0.475*44/12</f>
        <v>1.0503349799451329</v>
      </c>
      <c r="AW158" s="21">
        <f>EXP(-LN(2)/2)*AW157+(1-EXP(-LN(2)/2))/(LN(2)/2)*AQ158*AT158*VLOOKUP('Données projet'!$B$10,Paramètres!$A$1:$I$89,3,0)*0.475*44/12</f>
        <v>6.475838740728895E-6</v>
      </c>
      <c r="AX158" s="21">
        <f t="shared" si="166"/>
        <v>33.743687939768179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322</v>
      </c>
      <c r="BE158" s="13">
        <f>BD158*VLOOKUP('Données projet'!$B$11,Paramètres!$A$1:$I$89,3,0)*VLOOKUP('Données projet'!$B$11,Paramètres!$A$1:$I$89,5,0)</f>
        <v>306.41519999999997</v>
      </c>
      <c r="BF158" s="13">
        <f t="shared" si="167"/>
        <v>72.519675217547672</v>
      </c>
      <c r="BG158" s="20">
        <f t="shared" si="168"/>
        <v>659.9782410038955</v>
      </c>
      <c r="BH158" s="59">
        <f t="shared" si="116"/>
        <v>953.31157433722888</v>
      </c>
      <c r="BI158" s="59">
        <f ca="1">AVERAGE(OFFSET($BH$3,0,0,'Données projet'!$E$11+1,1))-AVERAGE(OFFSET($H$3,0,0,'Données projet'!$E$11+1,1))</f>
        <v>339.00921630742886</v>
      </c>
      <c r="BJ158" s="59">
        <f t="shared" si="146"/>
        <v>314.95763895978303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12.765986463788414</v>
      </c>
      <c r="BQ158" s="21">
        <f>EXP(-LN(2)/25)*BQ157+(1-EXP(-LN(2)/25))/(LN(2)/25)*Calculateur!BL158*Calculateur!BN158*VLOOKUP('Données projet'!$B$11,Paramètres!$A$1:$I$89,3,0)*0.475*44/12</f>
        <v>0.40292147583530841</v>
      </c>
      <c r="BR158" s="21">
        <f>EXP(-LN(2)/2)*BR157+(1-EXP(-LN(2)/2))/(LN(2)/2)*BL158*BO158*VLOOKUP('Données projet'!$B$11,Paramètres!$A$1:$I$89,3,0)*0.475*44/12</f>
        <v>3.8489085005962004E-11</v>
      </c>
      <c r="BS158" s="22">
        <f t="shared" si="169"/>
        <v>13.16890793966221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296.99999999999983</v>
      </c>
      <c r="BZ158" s="13">
        <f>BY158*VLOOKUP('Données projet'!$B$12,Paramètres!$A$1:$I$89,3,0)*VLOOKUP('Données projet'!$B$12,Paramètres!$A$1:$I$89,5,0)</f>
        <v>254.82599999999988</v>
      </c>
      <c r="CA158" s="13">
        <f t="shared" si="170"/>
        <v>61.61820333959453</v>
      </c>
      <c r="CB158" s="20">
        <f t="shared" si="171"/>
        <v>551.1403208164603</v>
      </c>
      <c r="CC158" s="59">
        <f t="shared" si="119"/>
        <v>844.47365414979367</v>
      </c>
      <c r="CD158" s="59">
        <f ca="1">AVERAGE(OFFSET($CC$3,0,0,'Données projet'!$E$12+1,1))-AVERAGE(OFFSET($H$3,0,0,'Données projet'!$E$12+1,1))</f>
        <v>204.6927427024138</v>
      </c>
      <c r="CE158" s="59">
        <f t="shared" si="148"/>
        <v>115.74231133146816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17.850801864919561</v>
      </c>
      <c r="CL158" s="21">
        <f>EXP(-LN(2)/25)*CL157+(1-EXP(-LN(2)/25))/(LN(2)/25)*Calculateur!CG158*Calculateur!CI158*VLOOKUP('Données projet'!$B$12,Paramètres!$A$1:$I$89,3,0)*0.475*44/12</f>
        <v>0.63985137169514239</v>
      </c>
      <c r="CM158" s="21">
        <f>EXP(-LN(2)/2)*CM157+(1-EXP(-LN(2)/2))/(LN(2)/2)*CG158*CJ158*VLOOKUP('Données projet'!$B$12,Paramètres!$A$1:$I$89,3,0)*0.475*44/12</f>
        <v>5.9708086125490474E-9</v>
      </c>
      <c r="CN158" s="22">
        <f t="shared" si="172"/>
        <v>18.490653242585513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204.15575418077316</v>
      </c>
      <c r="CZ158" s="59">
        <f t="shared" si="150"/>
        <v>473.73726605265045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6.5911982077570697</v>
      </c>
      <c r="DG158" s="21">
        <f>EXP(-LN(2)/25)*DG157+(1-EXP(-LN(2)/25))/(LN(2)/25)*Calculateur!DB158*Calculateur!DD158*VLOOKUP('Données projet'!$B$13,Paramètres!$A$1:$I$89,3,0)*0.475*44/12</f>
        <v>1.4346226441299104</v>
      </c>
      <c r="DH158" s="21">
        <f>EXP(-LN(2)/2)*DH157+(1-EXP(-LN(2)/2))/(LN(2)/2)*DB158*DE158*VLOOKUP('Données projet'!$B$13,Paramètres!$A$1:$I$89,3,0)*0.475*44/12</f>
        <v>8.2586319549462228E-19</v>
      </c>
      <c r="DI158" s="22">
        <f t="shared" si="175"/>
        <v>8.02582085188698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216.83230520434313</v>
      </c>
      <c r="T159" s="59">
        <f t="shared" si="142"/>
        <v>275.41891707278205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14.379787488174529</v>
      </c>
      <c r="AA159" s="21">
        <f>EXP(-LN(2)/25)*AA158+(1-EXP(-LN(2)/25))/(LN(2)/25)*Calculateur!V159*Calculateur!X159*VLOOKUP('Données projet'!$B$9,Paramètres!$A$1:$I$89,3,0)*0.475*44/12</f>
        <v>1.1634153125979532</v>
      </c>
      <c r="AB159" s="21">
        <f>EXP(-LN(2)/2)*AB158+(1-EXP(-LN(2)/2))/(LN(2)/2)*V159*Y159*VLOOKUP('Données projet'!$B$9,Paramètres!$A$1:$I$89,3,0)*0.475*44/12</f>
        <v>1.126882696731949E-15</v>
      </c>
      <c r="AC159" s="22">
        <f t="shared" si="163"/>
        <v>15.543202800772484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268.00000000000011</v>
      </c>
      <c r="AJ159" s="13">
        <f>AI159*VLOOKUP('Données projet'!$B$10,Paramètres!$A$1:$I$89,3,0)*VLOOKUP('Données projet'!$B$10,Paramètres!$A$1:$I$89,5,0)</f>
        <v>271.75200000000012</v>
      </c>
      <c r="AK159" s="13">
        <f t="shared" si="164"/>
        <v>65.220947824724988</v>
      </c>
      <c r="AL159" s="20">
        <f t="shared" si="165"/>
        <v>586.89455079472953</v>
      </c>
      <c r="AM159" s="59">
        <f t="shared" si="113"/>
        <v>880.2278841280629</v>
      </c>
      <c r="AN159" s="59">
        <f ca="1">AVERAGE(OFFSET($AM$3,0,0,'Données projet'!$E$10+1,1))-AVERAGE(OFFSET($H$3,0,0,'Données projet'!$E$10+1,1))</f>
        <v>292.42154837691379</v>
      </c>
      <c r="AO159" s="59">
        <f t="shared" si="144"/>
        <v>193.18009444354601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32.05224990040572</v>
      </c>
      <c r="AV159" s="21">
        <f>EXP(-LN(2)/25)*AV158+(1-EXP(-LN(2)/25))/(LN(2)/25)*Calculateur!AQ159*Calculateur!AS159*VLOOKUP('Données projet'!$B$10,Paramètres!$A$1:$I$89,3,0)*0.475*44/12</f>
        <v>1.0216135146838172</v>
      </c>
      <c r="AW159" s="21">
        <f>EXP(-LN(2)/2)*AW158+(1-EXP(-LN(2)/2))/(LN(2)/2)*AQ159*AT159*VLOOKUP('Données projet'!$B$10,Paramètres!$A$1:$I$89,3,0)*0.475*44/12</f>
        <v>4.5791094874399541E-6</v>
      </c>
      <c r="AX159" s="21">
        <f t="shared" si="166"/>
        <v>33.07386799419902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322</v>
      </c>
      <c r="BE159" s="13">
        <f>BD159*VLOOKUP('Données projet'!$B$11,Paramètres!$A$1:$I$89,3,0)*VLOOKUP('Données projet'!$B$11,Paramètres!$A$1:$I$89,5,0)</f>
        <v>306.41519999999997</v>
      </c>
      <c r="BF159" s="13">
        <f t="shared" si="167"/>
        <v>72.519675217547672</v>
      </c>
      <c r="BG159" s="20">
        <f t="shared" si="168"/>
        <v>659.9782410038955</v>
      </c>
      <c r="BH159" s="59">
        <f t="shared" si="116"/>
        <v>953.31157433722888</v>
      </c>
      <c r="BI159" s="59">
        <f ca="1">AVERAGE(OFFSET($BH$3,0,0,'Données projet'!$E$11+1,1))-AVERAGE(OFFSET($H$3,0,0,'Données projet'!$E$11+1,1))</f>
        <v>339.00921630742886</v>
      </c>
      <c r="BJ159" s="59">
        <f t="shared" si="146"/>
        <v>314.95763895978303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12.515653255716414</v>
      </c>
      <c r="BQ159" s="21">
        <f>EXP(-LN(2)/25)*BQ158+(1-EXP(-LN(2)/25))/(LN(2)/25)*Calculateur!BL159*Calculateur!BN159*VLOOKUP('Données projet'!$B$11,Paramètres!$A$1:$I$89,3,0)*0.475*44/12</f>
        <v>0.39190356688987238</v>
      </c>
      <c r="BR159" s="21">
        <f>EXP(-LN(2)/2)*BR158+(1-EXP(-LN(2)/2))/(LN(2)/2)*BL159*BO159*VLOOKUP('Données projet'!$B$11,Paramètres!$A$1:$I$89,3,0)*0.475*44/12</f>
        <v>2.7215893009381202E-11</v>
      </c>
      <c r="BS159" s="22">
        <f t="shared" si="169"/>
        <v>12.907556822633502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296.99999999999983</v>
      </c>
      <c r="BZ159" s="13">
        <f>BY159*VLOOKUP('Données projet'!$B$12,Paramètres!$A$1:$I$89,3,0)*VLOOKUP('Données projet'!$B$12,Paramètres!$A$1:$I$89,5,0)</f>
        <v>254.82599999999988</v>
      </c>
      <c r="CA159" s="13">
        <f t="shared" si="170"/>
        <v>61.61820333959453</v>
      </c>
      <c r="CB159" s="20">
        <f t="shared" si="171"/>
        <v>551.1403208164603</v>
      </c>
      <c r="CC159" s="59">
        <f t="shared" si="119"/>
        <v>844.47365414979367</v>
      </c>
      <c r="CD159" s="59">
        <f ca="1">AVERAGE(OFFSET($CC$3,0,0,'Données projet'!$E$12+1,1))-AVERAGE(OFFSET($H$3,0,0,'Données projet'!$E$12+1,1))</f>
        <v>204.6927427024138</v>
      </c>
      <c r="CE159" s="59">
        <f t="shared" si="148"/>
        <v>115.74231133146816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17.500758528262534</v>
      </c>
      <c r="CL159" s="21">
        <f>EXP(-LN(2)/25)*CL158+(1-EXP(-LN(2)/25))/(LN(2)/25)*Calculateur!CG159*Calculateur!CI159*VLOOKUP('Données projet'!$B$12,Paramètres!$A$1:$I$89,3,0)*0.475*44/12</f>
        <v>0.62235460228781747</v>
      </c>
      <c r="CM159" s="21">
        <f>EXP(-LN(2)/2)*CM158+(1-EXP(-LN(2)/2))/(LN(2)/2)*CG159*CJ159*VLOOKUP('Données projet'!$B$12,Paramètres!$A$1:$I$89,3,0)*0.475*44/12</f>
        <v>4.2219992591004726E-9</v>
      </c>
      <c r="CN159" s="22">
        <f t="shared" si="172"/>
        <v>18.12311313477235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204.15575418077316</v>
      </c>
      <c r="CZ159" s="59">
        <f t="shared" si="150"/>
        <v>473.73726605265045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6.4619488311368949</v>
      </c>
      <c r="DG159" s="21">
        <f>EXP(-LN(2)/25)*DG158+(1-EXP(-LN(2)/25))/(LN(2)/25)*Calculateur!DB159*Calculateur!DD159*VLOOKUP('Données projet'!$B$13,Paramètres!$A$1:$I$89,3,0)*0.475*44/12</f>
        <v>1.395392812482652</v>
      </c>
      <c r="DH159" s="21">
        <f>EXP(-LN(2)/2)*DH158+(1-EXP(-LN(2)/2))/(LN(2)/2)*DB159*DE159*VLOOKUP('Données projet'!$B$13,Paramètres!$A$1:$I$89,3,0)*0.475*44/12</f>
        <v>5.8397346586663879E-19</v>
      </c>
      <c r="DI159" s="22">
        <f t="shared" si="175"/>
        <v>7.8573416436195469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216.83230520434313</v>
      </c>
      <c r="T160" s="59">
        <f t="shared" si="142"/>
        <v>275.41891707278205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14.097808626335748</v>
      </c>
      <c r="AA160" s="21">
        <f>EXP(-LN(2)/25)*AA159+(1-EXP(-LN(2)/25))/(LN(2)/25)*Calculateur!V160*Calculateur!X160*VLOOKUP('Données projet'!$B$9,Paramètres!$A$1:$I$89,3,0)*0.475*44/12</f>
        <v>1.1316016596936098</v>
      </c>
      <c r="AB160" s="21">
        <f>EXP(-LN(2)/2)*AB159+(1-EXP(-LN(2)/2))/(LN(2)/2)*V160*Y160*VLOOKUP('Données projet'!$B$9,Paramètres!$A$1:$I$89,3,0)*0.475*44/12</f>
        <v>7.9682639646094489E-16</v>
      </c>
      <c r="AC160" s="22">
        <f t="shared" si="163"/>
        <v>15.229410286029358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268.00000000000011</v>
      </c>
      <c r="AJ160" s="13">
        <f>AI160*VLOOKUP('Données projet'!$B$10,Paramètres!$A$1:$I$89,3,0)*VLOOKUP('Données projet'!$B$10,Paramètres!$A$1:$I$89,5,0)</f>
        <v>271.75200000000012</v>
      </c>
      <c r="AK160" s="13">
        <f t="shared" si="164"/>
        <v>65.220947824724988</v>
      </c>
      <c r="AL160" s="20">
        <f t="shared" si="165"/>
        <v>586.89455079472953</v>
      </c>
      <c r="AM160" s="59">
        <f t="shared" si="113"/>
        <v>880.2278841280629</v>
      </c>
      <c r="AN160" s="59">
        <f ca="1">AVERAGE(OFFSET($AM$3,0,0,'Données projet'!$E$10+1,1))-AVERAGE(OFFSET($H$3,0,0,'Données projet'!$E$10+1,1))</f>
        <v>292.42154837691379</v>
      </c>
      <c r="AO160" s="59">
        <f t="shared" si="144"/>
        <v>193.18009444354601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31.423724829800808</v>
      </c>
      <c r="AV160" s="21">
        <f>EXP(-LN(2)/25)*AV159+(1-EXP(-LN(2)/25))/(LN(2)/25)*Calculateur!AQ160*Calculateur!AS160*VLOOKUP('Données projet'!$B$10,Paramètres!$A$1:$I$89,3,0)*0.475*44/12</f>
        <v>0.99367743940046849</v>
      </c>
      <c r="AW160" s="21">
        <f>EXP(-LN(2)/2)*AW159+(1-EXP(-LN(2)/2))/(LN(2)/2)*AQ160*AT160*VLOOKUP('Données projet'!$B$10,Paramètres!$A$1:$I$89,3,0)*0.475*44/12</f>
        <v>3.2379193703644475E-6</v>
      </c>
      <c r="AX160" s="21">
        <f t="shared" si="166"/>
        <v>32.417405507120648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322</v>
      </c>
      <c r="BE160" s="13">
        <f>BD160*VLOOKUP('Données projet'!$B$11,Paramètres!$A$1:$I$89,3,0)*VLOOKUP('Données projet'!$B$11,Paramètres!$A$1:$I$89,5,0)</f>
        <v>306.41519999999997</v>
      </c>
      <c r="BF160" s="13">
        <f t="shared" si="167"/>
        <v>72.519675217547672</v>
      </c>
      <c r="BG160" s="20">
        <f t="shared" si="168"/>
        <v>659.9782410038955</v>
      </c>
      <c r="BH160" s="59">
        <f t="shared" si="116"/>
        <v>953.31157433722888</v>
      </c>
      <c r="BI160" s="59">
        <f ca="1">AVERAGE(OFFSET($BH$3,0,0,'Données projet'!$E$11+1,1))-AVERAGE(OFFSET($H$3,0,0,'Données projet'!$E$11+1,1))</f>
        <v>339.00921630742886</v>
      </c>
      <c r="BJ160" s="59">
        <f t="shared" si="146"/>
        <v>314.95763895978303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12.270228929166526</v>
      </c>
      <c r="BQ160" s="21">
        <f>EXP(-LN(2)/25)*BQ159+(1-EXP(-LN(2)/25))/(LN(2)/25)*Calculateur!BL160*Calculateur!BN160*VLOOKUP('Données projet'!$B$11,Paramètres!$A$1:$I$89,3,0)*0.475*44/12</f>
        <v>0.38118694324395597</v>
      </c>
      <c r="BR160" s="21">
        <f>EXP(-LN(2)/2)*BR159+(1-EXP(-LN(2)/2))/(LN(2)/2)*BL160*BO160*VLOOKUP('Données projet'!$B$11,Paramètres!$A$1:$I$89,3,0)*0.475*44/12</f>
        <v>1.9244542502981002E-11</v>
      </c>
      <c r="BS160" s="22">
        <f t="shared" si="169"/>
        <v>12.651415872429727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296.99999999999983</v>
      </c>
      <c r="BZ160" s="13">
        <f>BY160*VLOOKUP('Données projet'!$B$12,Paramètres!$A$1:$I$89,3,0)*VLOOKUP('Données projet'!$B$12,Paramètres!$A$1:$I$89,5,0)</f>
        <v>254.82599999999988</v>
      </c>
      <c r="CA160" s="13">
        <f t="shared" si="170"/>
        <v>61.61820333959453</v>
      </c>
      <c r="CB160" s="20">
        <f t="shared" si="171"/>
        <v>551.1403208164603</v>
      </c>
      <c r="CC160" s="59">
        <f t="shared" si="119"/>
        <v>844.47365414979367</v>
      </c>
      <c r="CD160" s="59">
        <f ca="1">AVERAGE(OFFSET($CC$3,0,0,'Données projet'!$E$12+1,1))-AVERAGE(OFFSET($H$3,0,0,'Données projet'!$E$12+1,1))</f>
        <v>204.6927427024138</v>
      </c>
      <c r="CE160" s="59">
        <f t="shared" si="148"/>
        <v>115.74231133146816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17.157579327931998</v>
      </c>
      <c r="CL160" s="21">
        <f>EXP(-LN(2)/25)*CL159+(1-EXP(-LN(2)/25))/(LN(2)/25)*Calculateur!CG160*Calculateur!CI160*VLOOKUP('Données projet'!$B$12,Paramètres!$A$1:$I$89,3,0)*0.475*44/12</f>
        <v>0.60533628296005093</v>
      </c>
      <c r="CM160" s="21">
        <f>EXP(-LN(2)/2)*CM159+(1-EXP(-LN(2)/2))/(LN(2)/2)*CG160*CJ160*VLOOKUP('Données projet'!$B$12,Paramètres!$A$1:$I$89,3,0)*0.475*44/12</f>
        <v>2.9854043062745237E-9</v>
      </c>
      <c r="CN160" s="22">
        <f t="shared" si="172"/>
        <v>17.762915613877453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204.15575418077316</v>
      </c>
      <c r="CZ160" s="59">
        <f t="shared" si="150"/>
        <v>473.73726605265045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6.3352339559579063</v>
      </c>
      <c r="DG160" s="21">
        <f>EXP(-LN(2)/25)*DG159+(1-EXP(-LN(2)/25))/(LN(2)/25)*Calculateur!DB160*Calculateur!DD160*VLOOKUP('Données projet'!$B$13,Paramètres!$A$1:$I$89,3,0)*0.475*44/12</f>
        <v>1.3572357226447951</v>
      </c>
      <c r="DH160" s="21">
        <f>EXP(-LN(2)/2)*DH159+(1-EXP(-LN(2)/2))/(LN(2)/2)*DB160*DE160*VLOOKUP('Données projet'!$B$13,Paramètres!$A$1:$I$89,3,0)*0.475*44/12</f>
        <v>4.1293159774731114E-19</v>
      </c>
      <c r="DI160" s="22">
        <f t="shared" si="175"/>
        <v>7.6924696786027011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216.83230520434313</v>
      </c>
      <c r="T161" s="59">
        <f t="shared" si="142"/>
        <v>275.41891707278205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13.821359197987505</v>
      </c>
      <c r="AA161" s="21">
        <f>EXP(-LN(2)/25)*AA160+(1-EXP(-LN(2)/25))/(LN(2)/25)*Calculateur!V161*Calculateur!X161*VLOOKUP('Données projet'!$B$9,Paramètres!$A$1:$I$89,3,0)*0.475*44/12</f>
        <v>1.100657952800943</v>
      </c>
      <c r="AB161" s="21">
        <f>EXP(-LN(2)/2)*AB160+(1-EXP(-LN(2)/2))/(LN(2)/2)*V161*Y161*VLOOKUP('Données projet'!$B$9,Paramètres!$A$1:$I$89,3,0)*0.475*44/12</f>
        <v>5.6344134836597452E-16</v>
      </c>
      <c r="AC161" s="22">
        <f t="shared" si="163"/>
        <v>14.922017150788449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268.00000000000011</v>
      </c>
      <c r="AJ161" s="13">
        <f>AI161*VLOOKUP('Données projet'!$B$10,Paramètres!$A$1:$I$89,3,0)*VLOOKUP('Données projet'!$B$10,Paramètres!$A$1:$I$89,5,0)</f>
        <v>271.75200000000012</v>
      </c>
      <c r="AK161" s="13">
        <f t="shared" si="164"/>
        <v>65.220947824724988</v>
      </c>
      <c r="AL161" s="20">
        <f t="shared" si="165"/>
        <v>586.89455079472953</v>
      </c>
      <c r="AM161" s="59">
        <f t="shared" si="113"/>
        <v>880.2278841280629</v>
      </c>
      <c r="AN161" s="59">
        <f ca="1">AVERAGE(OFFSET($AM$3,0,0,'Données projet'!$E$10+1,1))-AVERAGE(OFFSET($H$3,0,0,'Données projet'!$E$10+1,1))</f>
        <v>292.42154837691379</v>
      </c>
      <c r="AO161" s="59">
        <f t="shared" si="144"/>
        <v>193.18009444354601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30.807524752468016</v>
      </c>
      <c r="AV161" s="21">
        <f>EXP(-LN(2)/25)*AV160+(1-EXP(-LN(2)/25))/(LN(2)/25)*Calculateur!AQ161*Calculateur!AS161*VLOOKUP('Données projet'!$B$10,Paramètres!$A$1:$I$89,3,0)*0.475*44/12</f>
        <v>0.96650527756483717</v>
      </c>
      <c r="AW161" s="21">
        <f>EXP(-LN(2)/2)*AW160+(1-EXP(-LN(2)/2))/(LN(2)/2)*AQ161*AT161*VLOOKUP('Données projet'!$B$10,Paramètres!$A$1:$I$89,3,0)*0.475*44/12</f>
        <v>2.2895547437199771E-6</v>
      </c>
      <c r="AX161" s="21">
        <f t="shared" si="166"/>
        <v>31.774032319587597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322</v>
      </c>
      <c r="BE161" s="13">
        <f>BD161*VLOOKUP('Données projet'!$B$11,Paramètres!$A$1:$I$89,3,0)*VLOOKUP('Données projet'!$B$11,Paramètres!$A$1:$I$89,5,0)</f>
        <v>306.41519999999997</v>
      </c>
      <c r="BF161" s="13">
        <f t="shared" si="167"/>
        <v>72.519675217547672</v>
      </c>
      <c r="BG161" s="20">
        <f t="shared" si="168"/>
        <v>659.9782410038955</v>
      </c>
      <c r="BH161" s="59">
        <f t="shared" si="116"/>
        <v>953.31157433722888</v>
      </c>
      <c r="BI161" s="59">
        <f ca="1">AVERAGE(OFFSET($BH$3,0,0,'Données projet'!$E$11+1,1))-AVERAGE(OFFSET($H$3,0,0,'Données projet'!$E$11+1,1))</f>
        <v>339.00921630742886</v>
      </c>
      <c r="BJ161" s="59">
        <f t="shared" si="146"/>
        <v>314.95763895978303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12.029617223966223</v>
      </c>
      <c r="BQ161" s="21">
        <f>EXP(-LN(2)/25)*BQ160+(1-EXP(-LN(2)/25))/(LN(2)/25)*Calculateur!BL161*Calculateur!BN161*VLOOKUP('Données projet'!$B$11,Paramètres!$A$1:$I$89,3,0)*0.475*44/12</f>
        <v>0.37076336623519984</v>
      </c>
      <c r="BR161" s="21">
        <f>EXP(-LN(2)/2)*BR160+(1-EXP(-LN(2)/2))/(LN(2)/2)*BL161*BO161*VLOOKUP('Données projet'!$B$11,Paramètres!$A$1:$I$89,3,0)*0.475*44/12</f>
        <v>1.3607946504690601E-11</v>
      </c>
      <c r="BS161" s="22">
        <f t="shared" si="169"/>
        <v>12.400380590215033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296.99999999999983</v>
      </c>
      <c r="BZ161" s="13">
        <f>BY161*VLOOKUP('Données projet'!$B$12,Paramètres!$A$1:$I$89,3,0)*VLOOKUP('Données projet'!$B$12,Paramètres!$A$1:$I$89,5,0)</f>
        <v>254.82599999999988</v>
      </c>
      <c r="CA161" s="13">
        <f t="shared" si="170"/>
        <v>61.61820333959453</v>
      </c>
      <c r="CB161" s="20">
        <f t="shared" si="171"/>
        <v>551.1403208164603</v>
      </c>
      <c r="CC161" s="59">
        <f t="shared" si="119"/>
        <v>844.47365414979367</v>
      </c>
      <c r="CD161" s="59">
        <f ca="1">AVERAGE(OFFSET($CC$3,0,0,'Données projet'!$E$12+1,1))-AVERAGE(OFFSET($H$3,0,0,'Données projet'!$E$12+1,1))</f>
        <v>204.6927427024138</v>
      </c>
      <c r="CE161" s="59">
        <f t="shared" si="148"/>
        <v>115.74231133146816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16.821129662401301</v>
      </c>
      <c r="CL161" s="21">
        <f>EXP(-LN(2)/25)*CL160+(1-EXP(-LN(2)/25))/(LN(2)/25)*Calculateur!CG161*Calculateur!CI161*VLOOKUP('Données projet'!$B$12,Paramètres!$A$1:$I$89,3,0)*0.475*44/12</f>
        <v>0.58878333046925668</v>
      </c>
      <c r="CM161" s="21">
        <f>EXP(-LN(2)/2)*CM160+(1-EXP(-LN(2)/2))/(LN(2)/2)*CG161*CJ161*VLOOKUP('Données projet'!$B$12,Paramètres!$A$1:$I$89,3,0)*0.475*44/12</f>
        <v>2.1109996295502363E-9</v>
      </c>
      <c r="CN161" s="22">
        <f t="shared" si="172"/>
        <v>17.409912994981561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204.15575418077316</v>
      </c>
      <c r="CZ161" s="59">
        <f t="shared" si="150"/>
        <v>473.73726605265045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6.2110038821927356</v>
      </c>
      <c r="DG161" s="21">
        <f>EXP(-LN(2)/25)*DG160+(1-EXP(-LN(2)/25))/(LN(2)/25)*Calculateur!DB161*Calculateur!DD161*VLOOKUP('Données projet'!$B$13,Paramètres!$A$1:$I$89,3,0)*0.475*44/12</f>
        <v>1.3201220404351486</v>
      </c>
      <c r="DH161" s="21">
        <f>EXP(-LN(2)/2)*DH160+(1-EXP(-LN(2)/2))/(LN(2)/2)*DB161*DE161*VLOOKUP('Données projet'!$B$13,Paramètres!$A$1:$I$89,3,0)*0.475*44/12</f>
        <v>2.919867329333194E-19</v>
      </c>
      <c r="DI161" s="22">
        <f t="shared" si="175"/>
        <v>7.5311259226278846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216.83230520434313</v>
      </c>
      <c r="T162" s="59">
        <f t="shared" si="142"/>
        <v>275.41891707278205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13.550330774311668</v>
      </c>
      <c r="AA162" s="21">
        <f>EXP(-LN(2)/25)*AA161+(1-EXP(-LN(2)/25))/(LN(2)/25)*Calculateur!V162*Calculateur!X162*VLOOKUP('Données projet'!$B$9,Paramètres!$A$1:$I$89,3,0)*0.475*44/12</f>
        <v>1.0705604032005152</v>
      </c>
      <c r="AB162" s="21">
        <f>EXP(-LN(2)/2)*AB161+(1-EXP(-LN(2)/2))/(LN(2)/2)*V162*Y162*VLOOKUP('Données projet'!$B$9,Paramètres!$A$1:$I$89,3,0)*0.475*44/12</f>
        <v>3.9841319823047244E-16</v>
      </c>
      <c r="AC162" s="22">
        <f t="shared" si="163"/>
        <v>14.620891177512183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268.00000000000011</v>
      </c>
      <c r="AJ162" s="13">
        <f>AI162*VLOOKUP('Données projet'!$B$10,Paramètres!$A$1:$I$89,3,0)*VLOOKUP('Données projet'!$B$10,Paramètres!$A$1:$I$89,5,0)</f>
        <v>271.75200000000012</v>
      </c>
      <c r="AK162" s="13">
        <f t="shared" si="164"/>
        <v>65.220947824724988</v>
      </c>
      <c r="AL162" s="20">
        <f t="shared" si="165"/>
        <v>586.89455079472953</v>
      </c>
      <c r="AM162" s="59">
        <f t="shared" si="113"/>
        <v>880.2278841280629</v>
      </c>
      <c r="AN162" s="59">
        <f ca="1">AVERAGE(OFFSET($AM$3,0,0,'Données projet'!$E$10+1,1))-AVERAGE(OFFSET($H$3,0,0,'Données projet'!$E$10+1,1))</f>
        <v>292.42154837691379</v>
      </c>
      <c r="AO162" s="59">
        <f t="shared" si="144"/>
        <v>193.18009444354601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30.203407982806787</v>
      </c>
      <c r="AV162" s="21">
        <f>EXP(-LN(2)/25)*AV161+(1-EXP(-LN(2)/25))/(LN(2)/25)*Calculateur!AQ162*Calculateur!AS162*VLOOKUP('Données projet'!$B$10,Paramètres!$A$1:$I$89,3,0)*0.475*44/12</f>
        <v>0.94007613992352312</v>
      </c>
      <c r="AW162" s="21">
        <f>EXP(-LN(2)/2)*AW161+(1-EXP(-LN(2)/2))/(LN(2)/2)*AQ162*AT162*VLOOKUP('Données projet'!$B$10,Paramètres!$A$1:$I$89,3,0)*0.475*44/12</f>
        <v>1.6189596851822237E-6</v>
      </c>
      <c r="AX162" s="21">
        <f t="shared" si="166"/>
        <v>31.143485741689997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322</v>
      </c>
      <c r="BE162" s="13">
        <f>BD162*VLOOKUP('Données projet'!$B$11,Paramètres!$A$1:$I$89,3,0)*VLOOKUP('Données projet'!$B$11,Paramètres!$A$1:$I$89,5,0)</f>
        <v>306.41519999999997</v>
      </c>
      <c r="BF162" s="13">
        <f t="shared" si="167"/>
        <v>72.519675217547672</v>
      </c>
      <c r="BG162" s="20">
        <f t="shared" si="168"/>
        <v>659.9782410038955</v>
      </c>
      <c r="BH162" s="59">
        <f t="shared" si="116"/>
        <v>953.31157433722888</v>
      </c>
      <c r="BI162" s="59">
        <f ca="1">AVERAGE(OFFSET($BH$3,0,0,'Données projet'!$E$11+1,1))-AVERAGE(OFFSET($H$3,0,0,'Données projet'!$E$11+1,1))</f>
        <v>339.00921630742886</v>
      </c>
      <c r="BJ162" s="59">
        <f t="shared" si="146"/>
        <v>314.95763895978303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11.793723767546251</v>
      </c>
      <c r="BQ162" s="21">
        <f>EXP(-LN(2)/25)*BQ161+(1-EXP(-LN(2)/25))/(LN(2)/25)*Calculateur!BL162*Calculateur!BN162*VLOOKUP('Données projet'!$B$11,Paramètres!$A$1:$I$89,3,0)*0.475*44/12</f>
        <v>0.36062482248790029</v>
      </c>
      <c r="BR162" s="21">
        <f>EXP(-LN(2)/2)*BR161+(1-EXP(-LN(2)/2))/(LN(2)/2)*BL162*BO162*VLOOKUP('Données projet'!$B$11,Paramètres!$A$1:$I$89,3,0)*0.475*44/12</f>
        <v>9.622271251490501E-12</v>
      </c>
      <c r="BS162" s="22">
        <f t="shared" si="169"/>
        <v>12.154348590043773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296.99999999999983</v>
      </c>
      <c r="BZ162" s="13">
        <f>BY162*VLOOKUP('Données projet'!$B$12,Paramètres!$A$1:$I$89,3,0)*VLOOKUP('Données projet'!$B$12,Paramètres!$A$1:$I$89,5,0)</f>
        <v>254.82599999999988</v>
      </c>
      <c r="CA162" s="13">
        <f t="shared" si="170"/>
        <v>61.61820333959453</v>
      </c>
      <c r="CB162" s="20">
        <f t="shared" si="171"/>
        <v>551.1403208164603</v>
      </c>
      <c r="CC162" s="59">
        <f t="shared" si="119"/>
        <v>844.47365414979367</v>
      </c>
      <c r="CD162" s="59">
        <f ca="1">AVERAGE(OFFSET($CC$3,0,0,'Données projet'!$E$12+1,1))-AVERAGE(OFFSET($H$3,0,0,'Données projet'!$E$12+1,1))</f>
        <v>204.6927427024138</v>
      </c>
      <c r="CE162" s="59">
        <f t="shared" si="148"/>
        <v>115.74231133146816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16.491277569597628</v>
      </c>
      <c r="CL162" s="21">
        <f>EXP(-LN(2)/25)*CL161+(1-EXP(-LN(2)/25))/(LN(2)/25)*Calculateur!CG162*Calculateur!CI162*VLOOKUP('Données projet'!$B$12,Paramètres!$A$1:$I$89,3,0)*0.475*44/12</f>
        <v>0.57268301933480514</v>
      </c>
      <c r="CM162" s="21">
        <f>EXP(-LN(2)/2)*CM161+(1-EXP(-LN(2)/2))/(LN(2)/2)*CG162*CJ162*VLOOKUP('Données projet'!$B$12,Paramètres!$A$1:$I$89,3,0)*0.475*44/12</f>
        <v>1.4927021531372619E-9</v>
      </c>
      <c r="CN162" s="22">
        <f t="shared" si="172"/>
        <v>17.063960590425133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204.15575418077316</v>
      </c>
      <c r="CZ162" s="59">
        <f t="shared" si="150"/>
        <v>473.73726605265045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6.089209884401237</v>
      </c>
      <c r="DG162" s="21">
        <f>EXP(-LN(2)/25)*DG161+(1-EXP(-LN(2)/25))/(LN(2)/25)*Calculateur!DB162*Calculateur!DD162*VLOOKUP('Données projet'!$B$13,Paramètres!$A$1:$I$89,3,0)*0.475*44/12</f>
        <v>1.2840232338172486</v>
      </c>
      <c r="DH162" s="21">
        <f>EXP(-LN(2)/2)*DH161+(1-EXP(-LN(2)/2))/(LN(2)/2)*DB162*DE162*VLOOKUP('Données projet'!$B$13,Paramètres!$A$1:$I$89,3,0)*0.475*44/12</f>
        <v>2.0646579887365557E-19</v>
      </c>
      <c r="DI162" s="22">
        <f t="shared" si="175"/>
        <v>7.3732331182184856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216.83230520434313</v>
      </c>
      <c r="T163" s="59">
        <f t="shared" si="142"/>
        <v>275.41891707278205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13.284617052713099</v>
      </c>
      <c r="AA163" s="21">
        <f>EXP(-LN(2)/25)*AA162+(1-EXP(-LN(2)/25))/(LN(2)/25)*Calculateur!V163*Calculateur!X163*VLOOKUP('Données projet'!$B$9,Paramètres!$A$1:$I$89,3,0)*0.475*44/12</f>
        <v>1.0412858726766723</v>
      </c>
      <c r="AB163" s="21">
        <f>EXP(-LN(2)/2)*AB162+(1-EXP(-LN(2)/2))/(LN(2)/2)*V163*Y163*VLOOKUP('Données projet'!$B$9,Paramètres!$A$1:$I$89,3,0)*0.475*44/12</f>
        <v>2.8172067418298726E-16</v>
      </c>
      <c r="AC163" s="22">
        <f t="shared" si="163"/>
        <v>14.325902925389771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268.00000000000011</v>
      </c>
      <c r="AJ163" s="13">
        <f>AI163*VLOOKUP('Données projet'!$B$10,Paramètres!$A$1:$I$89,3,0)*VLOOKUP('Données projet'!$B$10,Paramètres!$A$1:$I$89,5,0)</f>
        <v>271.75200000000012</v>
      </c>
      <c r="AK163" s="13">
        <f t="shared" si="164"/>
        <v>65.220947824724988</v>
      </c>
      <c r="AL163" s="20">
        <f t="shared" si="165"/>
        <v>586.89455079472953</v>
      </c>
      <c r="AM163" s="59">
        <f t="shared" si="113"/>
        <v>880.2278841280629</v>
      </c>
      <c r="AN163" s="59">
        <f ca="1">AVERAGE(OFFSET($AM$3,0,0,'Données projet'!$E$10+1,1))-AVERAGE(OFFSET($H$3,0,0,'Données projet'!$E$10+1,1))</f>
        <v>292.42154837691379</v>
      </c>
      <c r="AO163" s="59">
        <f t="shared" si="144"/>
        <v>193.18009444354601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29.61113757452377</v>
      </c>
      <c r="AV163" s="21">
        <f>EXP(-LN(2)/25)*AV162+(1-EXP(-LN(2)/25))/(LN(2)/25)*Calculateur!AQ163*Calculateur!AS163*VLOOKUP('Données projet'!$B$10,Paramètres!$A$1:$I$89,3,0)*0.475*44/12</f>
        <v>0.91436970844085874</v>
      </c>
      <c r="AW163" s="21">
        <f>EXP(-LN(2)/2)*AW162+(1-EXP(-LN(2)/2))/(LN(2)/2)*AQ163*AT163*VLOOKUP('Données projet'!$B$10,Paramètres!$A$1:$I$89,3,0)*0.475*44/12</f>
        <v>1.1447773718599885E-6</v>
      </c>
      <c r="AX163" s="21">
        <f t="shared" si="166"/>
        <v>30.525508427742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322</v>
      </c>
      <c r="BE163" s="13">
        <f>BD163*VLOOKUP('Données projet'!$B$11,Paramètres!$A$1:$I$89,3,0)*VLOOKUP('Données projet'!$B$11,Paramètres!$A$1:$I$89,5,0)</f>
        <v>306.41519999999997</v>
      </c>
      <c r="BF163" s="13">
        <f t="shared" si="167"/>
        <v>72.519675217547672</v>
      </c>
      <c r="BG163" s="20">
        <f t="shared" si="168"/>
        <v>659.9782410038955</v>
      </c>
      <c r="BH163" s="59">
        <f t="shared" si="116"/>
        <v>953.31157433722888</v>
      </c>
      <c r="BI163" s="59">
        <f ca="1">AVERAGE(OFFSET($BH$3,0,0,'Données projet'!$E$11+1,1))-AVERAGE(OFFSET($H$3,0,0,'Données projet'!$E$11+1,1))</f>
        <v>339.00921630742886</v>
      </c>
      <c r="BJ163" s="59">
        <f t="shared" si="146"/>
        <v>314.95763895978303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11.562456037925871</v>
      </c>
      <c r="BQ163" s="21">
        <f>EXP(-LN(2)/25)*BQ162+(1-EXP(-LN(2)/25))/(LN(2)/25)*Calculateur!BL163*Calculateur!BN163*VLOOKUP('Données projet'!$B$11,Paramètres!$A$1:$I$89,3,0)*0.475*44/12</f>
        <v>0.35076351775253345</v>
      </c>
      <c r="BR163" s="21">
        <f>EXP(-LN(2)/2)*BR162+(1-EXP(-LN(2)/2))/(LN(2)/2)*BL163*BO163*VLOOKUP('Données projet'!$B$11,Paramètres!$A$1:$I$89,3,0)*0.475*44/12</f>
        <v>6.8039732523453006E-12</v>
      </c>
      <c r="BS163" s="22">
        <f t="shared" si="169"/>
        <v>11.913219555685208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296.99999999999983</v>
      </c>
      <c r="BZ163" s="13">
        <f>BY163*VLOOKUP('Données projet'!$B$12,Paramètres!$A$1:$I$89,3,0)*VLOOKUP('Données projet'!$B$12,Paramètres!$A$1:$I$89,5,0)</f>
        <v>254.82599999999988</v>
      </c>
      <c r="CA163" s="13">
        <f t="shared" si="170"/>
        <v>61.61820333959453</v>
      </c>
      <c r="CB163" s="20">
        <f t="shared" si="171"/>
        <v>551.1403208164603</v>
      </c>
      <c r="CC163" s="59">
        <f t="shared" si="119"/>
        <v>844.47365414979367</v>
      </c>
      <c r="CD163" s="59">
        <f ca="1">AVERAGE(OFFSET($CC$3,0,0,'Données projet'!$E$12+1,1))-AVERAGE(OFFSET($H$3,0,0,'Données projet'!$E$12+1,1))</f>
        <v>204.6927427024138</v>
      </c>
      <c r="CE163" s="59">
        <f t="shared" si="148"/>
        <v>115.74231133146816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16.167893675143922</v>
      </c>
      <c r="CL163" s="21">
        <f>EXP(-LN(2)/25)*CL162+(1-EXP(-LN(2)/25))/(LN(2)/25)*Calculateur!CG163*Calculateur!CI163*VLOOKUP('Données projet'!$B$12,Paramètres!$A$1:$I$89,3,0)*0.475*44/12</f>
        <v>0.55702297205500384</v>
      </c>
      <c r="CM163" s="21">
        <f>EXP(-LN(2)/2)*CM162+(1-EXP(-LN(2)/2))/(LN(2)/2)*CG163*CJ163*VLOOKUP('Données projet'!$B$12,Paramètres!$A$1:$I$89,3,0)*0.475*44/12</f>
        <v>1.0554998147751182E-9</v>
      </c>
      <c r="CN163" s="22">
        <f t="shared" si="172"/>
        <v>16.724916648254428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204.15575418077316</v>
      </c>
      <c r="CZ163" s="59">
        <f t="shared" si="150"/>
        <v>473.73726605265045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5.9698041926194261</v>
      </c>
      <c r="DG163" s="21">
        <f>EXP(-LN(2)/25)*DG162+(1-EXP(-LN(2)/25))/(LN(2)/25)*Calculateur!DB163*Calculateur!DD163*VLOOKUP('Données projet'!$B$13,Paramètres!$A$1:$I$89,3,0)*0.475*44/12</f>
        <v>1.2489115509646687</v>
      </c>
      <c r="DH163" s="21">
        <f>EXP(-LN(2)/2)*DH162+(1-EXP(-LN(2)/2))/(LN(2)/2)*DB163*DE163*VLOOKUP('Données projet'!$B$13,Paramètres!$A$1:$I$89,3,0)*0.475*44/12</f>
        <v>1.459933664666597E-19</v>
      </c>
      <c r="DI163" s="22">
        <f t="shared" si="175"/>
        <v>7.2187157435840952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216.83230520434313</v>
      </c>
      <c r="T164" s="59">
        <f t="shared" si="142"/>
        <v>275.41891707278205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13.024113815125711</v>
      </c>
      <c r="AA164" s="21">
        <f>EXP(-LN(2)/25)*AA163+(1-EXP(-LN(2)/25))/(LN(2)/25)*Calculateur!V164*Calculateur!X164*VLOOKUP('Données projet'!$B$9,Paramètres!$A$1:$I$89,3,0)*0.475*44/12</f>
        <v>1.0128118557294845</v>
      </c>
      <c r="AB164" s="21">
        <f>EXP(-LN(2)/2)*AB163+(1-EXP(-LN(2)/2))/(LN(2)/2)*V164*Y164*VLOOKUP('Données projet'!$B$9,Paramètres!$A$1:$I$89,3,0)*0.475*44/12</f>
        <v>1.9920659911523622E-16</v>
      </c>
      <c r="AC164" s="22">
        <f t="shared" si="163"/>
        <v>14.036925670855195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268.00000000000011</v>
      </c>
      <c r="AJ164" s="13">
        <f>AI164*VLOOKUP('Données projet'!$B$10,Paramètres!$A$1:$I$89,3,0)*VLOOKUP('Données projet'!$B$10,Paramètres!$A$1:$I$89,5,0)</f>
        <v>271.75200000000012</v>
      </c>
      <c r="AK164" s="13">
        <f t="shared" si="164"/>
        <v>65.220947824724988</v>
      </c>
      <c r="AL164" s="20">
        <f t="shared" si="165"/>
        <v>586.89455079472953</v>
      </c>
      <c r="AM164" s="59">
        <f t="shared" si="113"/>
        <v>880.2278841280629</v>
      </c>
      <c r="AN164" s="59">
        <f ca="1">AVERAGE(OFFSET($AM$3,0,0,'Données projet'!$E$10+1,1))-AVERAGE(OFFSET($H$3,0,0,'Données projet'!$E$10+1,1))</f>
        <v>292.42154837691379</v>
      </c>
      <c r="AO164" s="59">
        <f t="shared" si="144"/>
        <v>193.18009444354601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29.030481227697901</v>
      </c>
      <c r="AV164" s="21">
        <f>EXP(-LN(2)/25)*AV163+(1-EXP(-LN(2)/25))/(LN(2)/25)*Calculateur!AQ164*Calculateur!AS164*VLOOKUP('Données projet'!$B$10,Paramètres!$A$1:$I$89,3,0)*0.475*44/12</f>
        <v>0.88936622067893034</v>
      </c>
      <c r="AW164" s="21">
        <f>EXP(-LN(2)/2)*AW163+(1-EXP(-LN(2)/2))/(LN(2)/2)*AQ164*AT164*VLOOKUP('Données projet'!$B$10,Paramètres!$A$1:$I$89,3,0)*0.475*44/12</f>
        <v>8.0947984259111187E-7</v>
      </c>
      <c r="AX164" s="21">
        <f t="shared" si="166"/>
        <v>29.919848257856675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322</v>
      </c>
      <c r="BE164" s="13">
        <f>BD164*VLOOKUP('Données projet'!$B$11,Paramètres!$A$1:$I$89,3,0)*VLOOKUP('Données projet'!$B$11,Paramètres!$A$1:$I$89,5,0)</f>
        <v>306.41519999999997</v>
      </c>
      <c r="BF164" s="13">
        <f t="shared" si="167"/>
        <v>72.519675217547672</v>
      </c>
      <c r="BG164" s="20">
        <f t="shared" si="168"/>
        <v>659.9782410038955</v>
      </c>
      <c r="BH164" s="59">
        <f t="shared" si="116"/>
        <v>953.31157433722888</v>
      </c>
      <c r="BI164" s="59">
        <f ca="1">AVERAGE(OFFSET($BH$3,0,0,'Données projet'!$E$11+1,1))-AVERAGE(OFFSET($H$3,0,0,'Données projet'!$E$11+1,1))</f>
        <v>339.00921630742886</v>
      </c>
      <c r="BJ164" s="59">
        <f t="shared" si="146"/>
        <v>314.95763895978303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11.335723327423961</v>
      </c>
      <c r="BQ164" s="21">
        <f>EXP(-LN(2)/25)*BQ163+(1-EXP(-LN(2)/25))/(LN(2)/25)*Calculateur!BL164*Calculateur!BN164*VLOOKUP('Données projet'!$B$11,Paramètres!$A$1:$I$89,3,0)*0.475*44/12</f>
        <v>0.34117187091373868</v>
      </c>
      <c r="BR164" s="21">
        <f>EXP(-LN(2)/2)*BR163+(1-EXP(-LN(2)/2))/(LN(2)/2)*BL164*BO164*VLOOKUP('Données projet'!$B$11,Paramètres!$A$1:$I$89,3,0)*0.475*44/12</f>
        <v>4.8111356257452505E-12</v>
      </c>
      <c r="BS164" s="22">
        <f t="shared" si="169"/>
        <v>11.67689519834251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296.99999999999983</v>
      </c>
      <c r="BZ164" s="13">
        <f>BY164*VLOOKUP('Données projet'!$B$12,Paramètres!$A$1:$I$89,3,0)*VLOOKUP('Données projet'!$B$12,Paramètres!$A$1:$I$89,5,0)</f>
        <v>254.82599999999988</v>
      </c>
      <c r="CA164" s="13">
        <f t="shared" si="170"/>
        <v>61.61820333959453</v>
      </c>
      <c r="CB164" s="20">
        <f t="shared" si="171"/>
        <v>551.1403208164603</v>
      </c>
      <c r="CC164" s="59">
        <f t="shared" si="119"/>
        <v>844.47365414979367</v>
      </c>
      <c r="CD164" s="59">
        <f ca="1">AVERAGE(OFFSET($CC$3,0,0,'Données projet'!$E$12+1,1))-AVERAGE(OFFSET($H$3,0,0,'Données projet'!$E$12+1,1))</f>
        <v>204.6927427024138</v>
      </c>
      <c r="CE164" s="59">
        <f t="shared" si="148"/>
        <v>115.74231133146816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15.850851141615756</v>
      </c>
      <c r="CL164" s="21">
        <f>EXP(-LN(2)/25)*CL163+(1-EXP(-LN(2)/25))/(LN(2)/25)*Calculateur!CG164*Calculateur!CI164*VLOOKUP('Données projet'!$B$12,Paramètres!$A$1:$I$89,3,0)*0.475*44/12</f>
        <v>0.5417911495915948</v>
      </c>
      <c r="CM164" s="21">
        <f>EXP(-LN(2)/2)*CM163+(1-EXP(-LN(2)/2))/(LN(2)/2)*CG164*CJ164*VLOOKUP('Données projet'!$B$12,Paramètres!$A$1:$I$89,3,0)*0.475*44/12</f>
        <v>7.4635107656863093E-10</v>
      </c>
      <c r="CN164" s="22">
        <f t="shared" si="172"/>
        <v>16.392642291953702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204.15575418077316</v>
      </c>
      <c r="CZ164" s="59">
        <f t="shared" si="150"/>
        <v>473.73726605265045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5.8527399736231756</v>
      </c>
      <c r="DG164" s="21">
        <f>EXP(-LN(2)/25)*DG163+(1-EXP(-LN(2)/25))/(LN(2)/25)*Calculateur!DB164*Calculateur!DD164*VLOOKUP('Données projet'!$B$13,Paramètres!$A$1:$I$89,3,0)*0.475*44/12</f>
        <v>1.2147599989261357</v>
      </c>
      <c r="DH164" s="21">
        <f>EXP(-LN(2)/2)*DH163+(1-EXP(-LN(2)/2))/(LN(2)/2)*DB164*DE164*VLOOKUP('Données projet'!$B$13,Paramètres!$A$1:$I$89,3,0)*0.475*44/12</f>
        <v>1.0323289943682779E-19</v>
      </c>
      <c r="DI164" s="22">
        <f t="shared" si="175"/>
        <v>7.0674999725493111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216.83230520434313</v>
      </c>
      <c r="T165" s="59">
        <f t="shared" si="142"/>
        <v>275.41891707278205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12.768718887136126</v>
      </c>
      <c r="AA165" s="21">
        <f>EXP(-LN(2)/25)*AA164+(1-EXP(-LN(2)/25))/(LN(2)/25)*Calculateur!V165*Calculateur!X165*VLOOKUP('Données projet'!$B$9,Paramètres!$A$1:$I$89,3,0)*0.475*44/12</f>
        <v>0.98511646227310112</v>
      </c>
      <c r="AB165" s="21">
        <f>EXP(-LN(2)/2)*AB164+(1-EXP(-LN(2)/2))/(LN(2)/2)*V165*Y165*VLOOKUP('Données projet'!$B$9,Paramètres!$A$1:$I$89,3,0)*0.475*44/12</f>
        <v>1.4086033709149363E-16</v>
      </c>
      <c r="AC165" s="22">
        <f t="shared" si="163"/>
        <v>13.753835349409227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268.00000000000011</v>
      </c>
      <c r="AJ165" s="13">
        <f>AI165*VLOOKUP('Données projet'!$B$10,Paramètres!$A$1:$I$89,3,0)*VLOOKUP('Données projet'!$B$10,Paramètres!$A$1:$I$89,5,0)</f>
        <v>271.75200000000012</v>
      </c>
      <c r="AK165" s="13">
        <f t="shared" si="164"/>
        <v>65.220947824724988</v>
      </c>
      <c r="AL165" s="20">
        <f t="shared" si="165"/>
        <v>586.89455079472953</v>
      </c>
      <c r="AM165" s="59">
        <f t="shared" si="113"/>
        <v>880.2278841280629</v>
      </c>
      <c r="AN165" s="59">
        <f ca="1">AVERAGE(OFFSET($AM$3,0,0,'Données projet'!$E$10+1,1))-AVERAGE(OFFSET($H$3,0,0,'Données projet'!$E$10+1,1))</f>
        <v>292.42154837691379</v>
      </c>
      <c r="AO165" s="59">
        <f t="shared" si="144"/>
        <v>193.18009444354601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28.46121119766789</v>
      </c>
      <c r="AV165" s="21">
        <f>EXP(-LN(2)/25)*AV164+(1-EXP(-LN(2)/25))/(LN(2)/25)*Calculateur!AQ165*Calculateur!AS165*VLOOKUP('Données projet'!$B$10,Paramètres!$A$1:$I$89,3,0)*0.475*44/12</f>
        <v>0.86504645460472807</v>
      </c>
      <c r="AW165" s="21">
        <f>EXP(-LN(2)/2)*AW164+(1-EXP(-LN(2)/2))/(LN(2)/2)*AQ165*AT165*VLOOKUP('Données projet'!$B$10,Paramètres!$A$1:$I$89,3,0)*0.475*44/12</f>
        <v>5.7238868592999427E-7</v>
      </c>
      <c r="AX165" s="21">
        <f t="shared" si="166"/>
        <v>29.326258224661302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322</v>
      </c>
      <c r="BE165" s="13">
        <f>BD165*VLOOKUP('Données projet'!$B$11,Paramètres!$A$1:$I$89,3,0)*VLOOKUP('Données projet'!$B$11,Paramètres!$A$1:$I$89,5,0)</f>
        <v>306.41519999999997</v>
      </c>
      <c r="BF165" s="13">
        <f t="shared" si="167"/>
        <v>72.519675217547672</v>
      </c>
      <c r="BG165" s="20">
        <f t="shared" si="168"/>
        <v>659.9782410038955</v>
      </c>
      <c r="BH165" s="59">
        <f t="shared" si="116"/>
        <v>953.31157433722888</v>
      </c>
      <c r="BI165" s="59">
        <f ca="1">AVERAGE(OFFSET($BH$3,0,0,'Données projet'!$E$11+1,1))-AVERAGE(OFFSET($H$3,0,0,'Données projet'!$E$11+1,1))</f>
        <v>339.00921630742886</v>
      </c>
      <c r="BJ165" s="59">
        <f t="shared" si="146"/>
        <v>314.95763895978303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11.113436707081696</v>
      </c>
      <c r="BQ165" s="21">
        <f>EXP(-LN(2)/25)*BQ164+(1-EXP(-LN(2)/25))/(LN(2)/25)*Calculateur!BL165*Calculateur!BN165*VLOOKUP('Données projet'!$B$11,Paramètres!$A$1:$I$89,3,0)*0.475*44/12</f>
        <v>0.33184250816215355</v>
      </c>
      <c r="BR165" s="21">
        <f>EXP(-LN(2)/2)*BR164+(1-EXP(-LN(2)/2))/(LN(2)/2)*BL165*BO165*VLOOKUP('Données projet'!$B$11,Paramètres!$A$1:$I$89,3,0)*0.475*44/12</f>
        <v>3.4019866261726503E-12</v>
      </c>
      <c r="BS165" s="22">
        <f t="shared" si="169"/>
        <v>11.445279215247252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296.99999999999983</v>
      </c>
      <c r="BZ165" s="13">
        <f>BY165*VLOOKUP('Données projet'!$B$12,Paramètres!$A$1:$I$89,3,0)*VLOOKUP('Données projet'!$B$12,Paramètres!$A$1:$I$89,5,0)</f>
        <v>254.82599999999988</v>
      </c>
      <c r="CA165" s="13">
        <f t="shared" si="170"/>
        <v>61.61820333959453</v>
      </c>
      <c r="CB165" s="20">
        <f t="shared" si="171"/>
        <v>551.1403208164603</v>
      </c>
      <c r="CC165" s="59">
        <f t="shared" si="119"/>
        <v>844.47365414979367</v>
      </c>
      <c r="CD165" s="59">
        <f ca="1">AVERAGE(OFFSET($CC$3,0,0,'Données projet'!$E$12+1,1))-AVERAGE(OFFSET($H$3,0,0,'Données projet'!$E$12+1,1))</f>
        <v>204.6927427024138</v>
      </c>
      <c r="CE165" s="59">
        <f t="shared" si="148"/>
        <v>115.74231133146816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15.540025618793225</v>
      </c>
      <c r="CL165" s="21">
        <f>EXP(-LN(2)/25)*CL164+(1-EXP(-LN(2)/25))/(LN(2)/25)*Calculateur!CG165*Calculateur!CI165*VLOOKUP('Données projet'!$B$12,Paramètres!$A$1:$I$89,3,0)*0.475*44/12</f>
        <v>0.52697584211445436</v>
      </c>
      <c r="CM165" s="21">
        <f>EXP(-LN(2)/2)*CM164+(1-EXP(-LN(2)/2))/(LN(2)/2)*CG165*CJ165*VLOOKUP('Données projet'!$B$12,Paramètres!$A$1:$I$89,3,0)*0.475*44/12</f>
        <v>5.2774990738755908E-10</v>
      </c>
      <c r="CN165" s="22">
        <f t="shared" si="172"/>
        <v>16.067001461435428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204.15575418077316</v>
      </c>
      <c r="CZ165" s="59">
        <f t="shared" si="150"/>
        <v>473.73726605265045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5.7379713125593188</v>
      </c>
      <c r="DG165" s="21">
        <f>EXP(-LN(2)/25)*DG164+(1-EXP(-LN(2)/25))/(LN(2)/25)*Calculateur!DB165*Calculateur!DD165*VLOOKUP('Données projet'!$B$13,Paramètres!$A$1:$I$89,3,0)*0.475*44/12</f>
        <v>1.1815423228740485</v>
      </c>
      <c r="DH165" s="21">
        <f>EXP(-LN(2)/2)*DH164+(1-EXP(-LN(2)/2))/(LN(2)/2)*DB165*DE165*VLOOKUP('Données projet'!$B$13,Paramètres!$A$1:$I$89,3,0)*0.475*44/12</f>
        <v>7.2996683233329849E-20</v>
      </c>
      <c r="DI165" s="22">
        <f t="shared" si="175"/>
        <v>6.9195136354333675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216.83230520434313</v>
      </c>
      <c r="T166" s="59">
        <f t="shared" si="142"/>
        <v>275.41891707278205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12.518332097908893</v>
      </c>
      <c r="AA166" s="21">
        <f>EXP(-LN(2)/25)*AA165+(1-EXP(-LN(2)/25))/(LN(2)/25)*Calculateur!V166*Calculateur!X166*VLOOKUP('Données projet'!$B$9,Paramètres!$A$1:$I$89,3,0)*0.475*44/12</f>
        <v>0.95817840080721994</v>
      </c>
      <c r="AB166" s="21">
        <f>EXP(-LN(2)/2)*AB165+(1-EXP(-LN(2)/2))/(LN(2)/2)*V166*Y166*VLOOKUP('Données projet'!$B$9,Paramètres!$A$1:$I$89,3,0)*0.475*44/12</f>
        <v>9.9603299557618111E-17</v>
      </c>
      <c r="AC166" s="22">
        <f t="shared" si="163"/>
        <v>13.476510498716113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268.00000000000011</v>
      </c>
      <c r="AJ166" s="13">
        <f>AI166*VLOOKUP('Données projet'!$B$10,Paramètres!$A$1:$I$89,3,0)*VLOOKUP('Données projet'!$B$10,Paramètres!$A$1:$I$89,5,0)</f>
        <v>271.75200000000012</v>
      </c>
      <c r="AK166" s="13">
        <f t="shared" si="164"/>
        <v>65.220947824724988</v>
      </c>
      <c r="AL166" s="20">
        <f t="shared" si="165"/>
        <v>586.89455079472953</v>
      </c>
      <c r="AM166" s="59">
        <f t="shared" si="113"/>
        <v>880.2278841280629</v>
      </c>
      <c r="AN166" s="59">
        <f ca="1">AVERAGE(OFFSET($AM$3,0,0,'Données projet'!$E$10+1,1))-AVERAGE(OFFSET($H$3,0,0,'Données projet'!$E$10+1,1))</f>
        <v>292.42154837691379</v>
      </c>
      <c r="AO166" s="59">
        <f t="shared" si="144"/>
        <v>193.18009444354601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27.903104205706331</v>
      </c>
      <c r="AV166" s="21">
        <f>EXP(-LN(2)/25)*AV165+(1-EXP(-LN(2)/25))/(LN(2)/25)*Calculateur!AQ166*Calculateur!AS166*VLOOKUP('Données projet'!$B$10,Paramètres!$A$1:$I$89,3,0)*0.475*44/12</f>
        <v>0.8413917138127458</v>
      </c>
      <c r="AW166" s="21">
        <f>EXP(-LN(2)/2)*AW165+(1-EXP(-LN(2)/2))/(LN(2)/2)*AQ166*AT166*VLOOKUP('Données projet'!$B$10,Paramètres!$A$1:$I$89,3,0)*0.475*44/12</f>
        <v>4.0473992129555594E-7</v>
      </c>
      <c r="AX166" s="21">
        <f t="shared" si="166"/>
        <v>28.744496324259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322</v>
      </c>
      <c r="BE166" s="13">
        <f>BD166*VLOOKUP('Données projet'!$B$11,Paramètres!$A$1:$I$89,3,0)*VLOOKUP('Données projet'!$B$11,Paramètres!$A$1:$I$89,5,0)</f>
        <v>306.41519999999997</v>
      </c>
      <c r="BF166" s="13">
        <f t="shared" si="167"/>
        <v>72.519675217547672</v>
      </c>
      <c r="BG166" s="20">
        <f t="shared" si="168"/>
        <v>659.9782410038955</v>
      </c>
      <c r="BH166" s="59">
        <f t="shared" si="116"/>
        <v>953.31157433722888</v>
      </c>
      <c r="BI166" s="59">
        <f ca="1">AVERAGE(OFFSET($BH$3,0,0,'Données projet'!$E$11+1,1))-AVERAGE(OFFSET($H$3,0,0,'Données projet'!$E$11+1,1))</f>
        <v>339.00921630742886</v>
      </c>
      <c r="BJ166" s="59">
        <f t="shared" si="146"/>
        <v>314.95763895978303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10.895508991782892</v>
      </c>
      <c r="BQ166" s="21">
        <f>EXP(-LN(2)/25)*BQ165+(1-EXP(-LN(2)/25))/(LN(2)/25)*Calculateur!BL166*Calculateur!BN166*VLOOKUP('Données projet'!$B$11,Paramètres!$A$1:$I$89,3,0)*0.475*44/12</f>
        <v>0.32276825732562037</v>
      </c>
      <c r="BR166" s="21">
        <f>EXP(-LN(2)/2)*BR165+(1-EXP(-LN(2)/2))/(LN(2)/2)*BL166*BO166*VLOOKUP('Données projet'!$B$11,Paramètres!$A$1:$I$89,3,0)*0.475*44/12</f>
        <v>2.4055678128726252E-12</v>
      </c>
      <c r="BS166" s="22">
        <f t="shared" si="169"/>
        <v>11.218277249110917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296.99999999999983</v>
      </c>
      <c r="BZ166" s="13">
        <f>BY166*VLOOKUP('Données projet'!$B$12,Paramètres!$A$1:$I$89,3,0)*VLOOKUP('Données projet'!$B$12,Paramètres!$A$1:$I$89,5,0)</f>
        <v>254.82599999999988</v>
      </c>
      <c r="CA166" s="13">
        <f t="shared" si="170"/>
        <v>61.61820333959453</v>
      </c>
      <c r="CB166" s="20">
        <f t="shared" si="171"/>
        <v>551.1403208164603</v>
      </c>
      <c r="CC166" s="59">
        <f t="shared" si="119"/>
        <v>844.47365414979367</v>
      </c>
      <c r="CD166" s="59">
        <f ca="1">AVERAGE(OFFSET($CC$3,0,0,'Données projet'!$E$12+1,1))-AVERAGE(OFFSET($H$3,0,0,'Données projet'!$E$12+1,1))</f>
        <v>204.6927427024138</v>
      </c>
      <c r="CE166" s="59">
        <f t="shared" si="148"/>
        <v>115.74231133146816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15.235295194888394</v>
      </c>
      <c r="CL166" s="21">
        <f>EXP(-LN(2)/25)*CL165+(1-EXP(-LN(2)/25))/(LN(2)/25)*Calculateur!CG166*Calculateur!CI166*VLOOKUP('Données projet'!$B$12,Paramètres!$A$1:$I$89,3,0)*0.475*44/12</f>
        <v>0.51256565999937953</v>
      </c>
      <c r="CM166" s="21">
        <f>EXP(-LN(2)/2)*CM165+(1-EXP(-LN(2)/2))/(LN(2)/2)*CG166*CJ166*VLOOKUP('Données projet'!$B$12,Paramètres!$A$1:$I$89,3,0)*0.475*44/12</f>
        <v>3.7317553828431546E-10</v>
      </c>
      <c r="CN166" s="22">
        <f t="shared" si="172"/>
        <v>15.747860855260949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204.15575418077316</v>
      </c>
      <c r="CZ166" s="59">
        <f t="shared" si="150"/>
        <v>473.73726605265045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5.6254531949369531</v>
      </c>
      <c r="DG166" s="21">
        <f>EXP(-LN(2)/25)*DG165+(1-EXP(-LN(2)/25))/(LN(2)/25)*Calculateur!DB166*Calculateur!DD166*VLOOKUP('Données projet'!$B$13,Paramètres!$A$1:$I$89,3,0)*0.475*44/12</f>
        <v>1.1492329859204473</v>
      </c>
      <c r="DH166" s="21">
        <f>EXP(-LN(2)/2)*DH165+(1-EXP(-LN(2)/2))/(LN(2)/2)*DB166*DE166*VLOOKUP('Données projet'!$B$13,Paramètres!$A$1:$I$89,3,0)*0.475*44/12</f>
        <v>5.1616449718413893E-20</v>
      </c>
      <c r="DI166" s="22">
        <f t="shared" si="175"/>
        <v>6.7746861808574002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216.83230520434313</v>
      </c>
      <c r="T167" s="59">
        <f t="shared" si="142"/>
        <v>275.41891707278205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12.272855240897544</v>
      </c>
      <c r="AA167" s="21">
        <f>EXP(-LN(2)/25)*AA166+(1-EXP(-LN(2)/25))/(LN(2)/25)*Calculateur!V167*Calculateur!X167*VLOOKUP('Données projet'!$B$9,Paramètres!$A$1:$I$89,3,0)*0.475*44/12</f>
        <v>0.93197696204873437</v>
      </c>
      <c r="AB167" s="21">
        <f>EXP(-LN(2)/2)*AB166+(1-EXP(-LN(2)/2))/(LN(2)/2)*V167*Y167*VLOOKUP('Données projet'!$B$9,Paramètres!$A$1:$I$89,3,0)*0.475*44/12</f>
        <v>7.0430168545746815E-17</v>
      </c>
      <c r="AC167" s="22">
        <f t="shared" si="163"/>
        <v>13.204832202946278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268.00000000000011</v>
      </c>
      <c r="AJ167" s="13">
        <f>AI167*VLOOKUP('Données projet'!$B$10,Paramètres!$A$1:$I$89,3,0)*VLOOKUP('Données projet'!$B$10,Paramètres!$A$1:$I$89,5,0)</f>
        <v>271.75200000000012</v>
      </c>
      <c r="AK167" s="13">
        <f t="shared" si="164"/>
        <v>65.220947824724988</v>
      </c>
      <c r="AL167" s="20">
        <f t="shared" si="165"/>
        <v>586.89455079472953</v>
      </c>
      <c r="AM167" s="59">
        <f t="shared" si="113"/>
        <v>880.2278841280629</v>
      </c>
      <c r="AN167" s="59">
        <f ca="1">AVERAGE(OFFSET($AM$3,0,0,'Données projet'!$E$10+1,1))-AVERAGE(OFFSET($H$3,0,0,'Données projet'!$E$10+1,1))</f>
        <v>292.42154837691379</v>
      </c>
      <c r="AO167" s="59">
        <f t="shared" si="144"/>
        <v>193.18009444354601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27.355941351445487</v>
      </c>
      <c r="AV167" s="21">
        <f>EXP(-LN(2)/25)*AV166+(1-EXP(-LN(2)/25))/(LN(2)/25)*Calculateur!AQ167*Calculateur!AS167*VLOOKUP('Données projet'!$B$10,Paramètres!$A$1:$I$89,3,0)*0.475*44/12</f>
        <v>0.81838381315166908</v>
      </c>
      <c r="AW167" s="21">
        <f>EXP(-LN(2)/2)*AW166+(1-EXP(-LN(2)/2))/(LN(2)/2)*AQ167*AT167*VLOOKUP('Données projet'!$B$10,Paramètres!$A$1:$I$89,3,0)*0.475*44/12</f>
        <v>2.8619434296499713E-7</v>
      </c>
      <c r="AX167" s="21">
        <f t="shared" si="166"/>
        <v>28.1743254507915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322</v>
      </c>
      <c r="BE167" s="13">
        <f>BD167*VLOOKUP('Données projet'!$B$11,Paramètres!$A$1:$I$89,3,0)*VLOOKUP('Données projet'!$B$11,Paramètres!$A$1:$I$89,5,0)</f>
        <v>306.41519999999997</v>
      </c>
      <c r="BF167" s="13">
        <f t="shared" si="167"/>
        <v>72.519675217547672</v>
      </c>
      <c r="BG167" s="20">
        <f t="shared" si="168"/>
        <v>659.9782410038955</v>
      </c>
      <c r="BH167" s="59">
        <f t="shared" si="116"/>
        <v>953.31157433722888</v>
      </c>
      <c r="BI167" s="59">
        <f ca="1">AVERAGE(OFFSET($BH$3,0,0,'Données projet'!$E$11+1,1))-AVERAGE(OFFSET($H$3,0,0,'Données projet'!$E$11+1,1))</f>
        <v>339.00921630742886</v>
      </c>
      <c r="BJ167" s="59">
        <f t="shared" si="146"/>
        <v>314.95763895978303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10.681854706058315</v>
      </c>
      <c r="BQ167" s="21">
        <f>EXP(-LN(2)/25)*BQ166+(1-EXP(-LN(2)/25))/(LN(2)/25)*Calculateur!BL167*Calculateur!BN167*VLOOKUP('Données projet'!$B$11,Paramètres!$A$1:$I$89,3,0)*0.475*44/12</f>
        <v>0.3139421423554063</v>
      </c>
      <c r="BR167" s="21">
        <f>EXP(-LN(2)/2)*BR166+(1-EXP(-LN(2)/2))/(LN(2)/2)*BL167*BO167*VLOOKUP('Données projet'!$B$11,Paramètres!$A$1:$I$89,3,0)*0.475*44/12</f>
        <v>1.7009933130863251E-12</v>
      </c>
      <c r="BS167" s="22">
        <f t="shared" si="169"/>
        <v>10.995796848415424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296.99999999999983</v>
      </c>
      <c r="BZ167" s="13">
        <f>BY167*VLOOKUP('Données projet'!$B$12,Paramètres!$A$1:$I$89,3,0)*VLOOKUP('Données projet'!$B$12,Paramètres!$A$1:$I$89,5,0)</f>
        <v>254.82599999999988</v>
      </c>
      <c r="CA167" s="13">
        <f t="shared" si="170"/>
        <v>61.61820333959453</v>
      </c>
      <c r="CB167" s="20">
        <f t="shared" si="171"/>
        <v>551.1403208164603</v>
      </c>
      <c r="CC167" s="59">
        <f t="shared" si="119"/>
        <v>844.47365414979367</v>
      </c>
      <c r="CD167" s="59">
        <f ca="1">AVERAGE(OFFSET($CC$3,0,0,'Données projet'!$E$12+1,1))-AVERAGE(OFFSET($H$3,0,0,'Données projet'!$E$12+1,1))</f>
        <v>204.6927427024138</v>
      </c>
      <c r="CE167" s="59">
        <f t="shared" si="148"/>
        <v>115.74231133146816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14.936540348729132</v>
      </c>
      <c r="CL167" s="21">
        <f>EXP(-LN(2)/25)*CL166+(1-EXP(-LN(2)/25))/(LN(2)/25)*Calculateur!CG167*Calculateur!CI167*VLOOKUP('Données projet'!$B$12,Paramètres!$A$1:$I$89,3,0)*0.475*44/12</f>
        <v>0.49854952507203992</v>
      </c>
      <c r="CM167" s="21">
        <f>EXP(-LN(2)/2)*CM166+(1-EXP(-LN(2)/2))/(LN(2)/2)*CG167*CJ167*VLOOKUP('Données projet'!$B$12,Paramètres!$A$1:$I$89,3,0)*0.475*44/12</f>
        <v>2.6387495369377954E-10</v>
      </c>
      <c r="CN167" s="22">
        <f t="shared" si="172"/>
        <v>15.435089874065046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204.15575418077316</v>
      </c>
      <c r="CZ167" s="59">
        <f t="shared" si="150"/>
        <v>473.73726605265045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5.5151414889718868</v>
      </c>
      <c r="DG167" s="21">
        <f>EXP(-LN(2)/25)*DG166+(1-EXP(-LN(2)/25))/(LN(2)/25)*Calculateur!DB167*Calculateur!DD167*VLOOKUP('Données projet'!$B$13,Paramètres!$A$1:$I$89,3,0)*0.475*44/12</f>
        <v>1.1178071494849167</v>
      </c>
      <c r="DH167" s="21">
        <f>EXP(-LN(2)/2)*DH166+(1-EXP(-LN(2)/2))/(LN(2)/2)*DB167*DE167*VLOOKUP('Données projet'!$B$13,Paramètres!$A$1:$I$89,3,0)*0.475*44/12</f>
        <v>3.6498341616664925E-20</v>
      </c>
      <c r="DI167" s="22">
        <f t="shared" si="175"/>
        <v>6.6329486384568037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216.83230520434313</v>
      </c>
      <c r="T168" s="59">
        <f t="shared" si="142"/>
        <v>275.41891707278205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12.032192035326087</v>
      </c>
      <c r="AA168" s="21">
        <f>EXP(-LN(2)/25)*AA167+(1-EXP(-LN(2)/25))/(LN(2)/25)*Calculateur!V168*Calculateur!X168*VLOOKUP('Données projet'!$B$9,Paramètres!$A$1:$I$89,3,0)*0.475*44/12</f>
        <v>0.90649200301097332</v>
      </c>
      <c r="AB168" s="21">
        <f>EXP(-LN(2)/2)*AB167+(1-EXP(-LN(2)/2))/(LN(2)/2)*V168*Y168*VLOOKUP('Données projet'!$B$9,Paramètres!$A$1:$I$89,3,0)*0.475*44/12</f>
        <v>4.9801649778809055E-17</v>
      </c>
      <c r="AC168" s="22">
        <f t="shared" si="163"/>
        <v>12.93868403833706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268.00000000000011</v>
      </c>
      <c r="AJ168" s="13">
        <f>AI168*VLOOKUP('Données projet'!$B$10,Paramètres!$A$1:$I$89,3,0)*VLOOKUP('Données projet'!$B$10,Paramètres!$A$1:$I$89,5,0)</f>
        <v>271.75200000000012</v>
      </c>
      <c r="AK168" s="13">
        <f t="shared" si="164"/>
        <v>65.220947824724988</v>
      </c>
      <c r="AL168" s="20">
        <f t="shared" si="165"/>
        <v>586.89455079472953</v>
      </c>
      <c r="AM168" s="59">
        <f t="shared" si="113"/>
        <v>880.2278841280629</v>
      </c>
      <c r="AN168" s="59">
        <f ca="1">AVERAGE(OFFSET($AM$3,0,0,'Données projet'!$E$10+1,1))-AVERAGE(OFFSET($H$3,0,0,'Données projet'!$E$10+1,1))</f>
        <v>292.42154837691379</v>
      </c>
      <c r="AO168" s="59">
        <f t="shared" si="144"/>
        <v>193.18009444354601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26.819508027020312</v>
      </c>
      <c r="AV168" s="21">
        <f>EXP(-LN(2)/25)*AV167+(1-EXP(-LN(2)/25))/(LN(2)/25)*Calculateur!AQ168*Calculateur!AS168*VLOOKUP('Données projet'!$B$10,Paramètres!$A$1:$I$89,3,0)*0.475*44/12</f>
        <v>0.79600506474410238</v>
      </c>
      <c r="AW168" s="21">
        <f>EXP(-LN(2)/2)*AW167+(1-EXP(-LN(2)/2))/(LN(2)/2)*AQ168*AT168*VLOOKUP('Données projet'!$B$10,Paramètres!$A$1:$I$89,3,0)*0.475*44/12</f>
        <v>2.0236996064777797E-7</v>
      </c>
      <c r="AX168" s="21">
        <f t="shared" si="166"/>
        <v>27.615513294134374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322</v>
      </c>
      <c r="BE168" s="13">
        <f>BD168*VLOOKUP('Données projet'!$B$11,Paramètres!$A$1:$I$89,3,0)*VLOOKUP('Données projet'!$B$11,Paramètres!$A$1:$I$89,5,0)</f>
        <v>306.41519999999997</v>
      </c>
      <c r="BF168" s="13">
        <f t="shared" si="167"/>
        <v>72.519675217547672</v>
      </c>
      <c r="BG168" s="20">
        <f t="shared" si="168"/>
        <v>659.9782410038955</v>
      </c>
      <c r="BH168" s="59">
        <f t="shared" si="116"/>
        <v>953.31157433722888</v>
      </c>
      <c r="BI168" s="59">
        <f ca="1">AVERAGE(OFFSET($BH$3,0,0,'Données projet'!$E$11+1,1))-AVERAGE(OFFSET($H$3,0,0,'Données projet'!$E$11+1,1))</f>
        <v>339.00921630742886</v>
      </c>
      <c r="BJ168" s="59">
        <f t="shared" si="146"/>
        <v>314.95763895978303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10.472390050560552</v>
      </c>
      <c r="BQ168" s="21">
        <f>EXP(-LN(2)/25)*BQ167+(1-EXP(-LN(2)/25))/(LN(2)/25)*Calculateur!BL168*Calculateur!BN168*VLOOKUP('Données projet'!$B$11,Paramètres!$A$1:$I$89,3,0)*0.475*44/12</f>
        <v>0.30535737796319795</v>
      </c>
      <c r="BR168" s="21">
        <f>EXP(-LN(2)/2)*BR167+(1-EXP(-LN(2)/2))/(LN(2)/2)*BL168*BO168*VLOOKUP('Données projet'!$B$11,Paramètres!$A$1:$I$89,3,0)*0.475*44/12</f>
        <v>1.2027839064363126E-12</v>
      </c>
      <c r="BS168" s="22">
        <f t="shared" si="169"/>
        <v>10.777747428524952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296.99999999999983</v>
      </c>
      <c r="BZ168" s="13">
        <f>BY168*VLOOKUP('Données projet'!$B$12,Paramètres!$A$1:$I$89,3,0)*VLOOKUP('Données projet'!$B$12,Paramètres!$A$1:$I$89,5,0)</f>
        <v>254.82599999999988</v>
      </c>
      <c r="CA168" s="13">
        <f t="shared" si="170"/>
        <v>61.61820333959453</v>
      </c>
      <c r="CB168" s="20">
        <f t="shared" si="171"/>
        <v>551.1403208164603</v>
      </c>
      <c r="CC168" s="59">
        <f t="shared" si="119"/>
        <v>844.47365414979367</v>
      </c>
      <c r="CD168" s="59">
        <f ca="1">AVERAGE(OFFSET($CC$3,0,0,'Données projet'!$E$12+1,1))-AVERAGE(OFFSET($H$3,0,0,'Données projet'!$E$12+1,1))</f>
        <v>204.6927427024138</v>
      </c>
      <c r="CE168" s="59">
        <f t="shared" si="148"/>
        <v>115.74231133146816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14.643643902880591</v>
      </c>
      <c r="CL168" s="21">
        <f>EXP(-LN(2)/25)*CL167+(1-EXP(-LN(2)/25))/(LN(2)/25)*Calculateur!CG168*Calculateur!CI168*VLOOKUP('Données projet'!$B$12,Paramètres!$A$1:$I$89,3,0)*0.475*44/12</f>
        <v>0.48491666209136491</v>
      </c>
      <c r="CM168" s="21">
        <f>EXP(-LN(2)/2)*CM167+(1-EXP(-LN(2)/2))/(LN(2)/2)*CG168*CJ168*VLOOKUP('Données projet'!$B$12,Paramètres!$A$1:$I$89,3,0)*0.475*44/12</f>
        <v>1.8658776914215773E-10</v>
      </c>
      <c r="CN168" s="22">
        <f t="shared" si="172"/>
        <v>15.128560565158544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204.15575418077316</v>
      </c>
      <c r="CZ168" s="59">
        <f t="shared" si="150"/>
        <v>473.73726605265045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5.4069929282772984</v>
      </c>
      <c r="DG168" s="21">
        <f>EXP(-LN(2)/25)*DG167+(1-EXP(-LN(2)/25))/(LN(2)/25)*Calculateur!DB168*Calculateur!DD168*VLOOKUP('Données projet'!$B$13,Paramètres!$A$1:$I$89,3,0)*0.475*44/12</f>
        <v>1.0872406541993285</v>
      </c>
      <c r="DH168" s="21">
        <f>EXP(-LN(2)/2)*DH167+(1-EXP(-LN(2)/2))/(LN(2)/2)*DB168*DE168*VLOOKUP('Données projet'!$B$13,Paramètres!$A$1:$I$89,3,0)*0.475*44/12</f>
        <v>2.5808224859206946E-20</v>
      </c>
      <c r="DI168" s="22">
        <f t="shared" si="175"/>
        <v>6.4942335824766264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216.83230520434313</v>
      </c>
      <c r="T169" s="59">
        <f t="shared" si="142"/>
        <v>275.41891707278205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11.796248088425827</v>
      </c>
      <c r="AA169" s="21">
        <f>EXP(-LN(2)/25)*AA168+(1-EXP(-LN(2)/25))/(LN(2)/25)*Calculateur!V169*Calculateur!X169*VLOOKUP('Données projet'!$B$9,Paramètres!$A$1:$I$89,3,0)*0.475*44/12</f>
        <v>0.88170393151829562</v>
      </c>
      <c r="AB169" s="21">
        <f>EXP(-LN(2)/2)*AB168+(1-EXP(-LN(2)/2))/(LN(2)/2)*V169*Y169*VLOOKUP('Données projet'!$B$9,Paramètres!$A$1:$I$89,3,0)*0.475*44/12</f>
        <v>3.5215084272873407E-17</v>
      </c>
      <c r="AC169" s="22">
        <f t="shared" si="163"/>
        <v>12.677952019944122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268.00000000000011</v>
      </c>
      <c r="AJ169" s="13">
        <f>AI169*VLOOKUP('Données projet'!$B$10,Paramètres!$A$1:$I$89,3,0)*VLOOKUP('Données projet'!$B$10,Paramètres!$A$1:$I$89,5,0)</f>
        <v>271.75200000000012</v>
      </c>
      <c r="AK169" s="13">
        <f t="shared" si="164"/>
        <v>65.220947824724988</v>
      </c>
      <c r="AL169" s="20">
        <f t="shared" si="165"/>
        <v>586.89455079472953</v>
      </c>
      <c r="AM169" s="59">
        <f t="shared" si="113"/>
        <v>880.2278841280629</v>
      </c>
      <c r="AN169" s="59">
        <f ca="1">AVERAGE(OFFSET($AM$3,0,0,'Données projet'!$E$10+1,1))-AVERAGE(OFFSET($H$3,0,0,'Données projet'!$E$10+1,1))</f>
        <v>292.42154837691379</v>
      </c>
      <c r="AO169" s="59">
        <f t="shared" si="144"/>
        <v>193.18009444354601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26.293593832895095</v>
      </c>
      <c r="AV169" s="21">
        <f>EXP(-LN(2)/25)*AV168+(1-EXP(-LN(2)/25))/(LN(2)/25)*Calculateur!AQ169*Calculateur!AS169*VLOOKUP('Données projet'!$B$10,Paramètres!$A$1:$I$89,3,0)*0.475*44/12</f>
        <v>0.77423826438858778</v>
      </c>
      <c r="AW169" s="21">
        <f>EXP(-LN(2)/2)*AW168+(1-EXP(-LN(2)/2))/(LN(2)/2)*AQ169*AT169*VLOOKUP('Données projet'!$B$10,Paramètres!$A$1:$I$89,3,0)*0.475*44/12</f>
        <v>1.4309717148249857E-7</v>
      </c>
      <c r="AX169" s="21">
        <f t="shared" si="166"/>
        <v>27.067832240380852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322</v>
      </c>
      <c r="BE169" s="13">
        <f>BD169*VLOOKUP('Données projet'!$B$11,Paramètres!$A$1:$I$89,3,0)*VLOOKUP('Données projet'!$B$11,Paramètres!$A$1:$I$89,5,0)</f>
        <v>306.41519999999997</v>
      </c>
      <c r="BF169" s="13">
        <f t="shared" si="167"/>
        <v>72.519675217547672</v>
      </c>
      <c r="BG169" s="20">
        <f t="shared" si="168"/>
        <v>659.9782410038955</v>
      </c>
      <c r="BH169" s="59">
        <f t="shared" si="116"/>
        <v>953.31157433722888</v>
      </c>
      <c r="BI169" s="59">
        <f ca="1">AVERAGE(OFFSET($BH$3,0,0,'Données projet'!$E$11+1,1))-AVERAGE(OFFSET($H$3,0,0,'Données projet'!$E$11+1,1))</f>
        <v>339.00921630742886</v>
      </c>
      <c r="BJ169" s="59">
        <f t="shared" si="146"/>
        <v>314.95763895978303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10.267032869196274</v>
      </c>
      <c r="BQ169" s="21">
        <f>EXP(-LN(2)/25)*BQ168+(1-EXP(-LN(2)/25))/(LN(2)/25)*Calculateur!BL169*Calculateur!BN169*VLOOKUP('Données projet'!$B$11,Paramètres!$A$1:$I$89,3,0)*0.475*44/12</f>
        <v>0.29700736440474768</v>
      </c>
      <c r="BR169" s="21">
        <f>EXP(-LN(2)/2)*BR168+(1-EXP(-LN(2)/2))/(LN(2)/2)*BL169*BO169*VLOOKUP('Données projet'!$B$11,Paramètres!$A$1:$I$89,3,0)*0.475*44/12</f>
        <v>8.5049665654316257E-13</v>
      </c>
      <c r="BS169" s="22">
        <f t="shared" si="169"/>
        <v>10.564040233601872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296.99999999999983</v>
      </c>
      <c r="BZ169" s="13">
        <f>BY169*VLOOKUP('Données projet'!$B$12,Paramètres!$A$1:$I$89,3,0)*VLOOKUP('Données projet'!$B$12,Paramètres!$A$1:$I$89,5,0)</f>
        <v>254.82599999999988</v>
      </c>
      <c r="CA169" s="13">
        <f t="shared" si="170"/>
        <v>61.61820333959453</v>
      </c>
      <c r="CB169" s="20">
        <f t="shared" si="171"/>
        <v>551.1403208164603</v>
      </c>
      <c r="CC169" s="59">
        <f t="shared" si="119"/>
        <v>844.47365414979367</v>
      </c>
      <c r="CD169" s="59">
        <f ca="1">AVERAGE(OFFSET($CC$3,0,0,'Données projet'!$E$12+1,1))-AVERAGE(OFFSET($H$3,0,0,'Données projet'!$E$12+1,1))</f>
        <v>204.6927427024138</v>
      </c>
      <c r="CE169" s="59">
        <f t="shared" si="148"/>
        <v>115.74231133146816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14.356490977685947</v>
      </c>
      <c r="CL169" s="21">
        <f>EXP(-LN(2)/25)*CL168+(1-EXP(-LN(2)/25))/(LN(2)/25)*Calculateur!CG169*Calculateur!CI169*VLOOKUP('Données projet'!$B$12,Paramètres!$A$1:$I$89,3,0)*0.475*44/12</f>
        <v>0.47165659046581759</v>
      </c>
      <c r="CM169" s="21">
        <f>EXP(-LN(2)/2)*CM168+(1-EXP(-LN(2)/2))/(LN(2)/2)*CG169*CJ169*VLOOKUP('Données projet'!$B$12,Paramètres!$A$1:$I$89,3,0)*0.475*44/12</f>
        <v>1.3193747684688977E-10</v>
      </c>
      <c r="CN169" s="22">
        <f t="shared" si="172"/>
        <v>14.828147568283702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204.15575418077316</v>
      </c>
      <c r="CZ169" s="59">
        <f t="shared" si="150"/>
        <v>473.73726605265045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5.3009650948938223</v>
      </c>
      <c r="DG169" s="21">
        <f>EXP(-LN(2)/25)*DG168+(1-EXP(-LN(2)/25))/(LN(2)/25)*Calculateur!DB169*Calculateur!DD169*VLOOKUP('Données projet'!$B$13,Paramètres!$A$1:$I$89,3,0)*0.475*44/12</f>
        <v>1.0575100013347467</v>
      </c>
      <c r="DH169" s="21">
        <f>EXP(-LN(2)/2)*DH168+(1-EXP(-LN(2)/2))/(LN(2)/2)*DB169*DE169*VLOOKUP('Données projet'!$B$13,Paramètres!$A$1:$I$89,3,0)*0.475*44/12</f>
        <v>1.8249170808332462E-20</v>
      </c>
      <c r="DI169" s="22">
        <f t="shared" si="175"/>
        <v>6.3584750962285685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216.83230520434313</v>
      </c>
      <c r="T170" s="59">
        <f t="shared" si="142"/>
        <v>275.41891707278205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11.564930858412684</v>
      </c>
      <c r="AA170" s="21">
        <f>EXP(-LN(2)/25)*AA169+(1-EXP(-LN(2)/25))/(LN(2)/25)*Calculateur!V170*Calculateur!X170*VLOOKUP('Données projet'!$B$9,Paramètres!$A$1:$I$89,3,0)*0.475*44/12</f>
        <v>0.8575936911441332</v>
      </c>
      <c r="AB170" s="21">
        <f>EXP(-LN(2)/2)*AB169+(1-EXP(-LN(2)/2))/(LN(2)/2)*V170*Y170*VLOOKUP('Données projet'!$B$9,Paramètres!$A$1:$I$89,3,0)*0.475*44/12</f>
        <v>2.4900824889404528E-17</v>
      </c>
      <c r="AC170" s="22">
        <f t="shared" si="163"/>
        <v>12.422524549556817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268.00000000000011</v>
      </c>
      <c r="AJ170" s="13">
        <f>AI170*VLOOKUP('Données projet'!$B$10,Paramètres!$A$1:$I$89,3,0)*VLOOKUP('Données projet'!$B$10,Paramètres!$A$1:$I$89,5,0)</f>
        <v>271.75200000000012</v>
      </c>
      <c r="AK170" s="13">
        <f t="shared" si="164"/>
        <v>65.220947824724988</v>
      </c>
      <c r="AL170" s="20">
        <f t="shared" si="165"/>
        <v>586.89455079472953</v>
      </c>
      <c r="AM170" s="59">
        <f t="shared" si="113"/>
        <v>880.2278841280629</v>
      </c>
      <c r="AN170" s="59">
        <f ca="1">AVERAGE(OFFSET($AM$3,0,0,'Données projet'!$E$10+1,1))-AVERAGE(OFFSET($H$3,0,0,'Données projet'!$E$10+1,1))</f>
        <v>292.42154837691379</v>
      </c>
      <c r="AO170" s="59">
        <f t="shared" si="144"/>
        <v>193.18009444354601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25.777992495340687</v>
      </c>
      <c r="AV170" s="21">
        <f>EXP(-LN(2)/25)*AV169+(1-EXP(-LN(2)/25))/(LN(2)/25)*Calculateur!AQ170*Calculateur!AS170*VLOOKUP('Données projet'!$B$10,Paramètres!$A$1:$I$89,3,0)*0.475*44/12</f>
        <v>0.75306667833346108</v>
      </c>
      <c r="AW170" s="21">
        <f>EXP(-LN(2)/2)*AW169+(1-EXP(-LN(2)/2))/(LN(2)/2)*AQ170*AT170*VLOOKUP('Données projet'!$B$10,Paramètres!$A$1:$I$89,3,0)*0.475*44/12</f>
        <v>1.0118498032388898E-7</v>
      </c>
      <c r="AX170" s="21">
        <f t="shared" si="166"/>
        <v>26.531059274859128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322</v>
      </c>
      <c r="BE170" s="13">
        <f>BD170*VLOOKUP('Données projet'!$B$11,Paramètres!$A$1:$I$89,3,0)*VLOOKUP('Données projet'!$B$11,Paramètres!$A$1:$I$89,5,0)</f>
        <v>306.41519999999997</v>
      </c>
      <c r="BF170" s="13">
        <f t="shared" si="167"/>
        <v>72.519675217547672</v>
      </c>
      <c r="BG170" s="20">
        <f t="shared" si="168"/>
        <v>659.9782410038955</v>
      </c>
      <c r="BH170" s="59">
        <f t="shared" si="116"/>
        <v>953.31157433722888</v>
      </c>
      <c r="BI170" s="59">
        <f ca="1">AVERAGE(OFFSET($BH$3,0,0,'Données projet'!$E$11+1,1))-AVERAGE(OFFSET($H$3,0,0,'Données projet'!$E$11+1,1))</f>
        <v>339.00921630742886</v>
      </c>
      <c r="BJ170" s="59">
        <f t="shared" si="146"/>
        <v>314.95763895978303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10.065702616903037</v>
      </c>
      <c r="BQ170" s="21">
        <f>EXP(-LN(2)/25)*BQ169+(1-EXP(-LN(2)/25))/(LN(2)/25)*Calculateur!BL170*Calculateur!BN170*VLOOKUP('Données projet'!$B$11,Paramètres!$A$1:$I$89,3,0)*0.475*44/12</f>
        <v>0.28888568240616136</v>
      </c>
      <c r="BR170" s="21">
        <f>EXP(-LN(2)/2)*BR169+(1-EXP(-LN(2)/2))/(LN(2)/2)*BL170*BO170*VLOOKUP('Données projet'!$B$11,Paramètres!$A$1:$I$89,3,0)*0.475*44/12</f>
        <v>6.0139195321815631E-13</v>
      </c>
      <c r="BS170" s="22">
        <f t="shared" si="169"/>
        <v>10.3545882993098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296.99999999999983</v>
      </c>
      <c r="BZ170" s="13">
        <f>BY170*VLOOKUP('Données projet'!$B$12,Paramètres!$A$1:$I$89,3,0)*VLOOKUP('Données projet'!$B$12,Paramètres!$A$1:$I$89,5,0)</f>
        <v>254.82599999999988</v>
      </c>
      <c r="CA170" s="13">
        <f t="shared" si="170"/>
        <v>61.61820333959453</v>
      </c>
      <c r="CB170" s="20">
        <f t="shared" si="171"/>
        <v>551.1403208164603</v>
      </c>
      <c r="CC170" s="59">
        <f t="shared" si="119"/>
        <v>844.47365414979367</v>
      </c>
      <c r="CD170" s="59">
        <f ca="1">AVERAGE(OFFSET($CC$3,0,0,'Données projet'!$E$12+1,1))-AVERAGE(OFFSET($H$3,0,0,'Données projet'!$E$12+1,1))</f>
        <v>204.6927427024138</v>
      </c>
      <c r="CE170" s="59">
        <f t="shared" si="148"/>
        <v>115.74231133146816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14.074968946208381</v>
      </c>
      <c r="CL170" s="21">
        <f>EXP(-LN(2)/25)*CL169+(1-EXP(-LN(2)/25))/(LN(2)/25)*Calculateur!CG170*Calculateur!CI170*VLOOKUP('Données projet'!$B$12,Paramètres!$A$1:$I$89,3,0)*0.475*44/12</f>
        <v>0.4587591161961877</v>
      </c>
      <c r="CM170" s="21">
        <f>EXP(-LN(2)/2)*CM169+(1-EXP(-LN(2)/2))/(LN(2)/2)*CG170*CJ170*VLOOKUP('Données projet'!$B$12,Paramètres!$A$1:$I$89,3,0)*0.475*44/12</f>
        <v>9.3293884571078866E-11</v>
      </c>
      <c r="CN170" s="22">
        <f t="shared" si="172"/>
        <v>14.533728062497863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204.15575418077316</v>
      </c>
      <c r="CZ170" s="59">
        <f t="shared" si="150"/>
        <v>473.73726605265045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5.1970164026524035</v>
      </c>
      <c r="DG170" s="21">
        <f>EXP(-LN(2)/25)*DG169+(1-EXP(-LN(2)/25))/(LN(2)/25)*Calculateur!DB170*Calculateur!DD170*VLOOKUP('Données projet'!$B$13,Paramètres!$A$1:$I$89,3,0)*0.475*44/12</f>
        <v>1.028592334736214</v>
      </c>
      <c r="DH170" s="21">
        <f>EXP(-LN(2)/2)*DH169+(1-EXP(-LN(2)/2))/(LN(2)/2)*DB170*DE170*VLOOKUP('Données projet'!$B$13,Paramètres!$A$1:$I$89,3,0)*0.475*44/12</f>
        <v>1.2904112429603473E-20</v>
      </c>
      <c r="DI170" s="22">
        <f t="shared" si="175"/>
        <v>6.2256087373886171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216.83230520434313</v>
      </c>
      <c r="T171" s="59">
        <f t="shared" si="142"/>
        <v>275.41891707278205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11.338149618190519</v>
      </c>
      <c r="AA171" s="21">
        <f>EXP(-LN(2)/25)*AA170+(1-EXP(-LN(2)/25))/(LN(2)/25)*Calculateur!V171*Calculateur!X171*VLOOKUP('Données projet'!$B$9,Paramètres!$A$1:$I$89,3,0)*0.475*44/12</f>
        <v>0.8341427465609047</v>
      </c>
      <c r="AB171" s="21">
        <f>EXP(-LN(2)/2)*AB170+(1-EXP(-LN(2)/2))/(LN(2)/2)*V171*Y171*VLOOKUP('Données projet'!$B$9,Paramètres!$A$1:$I$89,3,0)*0.475*44/12</f>
        <v>1.7607542136436704E-17</v>
      </c>
      <c r="AC171" s="22">
        <f t="shared" si="163"/>
        <v>12.172292364751424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268.00000000000011</v>
      </c>
      <c r="AJ171" s="13">
        <f>AI171*VLOOKUP('Données projet'!$B$10,Paramètres!$A$1:$I$89,3,0)*VLOOKUP('Données projet'!$B$10,Paramètres!$A$1:$I$89,5,0)</f>
        <v>271.75200000000012</v>
      </c>
      <c r="AK171" s="13">
        <f t="shared" si="164"/>
        <v>65.220947824724988</v>
      </c>
      <c r="AL171" s="20">
        <f t="shared" si="165"/>
        <v>586.89455079472953</v>
      </c>
      <c r="AM171" s="59">
        <f t="shared" si="113"/>
        <v>880.2278841280629</v>
      </c>
      <c r="AN171" s="59">
        <f ca="1">AVERAGE(OFFSET($AM$3,0,0,'Données projet'!$E$10+1,1))-AVERAGE(OFFSET($H$3,0,0,'Données projet'!$E$10+1,1))</f>
        <v>292.42154837691379</v>
      </c>
      <c r="AO171" s="59">
        <f t="shared" si="144"/>
        <v>193.18009444354601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25.272501785529958</v>
      </c>
      <c r="AV171" s="21">
        <f>EXP(-LN(2)/25)*AV170+(1-EXP(-LN(2)/25))/(LN(2)/25)*Calculateur!AQ171*Calculateur!AS171*VLOOKUP('Données projet'!$B$10,Paramètres!$A$1:$I$89,3,0)*0.475*44/12</f>
        <v>0.73247403041237713</v>
      </c>
      <c r="AW171" s="21">
        <f>EXP(-LN(2)/2)*AW170+(1-EXP(-LN(2)/2))/(LN(2)/2)*AQ171*AT171*VLOOKUP('Données projet'!$B$10,Paramètres!$A$1:$I$89,3,0)*0.475*44/12</f>
        <v>7.1548585741249283E-8</v>
      </c>
      <c r="AX171" s="21">
        <f t="shared" si="166"/>
        <v>26.004975887490922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322</v>
      </c>
      <c r="BE171" s="13">
        <f>BD171*VLOOKUP('Données projet'!$B$11,Paramètres!$A$1:$I$89,3,0)*VLOOKUP('Données projet'!$B$11,Paramètres!$A$1:$I$89,5,0)</f>
        <v>306.41519999999997</v>
      </c>
      <c r="BF171" s="13">
        <f t="shared" si="167"/>
        <v>72.519675217547672</v>
      </c>
      <c r="BG171" s="20">
        <f t="shared" si="168"/>
        <v>659.9782410038955</v>
      </c>
      <c r="BH171" s="59">
        <f t="shared" si="116"/>
        <v>953.31157433722888</v>
      </c>
      <c r="BI171" s="59">
        <f ca="1">AVERAGE(OFFSET($BH$3,0,0,'Données projet'!$E$11+1,1))-AVERAGE(OFFSET($H$3,0,0,'Données projet'!$E$11+1,1))</f>
        <v>339.00921630742886</v>
      </c>
      <c r="BJ171" s="59">
        <f t="shared" si="146"/>
        <v>314.95763895978303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9.8683203280579423</v>
      </c>
      <c r="BQ171" s="21">
        <f>EXP(-LN(2)/25)*BQ170+(1-EXP(-LN(2)/25))/(LN(2)/25)*Calculateur!BL171*Calculateur!BN171*VLOOKUP('Données projet'!$B$11,Paramètres!$A$1:$I$89,3,0)*0.475*44/12</f>
        <v>0.28098608822892712</v>
      </c>
      <c r="BR171" s="21">
        <f>EXP(-LN(2)/2)*BR170+(1-EXP(-LN(2)/2))/(LN(2)/2)*BL171*BO171*VLOOKUP('Données projet'!$B$11,Paramètres!$A$1:$I$89,3,0)*0.475*44/12</f>
        <v>4.2524832827158129E-13</v>
      </c>
      <c r="BS171" s="22">
        <f t="shared" si="169"/>
        <v>10.149306416287294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296.99999999999983</v>
      </c>
      <c r="BZ171" s="13">
        <f>BY171*VLOOKUP('Données projet'!$B$12,Paramètres!$A$1:$I$89,3,0)*VLOOKUP('Données projet'!$B$12,Paramètres!$A$1:$I$89,5,0)</f>
        <v>254.82599999999988</v>
      </c>
      <c r="CA171" s="13">
        <f t="shared" si="170"/>
        <v>61.61820333959453</v>
      </c>
      <c r="CB171" s="20">
        <f t="shared" si="171"/>
        <v>551.1403208164603</v>
      </c>
      <c r="CC171" s="59">
        <f t="shared" si="119"/>
        <v>844.47365414979367</v>
      </c>
      <c r="CD171" s="59">
        <f ca="1">AVERAGE(OFFSET($CC$3,0,0,'Données projet'!$E$12+1,1))-AVERAGE(OFFSET($H$3,0,0,'Données projet'!$E$12+1,1))</f>
        <v>204.6927427024138</v>
      </c>
      <c r="CE171" s="59">
        <f t="shared" si="148"/>
        <v>115.74231133146816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13.798967390056605</v>
      </c>
      <c r="CL171" s="21">
        <f>EXP(-LN(2)/25)*CL170+(1-EXP(-LN(2)/25))/(LN(2)/25)*Calculateur!CG171*Calculateur!CI171*VLOOKUP('Données projet'!$B$12,Paramètres!$A$1:$I$89,3,0)*0.475*44/12</f>
        <v>0.44621432403870953</v>
      </c>
      <c r="CM171" s="21">
        <f>EXP(-LN(2)/2)*CM170+(1-EXP(-LN(2)/2))/(LN(2)/2)*CG171*CJ171*VLOOKUP('Données projet'!$B$12,Paramètres!$A$1:$I$89,3,0)*0.475*44/12</f>
        <v>6.5968738423444885E-11</v>
      </c>
      <c r="CN171" s="22">
        <f t="shared" si="172"/>
        <v>14.245181714161284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204.15575418077316</v>
      </c>
      <c r="CZ171" s="59">
        <f t="shared" si="150"/>
        <v>473.73726605265045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5.0951060808633972</v>
      </c>
      <c r="DG171" s="21">
        <f>EXP(-LN(2)/25)*DG170+(1-EXP(-LN(2)/25))/(LN(2)/25)*Calculateur!DB171*Calculateur!DD171*VLOOKUP('Données projet'!$B$13,Paramètres!$A$1:$I$89,3,0)*0.475*44/12</f>
        <v>1.0004654232515322</v>
      </c>
      <c r="DH171" s="21">
        <f>EXP(-LN(2)/2)*DH170+(1-EXP(-LN(2)/2))/(LN(2)/2)*DB171*DE171*VLOOKUP('Données projet'!$B$13,Paramètres!$A$1:$I$89,3,0)*0.475*44/12</f>
        <v>9.1245854041662312E-21</v>
      </c>
      <c r="DI171" s="22">
        <f t="shared" si="175"/>
        <v>6.095571504114929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216.83230520434313</v>
      </c>
      <c r="T172" s="59">
        <f t="shared" si="142"/>
        <v>275.41891707278205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11.115815419766212</v>
      </c>
      <c r="AA172" s="21">
        <f>EXP(-LN(2)/25)*AA171+(1-EXP(-LN(2)/25))/(LN(2)/25)*Calculateur!V172*Calculateur!X172*VLOOKUP('Données projet'!$B$9,Paramètres!$A$1:$I$89,3,0)*0.475*44/12</f>
        <v>0.81133306929053617</v>
      </c>
      <c r="AB172" s="21">
        <f>EXP(-LN(2)/2)*AB171+(1-EXP(-LN(2)/2))/(LN(2)/2)*V172*Y172*VLOOKUP('Données projet'!$B$9,Paramètres!$A$1:$I$89,3,0)*0.475*44/12</f>
        <v>1.2450412444702264E-17</v>
      </c>
      <c r="AC172" s="22">
        <f t="shared" si="163"/>
        <v>11.927148489056748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268.00000000000011</v>
      </c>
      <c r="AJ172" s="13">
        <f>AI172*VLOOKUP('Données projet'!$B$10,Paramètres!$A$1:$I$89,3,0)*VLOOKUP('Données projet'!$B$10,Paramètres!$A$1:$I$89,5,0)</f>
        <v>271.75200000000012</v>
      </c>
      <c r="AK172" s="13">
        <f t="shared" si="164"/>
        <v>65.220947824724988</v>
      </c>
      <c r="AL172" s="20">
        <f t="shared" si="165"/>
        <v>586.89455079472953</v>
      </c>
      <c r="AM172" s="59">
        <f t="shared" si="113"/>
        <v>880.2278841280629</v>
      </c>
      <c r="AN172" s="59">
        <f ca="1">AVERAGE(OFFSET($AM$3,0,0,'Données projet'!$E$10+1,1))-AVERAGE(OFFSET($H$3,0,0,'Données projet'!$E$10+1,1))</f>
        <v>292.42154837691379</v>
      </c>
      <c r="AO172" s="59">
        <f t="shared" si="144"/>
        <v>193.18009444354601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24.776923440219729</v>
      </c>
      <c r="AV172" s="21">
        <f>EXP(-LN(2)/25)*AV171+(1-EXP(-LN(2)/25))/(LN(2)/25)*Calculateur!AQ172*Calculateur!AS172*VLOOKUP('Données projet'!$B$10,Paramètres!$A$1:$I$89,3,0)*0.475*44/12</f>
        <v>0.71244448953161554</v>
      </c>
      <c r="AW172" s="21">
        <f>EXP(-LN(2)/2)*AW171+(1-EXP(-LN(2)/2))/(LN(2)/2)*AQ172*AT172*VLOOKUP('Données projet'!$B$10,Paramètres!$A$1:$I$89,3,0)*0.475*44/12</f>
        <v>5.0592490161944492E-8</v>
      </c>
      <c r="AX172" s="21">
        <f t="shared" si="166"/>
        <v>25.489367980343836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322</v>
      </c>
      <c r="BE172" s="13">
        <f>BD172*VLOOKUP('Données projet'!$B$11,Paramètres!$A$1:$I$89,3,0)*VLOOKUP('Données projet'!$B$11,Paramètres!$A$1:$I$89,5,0)</f>
        <v>306.41519999999997</v>
      </c>
      <c r="BF172" s="13">
        <f t="shared" si="167"/>
        <v>72.519675217547672</v>
      </c>
      <c r="BG172" s="20">
        <f t="shared" si="168"/>
        <v>659.9782410038955</v>
      </c>
      <c r="BH172" s="59">
        <f t="shared" si="116"/>
        <v>953.31157433722888</v>
      </c>
      <c r="BI172" s="59">
        <f ca="1">AVERAGE(OFFSET($BH$3,0,0,'Données projet'!$E$11+1,1))-AVERAGE(OFFSET($H$3,0,0,'Données projet'!$E$11+1,1))</f>
        <v>339.00921630742886</v>
      </c>
      <c r="BJ172" s="59">
        <f t="shared" si="146"/>
        <v>314.95763895978303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9.6748085855057919</v>
      </c>
      <c r="BQ172" s="21">
        <f>EXP(-LN(2)/25)*BQ171+(1-EXP(-LN(2)/25))/(LN(2)/25)*Calculateur!BL172*Calculateur!BN172*VLOOKUP('Données projet'!$B$11,Paramètres!$A$1:$I$89,3,0)*0.475*44/12</f>
        <v>0.27330250886989094</v>
      </c>
      <c r="BR172" s="21">
        <f>EXP(-LN(2)/2)*BR171+(1-EXP(-LN(2)/2))/(LN(2)/2)*BL172*BO172*VLOOKUP('Données projet'!$B$11,Paramètres!$A$1:$I$89,3,0)*0.475*44/12</f>
        <v>3.0069597660907816E-13</v>
      </c>
      <c r="BS172" s="22">
        <f t="shared" si="169"/>
        <v>9.9481110943759834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296.99999999999983</v>
      </c>
      <c r="BZ172" s="13">
        <f>BY172*VLOOKUP('Données projet'!$B$12,Paramètres!$A$1:$I$89,3,0)*VLOOKUP('Données projet'!$B$12,Paramètres!$A$1:$I$89,5,0)</f>
        <v>254.82599999999988</v>
      </c>
      <c r="CA172" s="13">
        <f t="shared" si="170"/>
        <v>61.61820333959453</v>
      </c>
      <c r="CB172" s="20">
        <f t="shared" si="171"/>
        <v>551.1403208164603</v>
      </c>
      <c r="CC172" s="59">
        <f t="shared" si="119"/>
        <v>844.47365414979367</v>
      </c>
      <c r="CD172" s="59">
        <f ca="1">AVERAGE(OFFSET($CC$3,0,0,'Données projet'!$E$12+1,1))-AVERAGE(OFFSET($H$3,0,0,'Données projet'!$E$12+1,1))</f>
        <v>204.6927427024138</v>
      </c>
      <c r="CE172" s="59">
        <f t="shared" si="148"/>
        <v>115.74231133146816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13.528378056076638</v>
      </c>
      <c r="CL172" s="21">
        <f>EXP(-LN(2)/25)*CL171+(1-EXP(-LN(2)/25))/(LN(2)/25)*Calculateur!CG172*Calculateur!CI172*VLOOKUP('Données projet'!$B$12,Paramètres!$A$1:$I$89,3,0)*0.475*44/12</f>
        <v>0.43401256988247955</v>
      </c>
      <c r="CM172" s="21">
        <f>EXP(-LN(2)/2)*CM171+(1-EXP(-LN(2)/2))/(LN(2)/2)*CG172*CJ172*VLOOKUP('Données projet'!$B$12,Paramètres!$A$1:$I$89,3,0)*0.475*44/12</f>
        <v>4.6646942285539433E-11</v>
      </c>
      <c r="CN172" s="22">
        <f t="shared" si="172"/>
        <v>13.962390626005766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204.15575418077316</v>
      </c>
      <c r="CZ172" s="59">
        <f t="shared" si="150"/>
        <v>473.73726605265045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4.9951941583255151</v>
      </c>
      <c r="DG172" s="21">
        <f>EXP(-LN(2)/25)*DG171+(1-EXP(-LN(2)/25))/(LN(2)/25)*Calculateur!DB172*Calculateur!DD172*VLOOKUP('Données projet'!$B$13,Paramètres!$A$1:$I$89,3,0)*0.475*44/12</f>
        <v>0.97310764364052904</v>
      </c>
      <c r="DH172" s="21">
        <f>EXP(-LN(2)/2)*DH171+(1-EXP(-LN(2)/2))/(LN(2)/2)*DB172*DE172*VLOOKUP('Données projet'!$B$13,Paramètres!$A$1:$I$89,3,0)*0.475*44/12</f>
        <v>6.4520562148017366E-21</v>
      </c>
      <c r="DI172" s="22">
        <f t="shared" si="175"/>
        <v>5.9683018019660441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216.83230520434313</v>
      </c>
      <c r="T173" s="59">
        <f t="shared" si="142"/>
        <v>275.41891707278205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10.897841059362536</v>
      </c>
      <c r="AA173" s="21">
        <f>EXP(-LN(2)/25)*AA172+(1-EXP(-LN(2)/25))/(LN(2)/25)*Calculateur!V173*Calculateur!X173*VLOOKUP('Données projet'!$B$9,Paramètres!$A$1:$I$89,3,0)*0.475*44/12</f>
        <v>0.7891471238446347</v>
      </c>
      <c r="AB173" s="21">
        <f>EXP(-LN(2)/2)*AB172+(1-EXP(-LN(2)/2))/(LN(2)/2)*V173*Y173*VLOOKUP('Données projet'!$B$9,Paramètres!$A$1:$I$89,3,0)*0.475*44/12</f>
        <v>8.8037710682183519E-18</v>
      </c>
      <c r="AC173" s="22">
        <f t="shared" si="163"/>
        <v>11.68698818320717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268.00000000000011</v>
      </c>
      <c r="AJ173" s="13">
        <f>AI173*VLOOKUP('Données projet'!$B$10,Paramètres!$A$1:$I$89,3,0)*VLOOKUP('Données projet'!$B$10,Paramètres!$A$1:$I$89,5,0)</f>
        <v>271.75200000000012</v>
      </c>
      <c r="AK173" s="13">
        <f t="shared" si="164"/>
        <v>65.220947824724988</v>
      </c>
      <c r="AL173" s="20">
        <f t="shared" si="165"/>
        <v>586.89455079472953</v>
      </c>
      <c r="AM173" s="59">
        <f t="shared" si="113"/>
        <v>880.2278841280629</v>
      </c>
      <c r="AN173" s="59">
        <f ca="1">AVERAGE(OFFSET($AM$3,0,0,'Données projet'!$E$10+1,1))-AVERAGE(OFFSET($H$3,0,0,'Données projet'!$E$10+1,1))</f>
        <v>292.42154837691379</v>
      </c>
      <c r="AO173" s="59">
        <f t="shared" si="144"/>
        <v>193.18009444354601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24.291063083988089</v>
      </c>
      <c r="AV173" s="21">
        <f>EXP(-LN(2)/25)*AV172+(1-EXP(-LN(2)/25))/(LN(2)/25)*Calculateur!AQ173*Calculateur!AS173*VLOOKUP('Données projet'!$B$10,Paramètres!$A$1:$I$89,3,0)*0.475*44/12</f>
        <v>0.69296265749954611</v>
      </c>
      <c r="AW173" s="21">
        <f>EXP(-LN(2)/2)*AW172+(1-EXP(-LN(2)/2))/(LN(2)/2)*AQ173*AT173*VLOOKUP('Données projet'!$B$10,Paramètres!$A$1:$I$89,3,0)*0.475*44/12</f>
        <v>3.5774292870624642E-8</v>
      </c>
      <c r="AX173" s="21">
        <f t="shared" si="166"/>
        <v>24.984025777261927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322</v>
      </c>
      <c r="BE173" s="13">
        <f>BD173*VLOOKUP('Données projet'!$B$11,Paramètres!$A$1:$I$89,3,0)*VLOOKUP('Données projet'!$B$11,Paramètres!$A$1:$I$89,5,0)</f>
        <v>306.41519999999997</v>
      </c>
      <c r="BF173" s="13">
        <f t="shared" si="167"/>
        <v>72.519675217547672</v>
      </c>
      <c r="BG173" s="20">
        <f t="shared" si="168"/>
        <v>659.9782410038955</v>
      </c>
      <c r="BH173" s="59">
        <f t="shared" si="116"/>
        <v>953.31157433722888</v>
      </c>
      <c r="BI173" s="59">
        <f ca="1">AVERAGE(OFFSET($BH$3,0,0,'Données projet'!$E$11+1,1))-AVERAGE(OFFSET($H$3,0,0,'Données projet'!$E$11+1,1))</f>
        <v>339.00921630742886</v>
      </c>
      <c r="BJ173" s="59">
        <f t="shared" si="146"/>
        <v>314.95763895978303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9.4850914901945806</v>
      </c>
      <c r="BQ173" s="21">
        <f>EXP(-LN(2)/25)*BQ172+(1-EXP(-LN(2)/25))/(LN(2)/25)*Calculateur!BL173*Calculateur!BN173*VLOOKUP('Données projet'!$B$11,Paramètres!$A$1:$I$89,3,0)*0.475*44/12</f>
        <v>0.26582903739248948</v>
      </c>
      <c r="BR173" s="21">
        <f>EXP(-LN(2)/2)*BR172+(1-EXP(-LN(2)/2))/(LN(2)/2)*BL173*BO173*VLOOKUP('Données projet'!$B$11,Paramètres!$A$1:$I$89,3,0)*0.475*44/12</f>
        <v>2.1262416413579064E-13</v>
      </c>
      <c r="BS173" s="22">
        <f t="shared" si="169"/>
        <v>9.750920527587283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296.99999999999983</v>
      </c>
      <c r="BZ173" s="13">
        <f>BY173*VLOOKUP('Données projet'!$B$12,Paramètres!$A$1:$I$89,3,0)*VLOOKUP('Données projet'!$B$12,Paramètres!$A$1:$I$89,5,0)</f>
        <v>254.82599999999988</v>
      </c>
      <c r="CA173" s="13">
        <f t="shared" si="170"/>
        <v>61.61820333959453</v>
      </c>
      <c r="CB173" s="20">
        <f t="shared" si="171"/>
        <v>551.1403208164603</v>
      </c>
      <c r="CC173" s="59">
        <f t="shared" si="119"/>
        <v>844.47365414979367</v>
      </c>
      <c r="CD173" s="59">
        <f ca="1">AVERAGE(OFFSET($CC$3,0,0,'Données projet'!$E$12+1,1))-AVERAGE(OFFSET($H$3,0,0,'Données projet'!$E$12+1,1))</f>
        <v>204.6927427024138</v>
      </c>
      <c r="CE173" s="59">
        <f t="shared" si="148"/>
        <v>115.74231133146816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13.263094813892822</v>
      </c>
      <c r="CL173" s="21">
        <f>EXP(-LN(2)/25)*CL172+(1-EXP(-LN(2)/25))/(LN(2)/25)*Calculateur!CG173*Calculateur!CI173*VLOOKUP('Données projet'!$B$12,Paramètres!$A$1:$I$89,3,0)*0.475*44/12</f>
        <v>0.42214447333531402</v>
      </c>
      <c r="CM173" s="21">
        <f>EXP(-LN(2)/2)*CM172+(1-EXP(-LN(2)/2))/(LN(2)/2)*CG173*CJ173*VLOOKUP('Données projet'!$B$12,Paramètres!$A$1:$I$89,3,0)*0.475*44/12</f>
        <v>3.2984369211722442E-11</v>
      </c>
      <c r="CN173" s="22">
        <f t="shared" si="172"/>
        <v>13.685239287261121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204.15575418077316</v>
      </c>
      <c r="CZ173" s="59">
        <f t="shared" si="150"/>
        <v>473.73726605265045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4.8972414476483452</v>
      </c>
      <c r="DG173" s="21">
        <f>EXP(-LN(2)/25)*DG172+(1-EXP(-LN(2)/25))/(LN(2)/25)*Calculateur!DB173*Calculateur!DD173*VLOOKUP('Données projet'!$B$13,Paramètres!$A$1:$I$89,3,0)*0.475*44/12</f>
        <v>0.94649796395167185</v>
      </c>
      <c r="DH173" s="21">
        <f>EXP(-LN(2)/2)*DH172+(1-EXP(-LN(2)/2))/(LN(2)/2)*DB173*DE173*VLOOKUP('Données projet'!$B$13,Paramètres!$A$1:$I$89,3,0)*0.475*44/12</f>
        <v>4.5622927020831156E-21</v>
      </c>
      <c r="DI173" s="22">
        <f t="shared" si="175"/>
        <v>5.8437394116000174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216.83230520434313</v>
      </c>
      <c r="T174" s="59">
        <f t="shared" si="142"/>
        <v>275.41891707278205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10.684141043215144</v>
      </c>
      <c r="AA174" s="21">
        <f>EXP(-LN(2)/25)*AA173+(1-EXP(-LN(2)/25))/(LN(2)/25)*Calculateur!V174*Calculateur!X174*VLOOKUP('Données projet'!$B$9,Paramètres!$A$1:$I$89,3,0)*0.475*44/12</f>
        <v>0.76756785424365959</v>
      </c>
      <c r="AB174" s="21">
        <f>EXP(-LN(2)/2)*AB173+(1-EXP(-LN(2)/2))/(LN(2)/2)*V174*Y174*VLOOKUP('Données projet'!$B$9,Paramètres!$A$1:$I$89,3,0)*0.475*44/12</f>
        <v>6.2252062223511319E-18</v>
      </c>
      <c r="AC174" s="22">
        <f t="shared" si="163"/>
        <v>11.451708897458804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268.00000000000011</v>
      </c>
      <c r="AJ174" s="13">
        <f>AI174*VLOOKUP('Données projet'!$B$10,Paramètres!$A$1:$I$89,3,0)*VLOOKUP('Données projet'!$B$10,Paramètres!$A$1:$I$89,5,0)</f>
        <v>271.75200000000012</v>
      </c>
      <c r="AK174" s="13">
        <f t="shared" si="164"/>
        <v>65.220947824724988</v>
      </c>
      <c r="AL174" s="20">
        <f t="shared" si="165"/>
        <v>586.89455079472953</v>
      </c>
      <c r="AM174" s="59">
        <f t="shared" si="113"/>
        <v>880.2278841280629</v>
      </c>
      <c r="AN174" s="59">
        <f ca="1">AVERAGE(OFFSET($AM$3,0,0,'Données projet'!$E$10+1,1))-AVERAGE(OFFSET($H$3,0,0,'Données projet'!$E$10+1,1))</f>
        <v>292.42154837691379</v>
      </c>
      <c r="AO174" s="59">
        <f t="shared" si="144"/>
        <v>193.18009444354601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23.814730152996596</v>
      </c>
      <c r="AV174" s="21">
        <f>EXP(-LN(2)/25)*AV173+(1-EXP(-LN(2)/25))/(LN(2)/25)*Calculateur!AQ174*Calculateur!AS174*VLOOKUP('Données projet'!$B$10,Paramètres!$A$1:$I$89,3,0)*0.475*44/12</f>
        <v>0.67401355718889866</v>
      </c>
      <c r="AW174" s="21">
        <f>EXP(-LN(2)/2)*AW173+(1-EXP(-LN(2)/2))/(LN(2)/2)*AQ174*AT174*VLOOKUP('Données projet'!$B$10,Paramètres!$A$1:$I$89,3,0)*0.475*44/12</f>
        <v>2.5296245080972246E-8</v>
      </c>
      <c r="AX174" s="21">
        <f t="shared" si="166"/>
        <v>24.488743735481741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322</v>
      </c>
      <c r="BE174" s="13">
        <f>BD174*VLOOKUP('Données projet'!$B$11,Paramètres!$A$1:$I$89,3,0)*VLOOKUP('Données projet'!$B$11,Paramètres!$A$1:$I$89,5,0)</f>
        <v>306.41519999999997</v>
      </c>
      <c r="BF174" s="13">
        <f t="shared" si="167"/>
        <v>72.519675217547672</v>
      </c>
      <c r="BG174" s="20">
        <f t="shared" si="168"/>
        <v>659.9782410038955</v>
      </c>
      <c r="BH174" s="59">
        <f t="shared" si="116"/>
        <v>953.31157433722888</v>
      </c>
      <c r="BI174" s="59">
        <f ca="1">AVERAGE(OFFSET($BH$3,0,0,'Données projet'!$E$11+1,1))-AVERAGE(OFFSET($H$3,0,0,'Données projet'!$E$11+1,1))</f>
        <v>339.00921630742886</v>
      </c>
      <c r="BJ174" s="59">
        <f t="shared" si="146"/>
        <v>314.95763895978303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9.2990946314064189</v>
      </c>
      <c r="BQ174" s="21">
        <f>EXP(-LN(2)/25)*BQ173+(1-EXP(-LN(2)/25))/(LN(2)/25)*Calculateur!BL174*Calculateur!BN174*VLOOKUP('Données projet'!$B$11,Paramètres!$A$1:$I$89,3,0)*0.475*44/12</f>
        <v>0.25855992838565034</v>
      </c>
      <c r="BR174" s="21">
        <f>EXP(-LN(2)/2)*BR173+(1-EXP(-LN(2)/2))/(LN(2)/2)*BL174*BO174*VLOOKUP('Données projet'!$B$11,Paramètres!$A$1:$I$89,3,0)*0.475*44/12</f>
        <v>1.5034798830453908E-13</v>
      </c>
      <c r="BS174" s="22">
        <f t="shared" si="169"/>
        <v>9.5576545597922209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296.99999999999983</v>
      </c>
      <c r="BZ174" s="13">
        <f>BY174*VLOOKUP('Données projet'!$B$12,Paramètres!$A$1:$I$89,3,0)*VLOOKUP('Données projet'!$B$12,Paramètres!$A$1:$I$89,5,0)</f>
        <v>254.82599999999988</v>
      </c>
      <c r="CA174" s="13">
        <f t="shared" si="170"/>
        <v>61.61820333959453</v>
      </c>
      <c r="CB174" s="20">
        <f t="shared" si="171"/>
        <v>551.1403208164603</v>
      </c>
      <c r="CC174" s="59">
        <f t="shared" si="119"/>
        <v>844.47365414979367</v>
      </c>
      <c r="CD174" s="59">
        <f ca="1">AVERAGE(OFFSET($CC$3,0,0,'Données projet'!$E$12+1,1))-AVERAGE(OFFSET($H$3,0,0,'Données projet'!$E$12+1,1))</f>
        <v>204.6927427024138</v>
      </c>
      <c r="CE174" s="59">
        <f t="shared" si="148"/>
        <v>115.74231133146816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13.00301361428143</v>
      </c>
      <c r="CL174" s="21">
        <f>EXP(-LN(2)/25)*CL173+(1-EXP(-LN(2)/25))/(LN(2)/25)*Calculateur!CG174*Calculateur!CI174*VLOOKUP('Données projet'!$B$12,Paramètres!$A$1:$I$89,3,0)*0.475*44/12</f>
        <v>0.41060091051234682</v>
      </c>
      <c r="CM174" s="21">
        <f>EXP(-LN(2)/2)*CM173+(1-EXP(-LN(2)/2))/(LN(2)/2)*CG174*CJ174*VLOOKUP('Données projet'!$B$12,Paramètres!$A$1:$I$89,3,0)*0.475*44/12</f>
        <v>2.3323471142769716E-11</v>
      </c>
      <c r="CN174" s="22">
        <f t="shared" si="172"/>
        <v>13.413614524817101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204.15575418077316</v>
      </c>
      <c r="CZ174" s="59">
        <f t="shared" si="150"/>
        <v>473.73726605265045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4.8012095298822999</v>
      </c>
      <c r="DG174" s="21">
        <f>EXP(-LN(2)/25)*DG173+(1-EXP(-LN(2)/25))/(LN(2)/25)*Calculateur!DB174*Calculateur!DD174*VLOOKUP('Données projet'!$B$13,Paramètres!$A$1:$I$89,3,0)*0.475*44/12</f>
        <v>0.92061592735324871</v>
      </c>
      <c r="DH174" s="21">
        <f>EXP(-LN(2)/2)*DH173+(1-EXP(-LN(2)/2))/(LN(2)/2)*DB174*DE174*VLOOKUP('Données projet'!$B$13,Paramètres!$A$1:$I$89,3,0)*0.475*44/12</f>
        <v>3.2260281074008683E-21</v>
      </c>
      <c r="DI174" s="22">
        <f t="shared" si="175"/>
        <v>5.7218254572355489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216.83230520434313</v>
      </c>
      <c r="T175" s="59">
        <f t="shared" si="142"/>
        <v>275.41891707278205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10.474631554040263</v>
      </c>
      <c r="AA175" s="21">
        <f>EXP(-LN(2)/25)*AA174+(1-EXP(-LN(2)/25))/(LN(2)/25)*Calculateur!V175*Calculateur!X175*VLOOKUP('Données projet'!$B$9,Paramètres!$A$1:$I$89,3,0)*0.475*44/12</f>
        <v>0.74657867090472751</v>
      </c>
      <c r="AB175" s="21">
        <f>EXP(-LN(2)/2)*AB174+(1-EXP(-LN(2)/2))/(LN(2)/2)*V175*Y175*VLOOKUP('Données projet'!$B$9,Paramètres!$A$1:$I$89,3,0)*0.475*44/12</f>
        <v>4.4018855341091759E-18</v>
      </c>
      <c r="AC175" s="22">
        <f t="shared" si="163"/>
        <v>11.22121022494499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268.00000000000011</v>
      </c>
      <c r="AJ175" s="13">
        <f>AI175*VLOOKUP('Données projet'!$B$10,Paramètres!$A$1:$I$89,3,0)*VLOOKUP('Données projet'!$B$10,Paramètres!$A$1:$I$89,5,0)</f>
        <v>271.75200000000012</v>
      </c>
      <c r="AK175" s="13">
        <f t="shared" si="164"/>
        <v>65.220947824724988</v>
      </c>
      <c r="AL175" s="20">
        <f t="shared" si="165"/>
        <v>586.89455079472953</v>
      </c>
      <c r="AM175" s="59">
        <f t="shared" si="113"/>
        <v>880.2278841280629</v>
      </c>
      <c r="AN175" s="59">
        <f ca="1">AVERAGE(OFFSET($AM$3,0,0,'Données projet'!$E$10+1,1))-AVERAGE(OFFSET($H$3,0,0,'Données projet'!$E$10+1,1))</f>
        <v>292.42154837691379</v>
      </c>
      <c r="AO175" s="59">
        <f t="shared" si="144"/>
        <v>193.18009444354601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23.347737820247445</v>
      </c>
      <c r="AV175" s="21">
        <f>EXP(-LN(2)/25)*AV174+(1-EXP(-LN(2)/25))/(LN(2)/25)*Calculateur!AQ175*Calculateur!AS175*VLOOKUP('Données projet'!$B$10,Paramètres!$A$1:$I$89,3,0)*0.475*44/12</f>
        <v>0.65558262102273568</v>
      </c>
      <c r="AW175" s="21">
        <f>EXP(-LN(2)/2)*AW174+(1-EXP(-LN(2)/2))/(LN(2)/2)*AQ175*AT175*VLOOKUP('Données projet'!$B$10,Paramètres!$A$1:$I$89,3,0)*0.475*44/12</f>
        <v>1.7887146435312321E-8</v>
      </c>
      <c r="AX175" s="21">
        <f t="shared" si="166"/>
        <v>24.003320459157326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322</v>
      </c>
      <c r="BE175" s="13">
        <f>BD175*VLOOKUP('Données projet'!$B$11,Paramètres!$A$1:$I$89,3,0)*VLOOKUP('Données projet'!$B$11,Paramètres!$A$1:$I$89,5,0)</f>
        <v>306.41519999999997</v>
      </c>
      <c r="BF175" s="13">
        <f t="shared" si="167"/>
        <v>72.519675217547672</v>
      </c>
      <c r="BG175" s="20">
        <f t="shared" si="168"/>
        <v>659.9782410038955</v>
      </c>
      <c r="BH175" s="59">
        <f t="shared" si="116"/>
        <v>953.31157433722888</v>
      </c>
      <c r="BI175" s="59">
        <f ca="1">AVERAGE(OFFSET($BH$3,0,0,'Données projet'!$E$11+1,1))-AVERAGE(OFFSET($H$3,0,0,'Données projet'!$E$11+1,1))</f>
        <v>339.00921630742886</v>
      </c>
      <c r="BJ175" s="59">
        <f t="shared" si="146"/>
        <v>314.95763895978303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9.1167450575722118</v>
      </c>
      <c r="BQ175" s="21">
        <f>EXP(-LN(2)/25)*BQ174+(1-EXP(-LN(2)/25))/(LN(2)/25)*Calculateur!BL175*Calculateur!BN175*VLOOKUP('Données projet'!$B$11,Paramètres!$A$1:$I$89,3,0)*0.475*44/12</f>
        <v>0.25148959354686906</v>
      </c>
      <c r="BR175" s="21">
        <f>EXP(-LN(2)/2)*BR174+(1-EXP(-LN(2)/2))/(LN(2)/2)*BL175*BO175*VLOOKUP('Données projet'!$B$11,Paramètres!$A$1:$I$89,3,0)*0.475*44/12</f>
        <v>1.0631208206789532E-13</v>
      </c>
      <c r="BS175" s="22">
        <f t="shared" si="169"/>
        <v>9.3682346511191881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296.99999999999983</v>
      </c>
      <c r="BZ175" s="13">
        <f>BY175*VLOOKUP('Données projet'!$B$12,Paramètres!$A$1:$I$89,3,0)*VLOOKUP('Données projet'!$B$12,Paramètres!$A$1:$I$89,5,0)</f>
        <v>254.82599999999988</v>
      </c>
      <c r="CA175" s="13">
        <f t="shared" si="170"/>
        <v>61.61820333959453</v>
      </c>
      <c r="CB175" s="20">
        <f t="shared" si="171"/>
        <v>551.1403208164603</v>
      </c>
      <c r="CC175" s="59">
        <f t="shared" si="119"/>
        <v>844.47365414979367</v>
      </c>
      <c r="CD175" s="59">
        <f ca="1">AVERAGE(OFFSET($CC$3,0,0,'Données projet'!$E$12+1,1))-AVERAGE(OFFSET($H$3,0,0,'Données projet'!$E$12+1,1))</f>
        <v>204.6927427024138</v>
      </c>
      <c r="CE175" s="59">
        <f t="shared" si="148"/>
        <v>115.74231133146816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12.748032448360549</v>
      </c>
      <c r="CL175" s="21">
        <f>EXP(-LN(2)/25)*CL174+(1-EXP(-LN(2)/25))/(LN(2)/25)*Calculateur!CG175*Calculateur!CI175*VLOOKUP('Données projet'!$B$12,Paramètres!$A$1:$I$89,3,0)*0.475*44/12</f>
        <v>0.39937300702182327</v>
      </c>
      <c r="CM175" s="21">
        <f>EXP(-LN(2)/2)*CM174+(1-EXP(-LN(2)/2))/(LN(2)/2)*CG175*CJ175*VLOOKUP('Données projet'!$B$12,Paramètres!$A$1:$I$89,3,0)*0.475*44/12</f>
        <v>1.6492184605861221E-11</v>
      </c>
      <c r="CN175" s="22">
        <f t="shared" si="172"/>
        <v>13.147405455398864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204.15575418077316</v>
      </c>
      <c r="CZ175" s="59">
        <f t="shared" si="150"/>
        <v>473.73726605265045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4.7070607394499611</v>
      </c>
      <c r="DG175" s="21">
        <f>EXP(-LN(2)/25)*DG174+(1-EXP(-LN(2)/25))/(LN(2)/25)*Calculateur!DB175*Calculateur!DD175*VLOOKUP('Données projet'!$B$13,Paramètres!$A$1:$I$89,3,0)*0.475*44/12</f>
        <v>0.89544163640668661</v>
      </c>
      <c r="DH175" s="21">
        <f>EXP(-LN(2)/2)*DH174+(1-EXP(-LN(2)/2))/(LN(2)/2)*DB175*DE175*VLOOKUP('Données projet'!$B$13,Paramètres!$A$1:$I$89,3,0)*0.475*44/12</f>
        <v>2.2811463510415578E-21</v>
      </c>
      <c r="DI175" s="22">
        <f t="shared" si="175"/>
        <v>5.6025023758566475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216.83230520434313</v>
      </c>
      <c r="T176" s="59">
        <f t="shared" si="142"/>
        <v>275.41891707278205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10.26923041815993</v>
      </c>
      <c r="AA176" s="21">
        <f>EXP(-LN(2)/25)*AA175+(1-EXP(-LN(2)/25))/(LN(2)/25)*Calculateur!V176*Calculateur!X176*VLOOKUP('Données projet'!$B$9,Paramètres!$A$1:$I$89,3,0)*0.475*44/12</f>
        <v>0.72616343788797177</v>
      </c>
      <c r="AB176" s="21">
        <f>EXP(-LN(2)/2)*AB175+(1-EXP(-LN(2)/2))/(LN(2)/2)*V176*Y176*VLOOKUP('Données projet'!$B$9,Paramètres!$A$1:$I$89,3,0)*0.475*44/12</f>
        <v>3.112603111175566E-18</v>
      </c>
      <c r="AC176" s="22">
        <f t="shared" si="163"/>
        <v>10.995393856047901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268.00000000000011</v>
      </c>
      <c r="AJ176" s="13">
        <f>AI176*VLOOKUP('Données projet'!$B$10,Paramètres!$A$1:$I$89,3,0)*VLOOKUP('Données projet'!$B$10,Paramètres!$A$1:$I$89,5,0)</f>
        <v>271.75200000000012</v>
      </c>
      <c r="AK176" s="13">
        <f t="shared" si="164"/>
        <v>65.220947824724988</v>
      </c>
      <c r="AL176" s="20">
        <f t="shared" si="165"/>
        <v>586.89455079472953</v>
      </c>
      <c r="AM176" s="59">
        <f t="shared" si="113"/>
        <v>880.2278841280629</v>
      </c>
      <c r="AN176" s="59">
        <f ca="1">AVERAGE(OFFSET($AM$3,0,0,'Données projet'!$E$10+1,1))-AVERAGE(OFFSET($H$3,0,0,'Données projet'!$E$10+1,1))</f>
        <v>292.42154837691379</v>
      </c>
      <c r="AO176" s="59">
        <f t="shared" si="144"/>
        <v>193.18009444354601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22.889902922306309</v>
      </c>
      <c r="AV176" s="21">
        <f>EXP(-LN(2)/25)*AV175+(1-EXP(-LN(2)/25))/(LN(2)/25)*Calculateur!AQ176*Calculateur!AS176*VLOOKUP('Données projet'!$B$10,Paramètres!$A$1:$I$89,3,0)*0.475*44/12</f>
        <v>0.63765567977527726</v>
      </c>
      <c r="AW176" s="21">
        <f>EXP(-LN(2)/2)*AW175+(1-EXP(-LN(2)/2))/(LN(2)/2)*AQ176*AT176*VLOOKUP('Données projet'!$B$10,Paramètres!$A$1:$I$89,3,0)*0.475*44/12</f>
        <v>1.2648122540486123E-8</v>
      </c>
      <c r="AX176" s="21">
        <f t="shared" si="166"/>
        <v>23.52755861472971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322</v>
      </c>
      <c r="BE176" s="13">
        <f>BD176*VLOOKUP('Données projet'!$B$11,Paramètres!$A$1:$I$89,3,0)*VLOOKUP('Données projet'!$B$11,Paramètres!$A$1:$I$89,5,0)</f>
        <v>306.41519999999997</v>
      </c>
      <c r="BF176" s="13">
        <f t="shared" si="167"/>
        <v>72.519675217547672</v>
      </c>
      <c r="BG176" s="20">
        <f t="shared" si="168"/>
        <v>659.9782410038955</v>
      </c>
      <c r="BH176" s="59">
        <f t="shared" si="116"/>
        <v>953.31157433722888</v>
      </c>
      <c r="BI176" s="59">
        <f ca="1">AVERAGE(OFFSET($BH$3,0,0,'Données projet'!$E$11+1,1))-AVERAGE(OFFSET($H$3,0,0,'Données projet'!$E$11+1,1))</f>
        <v>339.00921630742886</v>
      </c>
      <c r="BJ176" s="59">
        <f t="shared" si="146"/>
        <v>314.95763895978303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8.9379712476586359</v>
      </c>
      <c r="BQ176" s="21">
        <f>EXP(-LN(2)/25)*BQ175+(1-EXP(-LN(2)/25))/(LN(2)/25)*Calculateur!BL176*Calculateur!BN176*VLOOKUP('Données projet'!$B$11,Paramètres!$A$1:$I$89,3,0)*0.475*44/12</f>
        <v>0.244612597386067</v>
      </c>
      <c r="BR176" s="21">
        <f>EXP(-LN(2)/2)*BR175+(1-EXP(-LN(2)/2))/(LN(2)/2)*BL176*BO176*VLOOKUP('Données projet'!$B$11,Paramètres!$A$1:$I$89,3,0)*0.475*44/12</f>
        <v>7.5173994152269539E-14</v>
      </c>
      <c r="BS176" s="22">
        <f t="shared" si="169"/>
        <v>9.1825838450447783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296.99999999999983</v>
      </c>
      <c r="BZ176" s="13">
        <f>BY176*VLOOKUP('Données projet'!$B$12,Paramètres!$A$1:$I$89,3,0)*VLOOKUP('Données projet'!$B$12,Paramètres!$A$1:$I$89,5,0)</f>
        <v>254.82599999999988</v>
      </c>
      <c r="CA176" s="13">
        <f t="shared" si="170"/>
        <v>61.61820333959453</v>
      </c>
      <c r="CB176" s="20">
        <f t="shared" si="171"/>
        <v>551.1403208164603</v>
      </c>
      <c r="CC176" s="59">
        <f t="shared" si="119"/>
        <v>844.47365414979367</v>
      </c>
      <c r="CD176" s="59">
        <f ca="1">AVERAGE(OFFSET($CC$3,0,0,'Données projet'!$E$12+1,1))-AVERAGE(OFFSET($H$3,0,0,'Données projet'!$E$12+1,1))</f>
        <v>204.6927427024138</v>
      </c>
      <c r="CE176" s="59">
        <f t="shared" si="148"/>
        <v>115.74231133146816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12.498051307580223</v>
      </c>
      <c r="CL176" s="21">
        <f>EXP(-LN(2)/25)*CL175+(1-EXP(-LN(2)/25))/(LN(2)/25)*Calculateur!CG176*Calculateur!CI176*VLOOKUP('Données projet'!$B$12,Paramètres!$A$1:$I$89,3,0)*0.475*44/12</f>
        <v>0.38845213114269783</v>
      </c>
      <c r="CM176" s="21">
        <f>EXP(-LN(2)/2)*CM175+(1-EXP(-LN(2)/2))/(LN(2)/2)*CG176*CJ176*VLOOKUP('Données projet'!$B$12,Paramètres!$A$1:$I$89,3,0)*0.475*44/12</f>
        <v>1.1661735571384858E-11</v>
      </c>
      <c r="CN176" s="22">
        <f t="shared" si="172"/>
        <v>12.886503438734582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204.15575418077316</v>
      </c>
      <c r="CZ176" s="59">
        <f t="shared" si="150"/>
        <v>473.73726605265045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4.614758149372908</v>
      </c>
      <c r="DG176" s="21">
        <f>EXP(-LN(2)/25)*DG175+(1-EXP(-LN(2)/25))/(LN(2)/25)*Calculateur!DB176*Calculateur!DD176*VLOOKUP('Données projet'!$B$13,Paramètres!$A$1:$I$89,3,0)*0.475*44/12</f>
        <v>0.87095573776991664</v>
      </c>
      <c r="DH176" s="21">
        <f>EXP(-LN(2)/2)*DH175+(1-EXP(-LN(2)/2))/(LN(2)/2)*DB176*DE176*VLOOKUP('Données projet'!$B$13,Paramètres!$A$1:$I$89,3,0)*0.475*44/12</f>
        <v>1.6130140537004342E-21</v>
      </c>
      <c r="DI176" s="22">
        <f t="shared" si="175"/>
        <v>5.4857138871428246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216.83230520434313</v>
      </c>
      <c r="T177" s="59">
        <f t="shared" si="142"/>
        <v>275.41891707278205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10.067857073271888</v>
      </c>
      <c r="AA177" s="21">
        <f>EXP(-LN(2)/25)*AA176+(1-EXP(-LN(2)/25))/(LN(2)/25)*Calculateur!V177*Calculateur!X177*VLOOKUP('Données projet'!$B$9,Paramètres!$A$1:$I$89,3,0)*0.475*44/12</f>
        <v>0.70630646049164969</v>
      </c>
      <c r="AB177" s="21">
        <f>EXP(-LN(2)/2)*AB176+(1-EXP(-LN(2)/2))/(LN(2)/2)*V177*Y177*VLOOKUP('Données projet'!$B$9,Paramètres!$A$1:$I$89,3,0)*0.475*44/12</f>
        <v>2.200942767054588E-18</v>
      </c>
      <c r="AC177" s="22">
        <f t="shared" si="163"/>
        <v>10.774163533763538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268.00000000000011</v>
      </c>
      <c r="AJ177" s="13">
        <f>AI177*VLOOKUP('Données projet'!$B$10,Paramètres!$A$1:$I$89,3,0)*VLOOKUP('Données projet'!$B$10,Paramètres!$A$1:$I$89,5,0)</f>
        <v>271.75200000000012</v>
      </c>
      <c r="AK177" s="13">
        <f t="shared" si="164"/>
        <v>65.220947824724988</v>
      </c>
      <c r="AL177" s="20">
        <f t="shared" si="165"/>
        <v>586.89455079472953</v>
      </c>
      <c r="AM177" s="59">
        <f t="shared" si="113"/>
        <v>880.2278841280629</v>
      </c>
      <c r="AN177" s="59">
        <f ca="1">AVERAGE(OFFSET($AM$3,0,0,'Données projet'!$E$10+1,1))-AVERAGE(OFFSET($H$3,0,0,'Données projet'!$E$10+1,1))</f>
        <v>292.42154837691379</v>
      </c>
      <c r="AO177" s="59">
        <f t="shared" si="144"/>
        <v>193.18009444354601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22.441045887462085</v>
      </c>
      <c r="AV177" s="21">
        <f>EXP(-LN(2)/25)*AV176+(1-EXP(-LN(2)/25))/(LN(2)/25)*Calculateur!AQ177*Calculateur!AS177*VLOOKUP('Données projet'!$B$10,Paramètres!$A$1:$I$89,3,0)*0.475*44/12</f>
        <v>0.62021895167896746</v>
      </c>
      <c r="AW177" s="21">
        <f>EXP(-LN(2)/2)*AW176+(1-EXP(-LN(2)/2))/(LN(2)/2)*AQ177*AT177*VLOOKUP('Données projet'!$B$10,Paramètres!$A$1:$I$89,3,0)*0.475*44/12</f>
        <v>8.9435732176561604E-9</v>
      </c>
      <c r="AX177" s="21">
        <f t="shared" si="166"/>
        <v>23.061264848084626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322</v>
      </c>
      <c r="BE177" s="13">
        <f>BD177*VLOOKUP('Données projet'!$B$11,Paramètres!$A$1:$I$89,3,0)*VLOOKUP('Données projet'!$B$11,Paramètres!$A$1:$I$89,5,0)</f>
        <v>306.41519999999997</v>
      </c>
      <c r="BF177" s="13">
        <f t="shared" si="167"/>
        <v>72.519675217547672</v>
      </c>
      <c r="BG177" s="20">
        <f t="shared" si="168"/>
        <v>659.9782410038955</v>
      </c>
      <c r="BH177" s="59">
        <f t="shared" si="116"/>
        <v>953.31157433722888</v>
      </c>
      <c r="BI177" s="59">
        <f ca="1">AVERAGE(OFFSET($BH$3,0,0,'Données projet'!$E$11+1,1))-AVERAGE(OFFSET($H$3,0,0,'Données projet'!$E$11+1,1))</f>
        <v>339.00921630742886</v>
      </c>
      <c r="BJ177" s="59">
        <f t="shared" si="146"/>
        <v>314.95763895978303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8.7627030831162074</v>
      </c>
      <c r="BQ177" s="21">
        <f>EXP(-LN(2)/25)*BQ176+(1-EXP(-LN(2)/25))/(LN(2)/25)*Calculateur!BL177*Calculateur!BN177*VLOOKUP('Données projet'!$B$11,Paramètres!$A$1:$I$89,3,0)*0.475*44/12</f>
        <v>0.23792365304692756</v>
      </c>
      <c r="BR177" s="21">
        <f>EXP(-LN(2)/2)*BR176+(1-EXP(-LN(2)/2))/(LN(2)/2)*BL177*BO177*VLOOKUP('Données projet'!$B$11,Paramètres!$A$1:$I$89,3,0)*0.475*44/12</f>
        <v>5.3156041033947661E-14</v>
      </c>
      <c r="BS177" s="22">
        <f t="shared" si="169"/>
        <v>9.0006267361631878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296.99999999999983</v>
      </c>
      <c r="BZ177" s="13">
        <f>BY177*VLOOKUP('Données projet'!$B$12,Paramètres!$A$1:$I$89,3,0)*VLOOKUP('Données projet'!$B$12,Paramètres!$A$1:$I$89,5,0)</f>
        <v>254.82599999999988</v>
      </c>
      <c r="CA177" s="13">
        <f t="shared" si="170"/>
        <v>61.61820333959453</v>
      </c>
      <c r="CB177" s="20">
        <f t="shared" si="171"/>
        <v>551.1403208164603</v>
      </c>
      <c r="CC177" s="59">
        <f t="shared" si="119"/>
        <v>844.47365414979367</v>
      </c>
      <c r="CD177" s="59">
        <f ca="1">AVERAGE(OFFSET($CC$3,0,0,'Données projet'!$E$12+1,1))-AVERAGE(OFFSET($H$3,0,0,'Données projet'!$E$12+1,1))</f>
        <v>204.6927427024138</v>
      </c>
      <c r="CE177" s="59">
        <f t="shared" si="148"/>
        <v>115.74231133146816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12.252972144497157</v>
      </c>
      <c r="CL177" s="21">
        <f>EXP(-LN(2)/25)*CL176+(1-EXP(-LN(2)/25))/(LN(2)/25)*Calculateur!CG177*Calculateur!CI177*VLOOKUP('Données projet'!$B$12,Paramètres!$A$1:$I$89,3,0)*0.475*44/12</f>
        <v>0.37782988718879101</v>
      </c>
      <c r="CM177" s="21">
        <f>EXP(-LN(2)/2)*CM176+(1-EXP(-LN(2)/2))/(LN(2)/2)*CG177*CJ177*VLOOKUP('Données projet'!$B$12,Paramètres!$A$1:$I$89,3,0)*0.475*44/12</f>
        <v>8.2460923029306106E-12</v>
      </c>
      <c r="CN177" s="22">
        <f t="shared" si="172"/>
        <v>12.630802031694193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204.15575418077316</v>
      </c>
      <c r="CZ177" s="59">
        <f t="shared" si="150"/>
        <v>473.73726605265045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4.5242655567882455</v>
      </c>
      <c r="DG177" s="21">
        <f>EXP(-LN(2)/25)*DG176+(1-EXP(-LN(2)/25))/(LN(2)/25)*Calculateur!DB177*Calculateur!DD177*VLOOKUP('Données projet'!$B$13,Paramètres!$A$1:$I$89,3,0)*0.475*44/12</f>
        <v>0.84713940731902659</v>
      </c>
      <c r="DH177" s="21">
        <f>EXP(-LN(2)/2)*DH176+(1-EXP(-LN(2)/2))/(LN(2)/2)*DB177*DE177*VLOOKUP('Données projet'!$B$13,Paramètres!$A$1:$I$89,3,0)*0.475*44/12</f>
        <v>1.1405731755207789E-21</v>
      </c>
      <c r="DI177" s="22">
        <f t="shared" si="175"/>
        <v>5.3714049641072723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216.83230520434313</v>
      </c>
      <c r="T178" s="59">
        <f t="shared" si="142"/>
        <v>275.41891707278205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9.8704325368514887</v>
      </c>
      <c r="AA178" s="21">
        <f>EXP(-LN(2)/25)*AA177+(1-EXP(-LN(2)/25))/(LN(2)/25)*Calculateur!V178*Calculateur!X178*VLOOKUP('Données projet'!$B$9,Paramètres!$A$1:$I$89,3,0)*0.475*44/12</f>
        <v>0.68699247318646306</v>
      </c>
      <c r="AB178" s="21">
        <f>EXP(-LN(2)/2)*AB177+(1-EXP(-LN(2)/2))/(LN(2)/2)*V178*Y178*VLOOKUP('Données projet'!$B$9,Paramètres!$A$1:$I$89,3,0)*0.475*44/12</f>
        <v>1.556301555587783E-18</v>
      </c>
      <c r="AC178" s="22">
        <f t="shared" si="163"/>
        <v>10.557425010037951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268.00000000000011</v>
      </c>
      <c r="AJ178" s="13">
        <f>AI178*VLOOKUP('Données projet'!$B$10,Paramètres!$A$1:$I$89,3,0)*VLOOKUP('Données projet'!$B$10,Paramètres!$A$1:$I$89,5,0)</f>
        <v>271.75200000000012</v>
      </c>
      <c r="AK178" s="13">
        <f t="shared" si="164"/>
        <v>65.220947824724988</v>
      </c>
      <c r="AL178" s="20">
        <f t="shared" si="165"/>
        <v>586.89455079472953</v>
      </c>
      <c r="AM178" s="59">
        <f t="shared" si="113"/>
        <v>880.2278841280629</v>
      </c>
      <c r="AN178" s="59">
        <f ca="1">AVERAGE(OFFSET($AM$3,0,0,'Données projet'!$E$10+1,1))-AVERAGE(OFFSET($H$3,0,0,'Données projet'!$E$10+1,1))</f>
        <v>292.42154837691379</v>
      </c>
      <c r="AO178" s="59">
        <f t="shared" si="144"/>
        <v>193.18009444354601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22.000990665295397</v>
      </c>
      <c r="AV178" s="21">
        <f>EXP(-LN(2)/25)*AV177+(1-EXP(-LN(2)/25))/(LN(2)/25)*Calculateur!AQ178*Calculateur!AS178*VLOOKUP('Données projet'!$B$10,Paramètres!$A$1:$I$89,3,0)*0.475*44/12</f>
        <v>0.60325903182940899</v>
      </c>
      <c r="AW178" s="21">
        <f>EXP(-LN(2)/2)*AW177+(1-EXP(-LN(2)/2))/(LN(2)/2)*AQ178*AT178*VLOOKUP('Données projet'!$B$10,Paramètres!$A$1:$I$89,3,0)*0.475*44/12</f>
        <v>6.3240612702430615E-9</v>
      </c>
      <c r="AX178" s="21">
        <f t="shared" si="166"/>
        <v>22.604249703448868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322</v>
      </c>
      <c r="BE178" s="13">
        <f>BD178*VLOOKUP('Données projet'!$B$11,Paramètres!$A$1:$I$89,3,0)*VLOOKUP('Données projet'!$B$11,Paramètres!$A$1:$I$89,5,0)</f>
        <v>306.41519999999997</v>
      </c>
      <c r="BF178" s="13">
        <f t="shared" si="167"/>
        <v>72.519675217547672</v>
      </c>
      <c r="BG178" s="20">
        <f t="shared" si="168"/>
        <v>659.9782410038955</v>
      </c>
      <c r="BH178" s="59">
        <f t="shared" si="116"/>
        <v>953.31157433722888</v>
      </c>
      <c r="BI178" s="59">
        <f ca="1">AVERAGE(OFFSET($BH$3,0,0,'Données projet'!$E$11+1,1))-AVERAGE(OFFSET($H$3,0,0,'Données projet'!$E$11+1,1))</f>
        <v>339.00921630742886</v>
      </c>
      <c r="BJ178" s="59">
        <f t="shared" si="146"/>
        <v>314.95763895978303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8.5908718203774317</v>
      </c>
      <c r="BQ178" s="21">
        <f>EXP(-LN(2)/25)*BQ177+(1-EXP(-LN(2)/25))/(LN(2)/25)*Calculateur!BL178*Calculateur!BN178*VLOOKUP('Données projet'!$B$11,Paramètres!$A$1:$I$89,3,0)*0.475*44/12</f>
        <v>0.23141761824249818</v>
      </c>
      <c r="BR178" s="21">
        <f>EXP(-LN(2)/2)*BR177+(1-EXP(-LN(2)/2))/(LN(2)/2)*BL178*BO178*VLOOKUP('Données projet'!$B$11,Paramètres!$A$1:$I$89,3,0)*0.475*44/12</f>
        <v>3.7586997076134769E-14</v>
      </c>
      <c r="BS178" s="22">
        <f t="shared" si="169"/>
        <v>8.8222894386199666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296.99999999999983</v>
      </c>
      <c r="BZ178" s="13">
        <f>BY178*VLOOKUP('Données projet'!$B$12,Paramètres!$A$1:$I$89,3,0)*VLOOKUP('Données projet'!$B$12,Paramètres!$A$1:$I$89,5,0)</f>
        <v>254.82599999999988</v>
      </c>
      <c r="CA178" s="13">
        <f t="shared" si="170"/>
        <v>61.61820333959453</v>
      </c>
      <c r="CB178" s="20">
        <f t="shared" si="171"/>
        <v>551.1403208164603</v>
      </c>
      <c r="CC178" s="59">
        <f t="shared" si="119"/>
        <v>844.47365414979367</v>
      </c>
      <c r="CD178" s="59">
        <f ca="1">AVERAGE(OFFSET($CC$3,0,0,'Données projet'!$E$12+1,1))-AVERAGE(OFFSET($H$3,0,0,'Données projet'!$E$12+1,1))</f>
        <v>204.6927427024138</v>
      </c>
      <c r="CE178" s="59">
        <f t="shared" si="148"/>
        <v>115.74231133146816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12.012698834318622</v>
      </c>
      <c r="CL178" s="21">
        <f>EXP(-LN(2)/25)*CL177+(1-EXP(-LN(2)/25))/(LN(2)/25)*Calculateur!CG178*Calculateur!CI178*VLOOKUP('Données projet'!$B$12,Paramètres!$A$1:$I$89,3,0)*0.475*44/12</f>
        <v>0.36749810905440328</v>
      </c>
      <c r="CM178" s="21">
        <f>EXP(-LN(2)/2)*CM177+(1-EXP(-LN(2)/2))/(LN(2)/2)*CG178*CJ178*VLOOKUP('Données projet'!$B$12,Paramètres!$A$1:$I$89,3,0)*0.475*44/12</f>
        <v>5.8308677856924291E-12</v>
      </c>
      <c r="CN178" s="22">
        <f t="shared" si="172"/>
        <v>12.380196943378856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204.15575418077316</v>
      </c>
      <c r="CZ178" s="59">
        <f t="shared" si="150"/>
        <v>473.73726605265045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4.435547468749137</v>
      </c>
      <c r="DG178" s="21">
        <f>EXP(-LN(2)/25)*DG177+(1-EXP(-LN(2)/25))/(LN(2)/25)*Calculateur!DB178*Calculateur!DD178*VLOOKUP('Données projet'!$B$13,Paramètres!$A$1:$I$89,3,0)*0.475*44/12</f>
        <v>0.82397433567676259</v>
      </c>
      <c r="DH178" s="21">
        <f>EXP(-LN(2)/2)*DH177+(1-EXP(-LN(2)/2))/(LN(2)/2)*DB178*DE178*VLOOKUP('Données projet'!$B$13,Paramètres!$A$1:$I$89,3,0)*0.475*44/12</f>
        <v>8.0650702685021708E-22</v>
      </c>
      <c r="DI178" s="22">
        <f t="shared" si="175"/>
        <v>5.2595218044258996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216.83230520434313</v>
      </c>
      <c r="T179" s="59">
        <f t="shared" si="142"/>
        <v>275.41891707278205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9.6768793751732165</v>
      </c>
      <c r="AA179" s="21">
        <f>EXP(-LN(2)/25)*AA178+(1-EXP(-LN(2)/25))/(LN(2)/25)*Calculateur!V179*Calculateur!X179*VLOOKUP('Données projet'!$B$9,Paramètres!$A$1:$I$89,3,0)*0.475*44/12</f>
        <v>0.66820662787981522</v>
      </c>
      <c r="AB179" s="21">
        <f>EXP(-LN(2)/2)*AB178+(1-EXP(-LN(2)/2))/(LN(2)/2)*V179*Y179*VLOOKUP('Données projet'!$B$9,Paramètres!$A$1:$I$89,3,0)*0.475*44/12</f>
        <v>1.100471383527294E-18</v>
      </c>
      <c r="AC179" s="22">
        <f t="shared" si="163"/>
        <v>10.345086003053032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268.00000000000011</v>
      </c>
      <c r="AJ179" s="13">
        <f>AI179*VLOOKUP('Données projet'!$B$10,Paramètres!$A$1:$I$89,3,0)*VLOOKUP('Données projet'!$B$10,Paramètres!$A$1:$I$89,5,0)</f>
        <v>271.75200000000012</v>
      </c>
      <c r="AK179" s="13">
        <f t="shared" si="164"/>
        <v>65.220947824724988</v>
      </c>
      <c r="AL179" s="20">
        <f t="shared" si="165"/>
        <v>586.89455079472953</v>
      </c>
      <c r="AM179" s="59">
        <f t="shared" si="113"/>
        <v>880.2278841280629</v>
      </c>
      <c r="AN179" s="59">
        <f ca="1">AVERAGE(OFFSET($AM$3,0,0,'Données projet'!$E$10+1,1))-AVERAGE(OFFSET($H$3,0,0,'Données projet'!$E$10+1,1))</f>
        <v>292.42154837691379</v>
      </c>
      <c r="AO179" s="59">
        <f t="shared" si="144"/>
        <v>193.18009444354601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21.569564657628217</v>
      </c>
      <c r="AV179" s="21">
        <f>EXP(-LN(2)/25)*AV178+(1-EXP(-LN(2)/25))/(LN(2)/25)*Calculateur!AQ179*Calculateur!AS179*VLOOKUP('Données projet'!$B$10,Paramètres!$A$1:$I$89,3,0)*0.475*44/12</f>
        <v>0.58676288188002013</v>
      </c>
      <c r="AW179" s="21">
        <f>EXP(-LN(2)/2)*AW178+(1-EXP(-LN(2)/2))/(LN(2)/2)*AQ179*AT179*VLOOKUP('Données projet'!$B$10,Paramètres!$A$1:$I$89,3,0)*0.475*44/12</f>
        <v>4.4717866088280802E-9</v>
      </c>
      <c r="AX179" s="21">
        <f t="shared" si="166"/>
        <v>22.156327543980023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322</v>
      </c>
      <c r="BE179" s="13">
        <f>BD179*VLOOKUP('Données projet'!$B$11,Paramètres!$A$1:$I$89,3,0)*VLOOKUP('Données projet'!$B$11,Paramètres!$A$1:$I$89,5,0)</f>
        <v>306.41519999999997</v>
      </c>
      <c r="BF179" s="13">
        <f t="shared" si="167"/>
        <v>72.519675217547672</v>
      </c>
      <c r="BG179" s="20">
        <f t="shared" si="168"/>
        <v>659.9782410038955</v>
      </c>
      <c r="BH179" s="59">
        <f t="shared" si="116"/>
        <v>953.31157433722888</v>
      </c>
      <c r="BI179" s="59">
        <f ca="1">AVERAGE(OFFSET($BH$3,0,0,'Données projet'!$E$11+1,1))-AVERAGE(OFFSET($H$3,0,0,'Données projet'!$E$11+1,1))</f>
        <v>339.00921630742886</v>
      </c>
      <c r="BJ179" s="59">
        <f t="shared" si="146"/>
        <v>314.95763895978303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8.4224100638942421</v>
      </c>
      <c r="BQ179" s="21">
        <f>EXP(-LN(2)/25)*BQ178+(1-EXP(-LN(2)/25))/(LN(2)/25)*Calculateur!BL179*Calculateur!BN179*VLOOKUP('Données projet'!$B$11,Paramètres!$A$1:$I$89,3,0)*0.475*44/12</f>
        <v>0.22508949130193343</v>
      </c>
      <c r="BR179" s="21">
        <f>EXP(-LN(2)/2)*BR178+(1-EXP(-LN(2)/2))/(LN(2)/2)*BL179*BO179*VLOOKUP('Données projet'!$B$11,Paramètres!$A$1:$I$89,3,0)*0.475*44/12</f>
        <v>2.657802051697383E-14</v>
      </c>
      <c r="BS179" s="22">
        <f t="shared" si="169"/>
        <v>8.6474995551962017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296.99999999999983</v>
      </c>
      <c r="BZ179" s="13">
        <f>BY179*VLOOKUP('Données projet'!$B$12,Paramètres!$A$1:$I$89,3,0)*VLOOKUP('Données projet'!$B$12,Paramètres!$A$1:$I$89,5,0)</f>
        <v>254.82599999999988</v>
      </c>
      <c r="CA179" s="13">
        <f t="shared" si="170"/>
        <v>61.61820333959453</v>
      </c>
      <c r="CB179" s="20">
        <f t="shared" si="171"/>
        <v>551.1403208164603</v>
      </c>
      <c r="CC179" s="59">
        <f t="shared" si="119"/>
        <v>844.47365414979367</v>
      </c>
      <c r="CD179" s="59">
        <f ca="1">AVERAGE(OFFSET($CC$3,0,0,'Données projet'!$E$12+1,1))-AVERAGE(OFFSET($H$3,0,0,'Données projet'!$E$12+1,1))</f>
        <v>204.6927427024138</v>
      </c>
      <c r="CE179" s="59">
        <f t="shared" si="148"/>
        <v>115.74231133146816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11.777137137200439</v>
      </c>
      <c r="CL179" s="21">
        <f>EXP(-LN(2)/25)*CL178+(1-EXP(-LN(2)/25))/(LN(2)/25)*Calculateur!CG179*Calculateur!CI179*VLOOKUP('Données projet'!$B$12,Paramètres!$A$1:$I$89,3,0)*0.475*44/12</f>
        <v>0.357448853936425</v>
      </c>
      <c r="CM179" s="21">
        <f>EXP(-LN(2)/2)*CM178+(1-EXP(-LN(2)/2))/(LN(2)/2)*CG179*CJ179*VLOOKUP('Données projet'!$B$12,Paramètres!$A$1:$I$89,3,0)*0.475*44/12</f>
        <v>4.1230461514653053E-12</v>
      </c>
      <c r="CN179" s="22">
        <f t="shared" si="172"/>
        <v>12.134585991140987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204.15575418077316</v>
      </c>
      <c r="CZ179" s="59">
        <f t="shared" si="150"/>
        <v>473.73726605265045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4.3485690883037842</v>
      </c>
      <c r="DG179" s="21">
        <f>EXP(-LN(2)/25)*DG178+(1-EXP(-LN(2)/25))/(LN(2)/25)*Calculateur!DB179*Calculateur!DD179*VLOOKUP('Données projet'!$B$13,Paramètres!$A$1:$I$89,3,0)*0.475*44/12</f>
        <v>0.80144271413675439</v>
      </c>
      <c r="DH179" s="21">
        <f>EXP(-LN(2)/2)*DH178+(1-EXP(-LN(2)/2))/(LN(2)/2)*DB179*DE179*VLOOKUP('Données projet'!$B$13,Paramètres!$A$1:$I$89,3,0)*0.475*44/12</f>
        <v>5.7028658776038945E-22</v>
      </c>
      <c r="DI179" s="22">
        <f t="shared" si="175"/>
        <v>5.1500118024405381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216.83230520434313</v>
      </c>
      <c r="T180" s="59">
        <f t="shared" si="142"/>
        <v>275.41891707278205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9.4871216729396828</v>
      </c>
      <c r="AA180" s="21">
        <f>EXP(-LN(2)/25)*AA179+(1-EXP(-LN(2)/25))/(LN(2)/25)*Calculateur!V180*Calculateur!X180*VLOOKUP('Données projet'!$B$9,Paramètres!$A$1:$I$89,3,0)*0.475*44/12</f>
        <v>0.64993448250098229</v>
      </c>
      <c r="AB180" s="21">
        <f>EXP(-LN(2)/2)*AB179+(1-EXP(-LN(2)/2))/(LN(2)/2)*V180*Y180*VLOOKUP('Données projet'!$B$9,Paramètres!$A$1:$I$89,3,0)*0.475*44/12</f>
        <v>7.7815077779389149E-19</v>
      </c>
      <c r="AC180" s="22">
        <f t="shared" si="163"/>
        <v>10.137056155440664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268.00000000000011</v>
      </c>
      <c r="AJ180" s="13">
        <f>AI180*VLOOKUP('Données projet'!$B$10,Paramètres!$A$1:$I$89,3,0)*VLOOKUP('Données projet'!$B$10,Paramètres!$A$1:$I$89,5,0)</f>
        <v>271.75200000000012</v>
      </c>
      <c r="AK180" s="13">
        <f t="shared" si="164"/>
        <v>65.220947824724988</v>
      </c>
      <c r="AL180" s="20">
        <f t="shared" si="165"/>
        <v>586.89455079472953</v>
      </c>
      <c r="AM180" s="59">
        <f t="shared" si="113"/>
        <v>880.2278841280629</v>
      </c>
      <c r="AN180" s="59">
        <f ca="1">AVERAGE(OFFSET($AM$3,0,0,'Données projet'!$E$10+1,1))-AVERAGE(OFFSET($H$3,0,0,'Données projet'!$E$10+1,1))</f>
        <v>292.42154837691379</v>
      </c>
      <c r="AO180" s="59">
        <f t="shared" si="144"/>
        <v>193.18009444354601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21.146598650827507</v>
      </c>
      <c r="AV180" s="21">
        <f>EXP(-LN(2)/25)*AV179+(1-EXP(-LN(2)/25))/(LN(2)/25)*Calculateur!AQ180*Calculateur!AS180*VLOOKUP('Données projet'!$B$10,Paramètres!$A$1:$I$89,3,0)*0.475*44/12</f>
        <v>0.57071782001849203</v>
      </c>
      <c r="AW180" s="21">
        <f>EXP(-LN(2)/2)*AW179+(1-EXP(-LN(2)/2))/(LN(2)/2)*AQ180*AT180*VLOOKUP('Données projet'!$B$10,Paramètres!$A$1:$I$89,3,0)*0.475*44/12</f>
        <v>3.1620306351215307E-9</v>
      </c>
      <c r="AX180" s="21">
        <f t="shared" si="166"/>
        <v>21.717316474008026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322</v>
      </c>
      <c r="BE180" s="13">
        <f>BD180*VLOOKUP('Données projet'!$B$11,Paramètres!$A$1:$I$89,3,0)*VLOOKUP('Données projet'!$B$11,Paramètres!$A$1:$I$89,5,0)</f>
        <v>306.41519999999997</v>
      </c>
      <c r="BF180" s="13">
        <f t="shared" si="167"/>
        <v>72.519675217547672</v>
      </c>
      <c r="BG180" s="20">
        <f t="shared" si="168"/>
        <v>659.9782410038955</v>
      </c>
      <c r="BH180" s="59">
        <f t="shared" si="116"/>
        <v>953.31157433722888</v>
      </c>
      <c r="BI180" s="59">
        <f ca="1">AVERAGE(OFFSET($BH$3,0,0,'Données projet'!$E$11+1,1))-AVERAGE(OFFSET($H$3,0,0,'Données projet'!$E$11+1,1))</f>
        <v>339.00921630742886</v>
      </c>
      <c r="BJ180" s="59">
        <f t="shared" si="146"/>
        <v>314.95763895978303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8.2572517397041629</v>
      </c>
      <c r="BQ180" s="21">
        <f>EXP(-LN(2)/25)*BQ179+(1-EXP(-LN(2)/25))/(LN(2)/25)*Calculateur!BL180*Calculateur!BN180*VLOOKUP('Données projet'!$B$11,Paramètres!$A$1:$I$89,3,0)*0.475*44/12</f>
        <v>0.21893440732534017</v>
      </c>
      <c r="BR180" s="21">
        <f>EXP(-LN(2)/2)*BR179+(1-EXP(-LN(2)/2))/(LN(2)/2)*BL180*BO180*VLOOKUP('Données projet'!$B$11,Paramètres!$A$1:$I$89,3,0)*0.475*44/12</f>
        <v>1.8793498538067385E-14</v>
      </c>
      <c r="BS180" s="22">
        <f t="shared" si="169"/>
        <v>8.476186147029523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296.99999999999983</v>
      </c>
      <c r="BZ180" s="13">
        <f>BY180*VLOOKUP('Données projet'!$B$12,Paramètres!$A$1:$I$89,3,0)*VLOOKUP('Données projet'!$B$12,Paramètres!$A$1:$I$89,5,0)</f>
        <v>254.82599999999988</v>
      </c>
      <c r="CA180" s="13">
        <f t="shared" si="170"/>
        <v>61.61820333959453</v>
      </c>
      <c r="CB180" s="20">
        <f t="shared" si="171"/>
        <v>551.1403208164603</v>
      </c>
      <c r="CC180" s="59">
        <f t="shared" si="119"/>
        <v>844.47365414979367</v>
      </c>
      <c r="CD180" s="59">
        <f ca="1">AVERAGE(OFFSET($CC$3,0,0,'Données projet'!$E$12+1,1))-AVERAGE(OFFSET($H$3,0,0,'Données projet'!$E$12+1,1))</f>
        <v>204.6927427024138</v>
      </c>
      <c r="CE180" s="59">
        <f t="shared" si="148"/>
        <v>115.74231133146816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11.546194661284297</v>
      </c>
      <c r="CL180" s="21">
        <f>EXP(-LN(2)/25)*CL179+(1-EXP(-LN(2)/25))/(LN(2)/25)*Calculateur!CG180*Calculateur!CI180*VLOOKUP('Données projet'!$B$12,Paramètres!$A$1:$I$89,3,0)*0.475*44/12</f>
        <v>0.34767439622811519</v>
      </c>
      <c r="CM180" s="21">
        <f>EXP(-LN(2)/2)*CM179+(1-EXP(-LN(2)/2))/(LN(2)/2)*CG180*CJ180*VLOOKUP('Données projet'!$B$12,Paramètres!$A$1:$I$89,3,0)*0.475*44/12</f>
        <v>2.9154338928462146E-12</v>
      </c>
      <c r="CN180" s="22">
        <f t="shared" si="172"/>
        <v>11.893869057515326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204.15575418077316</v>
      </c>
      <c r="CZ180" s="59">
        <f t="shared" si="150"/>
        <v>473.73726605265045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4.2632963008473919</v>
      </c>
      <c r="DG180" s="21">
        <f>EXP(-LN(2)/25)*DG179+(1-EXP(-LN(2)/25))/(LN(2)/25)*Calculateur!DB180*Calculateur!DD180*VLOOKUP('Données projet'!$B$13,Paramètres!$A$1:$I$89,3,0)*0.475*44/12</f>
        <v>0.77952722097264426</v>
      </c>
      <c r="DH180" s="21">
        <f>EXP(-LN(2)/2)*DH179+(1-EXP(-LN(2)/2))/(LN(2)/2)*DB180*DE180*VLOOKUP('Données projet'!$B$13,Paramètres!$A$1:$I$89,3,0)*0.475*44/12</f>
        <v>4.0325351342510854E-22</v>
      </c>
      <c r="DI180" s="22">
        <f t="shared" si="175"/>
        <v>5.0428235218200363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216.83230520434313</v>
      </c>
      <c r="T181" s="59">
        <f t="shared" si="142"/>
        <v>275.41891707278205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9.3010850035061789</v>
      </c>
      <c r="AA181" s="21">
        <f>EXP(-LN(2)/25)*AA180+(1-EXP(-LN(2)/25))/(LN(2)/25)*Calculateur!V181*Calculateur!X181*VLOOKUP('Données projet'!$B$9,Paramètres!$A$1:$I$89,3,0)*0.475*44/12</f>
        <v>0.63216198989842398</v>
      </c>
      <c r="AB181" s="21">
        <f>EXP(-LN(2)/2)*AB180+(1-EXP(-LN(2)/2))/(LN(2)/2)*V181*Y181*VLOOKUP('Données projet'!$B$9,Paramètres!$A$1:$I$89,3,0)*0.475*44/12</f>
        <v>5.5023569176364699E-19</v>
      </c>
      <c r="AC181" s="22">
        <f t="shared" si="163"/>
        <v>9.9332469934046035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268.00000000000011</v>
      </c>
      <c r="AJ181" s="13">
        <f>AI181*VLOOKUP('Données projet'!$B$10,Paramètres!$A$1:$I$89,3,0)*VLOOKUP('Données projet'!$B$10,Paramètres!$A$1:$I$89,5,0)</f>
        <v>271.75200000000012</v>
      </c>
      <c r="AK181" s="13">
        <f t="shared" si="164"/>
        <v>65.220947824724988</v>
      </c>
      <c r="AL181" s="20">
        <f t="shared" si="165"/>
        <v>586.89455079472953</v>
      </c>
      <c r="AM181" s="59">
        <f t="shared" si="113"/>
        <v>880.2278841280629</v>
      </c>
      <c r="AN181" s="59">
        <f ca="1">AVERAGE(OFFSET($AM$3,0,0,'Données projet'!$E$10+1,1))-AVERAGE(OFFSET($H$3,0,0,'Données projet'!$E$10+1,1))</f>
        <v>292.42154837691379</v>
      </c>
      <c r="AO181" s="59">
        <f t="shared" si="144"/>
        <v>193.18009444354601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20.731926749436369</v>
      </c>
      <c r="AV181" s="21">
        <f>EXP(-LN(2)/25)*AV180+(1-EXP(-LN(2)/25))/(LN(2)/25)*Calculateur!AQ181*Calculateur!AS181*VLOOKUP('Données projet'!$B$10,Paramètres!$A$1:$I$89,3,0)*0.475*44/12</f>
        <v>0.55511151121734059</v>
      </c>
      <c r="AW181" s="21">
        <f>EXP(-LN(2)/2)*AW180+(1-EXP(-LN(2)/2))/(LN(2)/2)*AQ181*AT181*VLOOKUP('Données projet'!$B$10,Paramètres!$A$1:$I$89,3,0)*0.475*44/12</f>
        <v>2.2358933044140401E-9</v>
      </c>
      <c r="AX181" s="21">
        <f t="shared" si="166"/>
        <v>21.287038262889602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322</v>
      </c>
      <c r="BE181" s="13">
        <f>BD181*VLOOKUP('Données projet'!$B$11,Paramètres!$A$1:$I$89,3,0)*VLOOKUP('Données projet'!$B$11,Paramètres!$A$1:$I$89,5,0)</f>
        <v>306.41519999999997</v>
      </c>
      <c r="BF181" s="13">
        <f t="shared" si="167"/>
        <v>72.519675217547672</v>
      </c>
      <c r="BG181" s="20">
        <f t="shared" si="168"/>
        <v>659.9782410038955</v>
      </c>
      <c r="BH181" s="59">
        <f t="shared" si="116"/>
        <v>953.31157433722888</v>
      </c>
      <c r="BI181" s="59">
        <f ca="1">AVERAGE(OFFSET($BH$3,0,0,'Données projet'!$E$11+1,1))-AVERAGE(OFFSET($H$3,0,0,'Données projet'!$E$11+1,1))</f>
        <v>339.00921630742886</v>
      </c>
      <c r="BJ181" s="59">
        <f t="shared" si="146"/>
        <v>314.95763895978303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8.0953320695148197</v>
      </c>
      <c r="BQ181" s="21">
        <f>EXP(-LN(2)/25)*BQ180+(1-EXP(-LN(2)/25))/(LN(2)/25)*Calculateur!BL181*Calculateur!BN181*VLOOKUP('Données projet'!$B$11,Paramètres!$A$1:$I$89,3,0)*0.475*44/12</f>
        <v>0.21294763444376863</v>
      </c>
      <c r="BR181" s="21">
        <f>EXP(-LN(2)/2)*BR180+(1-EXP(-LN(2)/2))/(LN(2)/2)*BL181*BO181*VLOOKUP('Données projet'!$B$11,Paramètres!$A$1:$I$89,3,0)*0.475*44/12</f>
        <v>1.3289010258486915E-14</v>
      </c>
      <c r="BS181" s="22">
        <f t="shared" si="169"/>
        <v>8.3082797039586005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296.99999999999983</v>
      </c>
      <c r="BZ181" s="13">
        <f>BY181*VLOOKUP('Données projet'!$B$12,Paramètres!$A$1:$I$89,3,0)*VLOOKUP('Données projet'!$B$12,Paramètres!$A$1:$I$89,5,0)</f>
        <v>254.82599999999988</v>
      </c>
      <c r="CA181" s="13">
        <f t="shared" si="170"/>
        <v>61.61820333959453</v>
      </c>
      <c r="CB181" s="20">
        <f t="shared" si="171"/>
        <v>551.1403208164603</v>
      </c>
      <c r="CC181" s="59">
        <f t="shared" si="119"/>
        <v>844.47365414979367</v>
      </c>
      <c r="CD181" s="59">
        <f ca="1">AVERAGE(OFFSET($CC$3,0,0,'Données projet'!$E$12+1,1))-AVERAGE(OFFSET($H$3,0,0,'Données projet'!$E$12+1,1))</f>
        <v>204.6927427024138</v>
      </c>
      <c r="CE181" s="59">
        <f t="shared" si="148"/>
        <v>115.74231133146816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11.319780826459867</v>
      </c>
      <c r="CL181" s="21">
        <f>EXP(-LN(2)/25)*CL180+(1-EXP(-LN(2)/25))/(LN(2)/25)*Calculateur!CG181*Calculateur!CI181*VLOOKUP('Données projet'!$B$12,Paramètres!$A$1:$I$89,3,0)*0.475*44/12</f>
        <v>0.33816722157985551</v>
      </c>
      <c r="CM181" s="21">
        <f>EXP(-LN(2)/2)*CM180+(1-EXP(-LN(2)/2))/(LN(2)/2)*CG181*CJ181*VLOOKUP('Données projet'!$B$12,Paramètres!$A$1:$I$89,3,0)*0.475*44/12</f>
        <v>2.0615230757326527E-12</v>
      </c>
      <c r="CN181" s="22">
        <f t="shared" si="172"/>
        <v>11.657948048041785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204.15575418077316</v>
      </c>
      <c r="CZ181" s="59">
        <f t="shared" si="150"/>
        <v>473.73726605265045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4.1796956607417544</v>
      </c>
      <c r="DG181" s="21">
        <f>EXP(-LN(2)/25)*DG180+(1-EXP(-LN(2)/25))/(LN(2)/25)*Calculateur!DB181*Calculateur!DD181*VLOOKUP('Données projet'!$B$13,Paramètres!$A$1:$I$89,3,0)*0.475*44/12</f>
        <v>0.75821100812159237</v>
      </c>
      <c r="DH181" s="21">
        <f>EXP(-LN(2)/2)*DH180+(1-EXP(-LN(2)/2))/(LN(2)/2)*DB181*DE181*VLOOKUP('Données projet'!$B$13,Paramètres!$A$1:$I$89,3,0)*0.475*44/12</f>
        <v>2.8514329388019472E-22</v>
      </c>
      <c r="DI181" s="22">
        <f t="shared" si="175"/>
        <v>4.9379066688633468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216.83230520434313</v>
      </c>
      <c r="T182" s="59">
        <f t="shared" si="142"/>
        <v>275.41891707278205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9.1186963996891031</v>
      </c>
      <c r="AA182" s="21">
        <f>EXP(-LN(2)/25)*AA181+(1-EXP(-LN(2)/25))/(LN(2)/25)*Calculateur!V182*Calculateur!X182*VLOOKUP('Données projet'!$B$9,Paramètres!$A$1:$I$89,3,0)*0.475*44/12</f>
        <v>0.61487548704069739</v>
      </c>
      <c r="AB182" s="21">
        <f>EXP(-LN(2)/2)*AB181+(1-EXP(-LN(2)/2))/(LN(2)/2)*V182*Y182*VLOOKUP('Données projet'!$B$9,Paramètres!$A$1:$I$89,3,0)*0.475*44/12</f>
        <v>3.8907538889694575E-19</v>
      </c>
      <c r="AC182" s="22">
        <f t="shared" si="163"/>
        <v>9.7335718867298002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268.00000000000011</v>
      </c>
      <c r="AJ182" s="13">
        <f>AI182*VLOOKUP('Données projet'!$B$10,Paramètres!$A$1:$I$89,3,0)*VLOOKUP('Données projet'!$B$10,Paramètres!$A$1:$I$89,5,0)</f>
        <v>271.75200000000012</v>
      </c>
      <c r="AK182" s="13">
        <f t="shared" si="164"/>
        <v>65.220947824724988</v>
      </c>
      <c r="AL182" s="20">
        <f t="shared" si="165"/>
        <v>586.89455079472953</v>
      </c>
      <c r="AM182" s="59">
        <f t="shared" si="113"/>
        <v>880.2278841280629</v>
      </c>
      <c r="AN182" s="59">
        <f ca="1">AVERAGE(OFFSET($AM$3,0,0,'Données projet'!$E$10+1,1))-AVERAGE(OFFSET($H$3,0,0,'Données projet'!$E$10+1,1))</f>
        <v>292.42154837691379</v>
      </c>
      <c r="AO182" s="59">
        <f t="shared" si="144"/>
        <v>193.18009444354601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20.325386311106627</v>
      </c>
      <c r="AV182" s="21">
        <f>EXP(-LN(2)/25)*AV181+(1-EXP(-LN(2)/25))/(LN(2)/25)*Calculateur!AQ182*Calculateur!AS182*VLOOKUP('Données projet'!$B$10,Paramètres!$A$1:$I$89,3,0)*0.475*44/12</f>
        <v>0.53993195775105673</v>
      </c>
      <c r="AW182" s="21">
        <f>EXP(-LN(2)/2)*AW181+(1-EXP(-LN(2)/2))/(LN(2)/2)*AQ182*AT182*VLOOKUP('Données projet'!$B$10,Paramètres!$A$1:$I$89,3,0)*0.475*44/12</f>
        <v>1.5810153175607654E-9</v>
      </c>
      <c r="AX182" s="21">
        <f t="shared" si="166"/>
        <v>20.865318270438699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322</v>
      </c>
      <c r="BE182" s="13">
        <f>BD182*VLOOKUP('Données projet'!$B$11,Paramètres!$A$1:$I$89,3,0)*VLOOKUP('Données projet'!$B$11,Paramètres!$A$1:$I$89,5,0)</f>
        <v>306.41519999999997</v>
      </c>
      <c r="BF182" s="13">
        <f t="shared" si="167"/>
        <v>72.519675217547672</v>
      </c>
      <c r="BG182" s="20">
        <f t="shared" si="168"/>
        <v>659.9782410038955</v>
      </c>
      <c r="BH182" s="59">
        <f t="shared" si="116"/>
        <v>953.31157433722888</v>
      </c>
      <c r="BI182" s="59">
        <f ca="1">AVERAGE(OFFSET($BH$3,0,0,'Données projet'!$E$11+1,1))-AVERAGE(OFFSET($H$3,0,0,'Données projet'!$E$11+1,1))</f>
        <v>339.00921630742886</v>
      </c>
      <c r="BJ182" s="59">
        <f t="shared" si="146"/>
        <v>314.95763895978303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7.9365875452966428</v>
      </c>
      <c r="BQ182" s="21">
        <f>EXP(-LN(2)/25)*BQ181+(1-EXP(-LN(2)/25))/(LN(2)/25)*Calculateur!BL182*Calculateur!BN182*VLOOKUP('Données projet'!$B$11,Paramètres!$A$1:$I$89,3,0)*0.475*44/12</f>
        <v>0.20712457018147437</v>
      </c>
      <c r="BR182" s="21">
        <f>EXP(-LN(2)/2)*BR181+(1-EXP(-LN(2)/2))/(LN(2)/2)*BL182*BO182*VLOOKUP('Données projet'!$B$11,Paramètres!$A$1:$I$89,3,0)*0.475*44/12</f>
        <v>9.3967492690336924E-15</v>
      </c>
      <c r="BS182" s="22">
        <f t="shared" si="169"/>
        <v>8.1437121154781256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296.99999999999983</v>
      </c>
      <c r="BZ182" s="13">
        <f>BY182*VLOOKUP('Données projet'!$B$12,Paramètres!$A$1:$I$89,3,0)*VLOOKUP('Données projet'!$B$12,Paramètres!$A$1:$I$89,5,0)</f>
        <v>254.82599999999988</v>
      </c>
      <c r="CA182" s="13">
        <f t="shared" si="170"/>
        <v>61.61820333959453</v>
      </c>
      <c r="CB182" s="20">
        <f t="shared" si="171"/>
        <v>551.1403208164603</v>
      </c>
      <c r="CC182" s="59">
        <f t="shared" si="119"/>
        <v>844.47365414979367</v>
      </c>
      <c r="CD182" s="59">
        <f ca="1">AVERAGE(OFFSET($CC$3,0,0,'Données projet'!$E$12+1,1))-AVERAGE(OFFSET($H$3,0,0,'Données projet'!$E$12+1,1))</f>
        <v>204.6927427024138</v>
      </c>
      <c r="CE182" s="59">
        <f t="shared" si="148"/>
        <v>115.74231133146816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11.097806828837543</v>
      </c>
      <c r="CL182" s="21">
        <f>EXP(-LN(2)/25)*CL181+(1-EXP(-LN(2)/25))/(LN(2)/25)*Calculateur!CG182*Calculateur!CI182*VLOOKUP('Données projet'!$B$12,Paramètres!$A$1:$I$89,3,0)*0.475*44/12</f>
        <v>0.32892002112231306</v>
      </c>
      <c r="CM182" s="21">
        <f>EXP(-LN(2)/2)*CM181+(1-EXP(-LN(2)/2))/(LN(2)/2)*CG182*CJ182*VLOOKUP('Données projet'!$B$12,Paramètres!$A$1:$I$89,3,0)*0.475*44/12</f>
        <v>1.4577169464231073E-12</v>
      </c>
      <c r="CN182" s="22">
        <f t="shared" si="172"/>
        <v>11.426726849961314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204.15575418077316</v>
      </c>
      <c r="CZ182" s="59">
        <f t="shared" si="150"/>
        <v>473.73726605265045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4.0977343781972326</v>
      </c>
      <c r="DG182" s="21">
        <f>EXP(-LN(2)/25)*DG181+(1-EXP(-LN(2)/25))/(LN(2)/25)*Calculateur!DB182*Calculateur!DD182*VLOOKUP('Données projet'!$B$13,Paramètres!$A$1:$I$89,3,0)*0.475*44/12</f>
        <v>0.73747768823192339</v>
      </c>
      <c r="DH182" s="21">
        <f>EXP(-LN(2)/2)*DH181+(1-EXP(-LN(2)/2))/(LN(2)/2)*DB182*DE182*VLOOKUP('Données projet'!$B$13,Paramètres!$A$1:$I$89,3,0)*0.475*44/12</f>
        <v>2.0162675671255427E-22</v>
      </c>
      <c r="DI182" s="22">
        <f t="shared" si="175"/>
        <v>4.8352120664291558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216.83230520434313</v>
      </c>
      <c r="T183" s="59">
        <f t="shared" si="142"/>
        <v>275.41891707278205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8.9398843251468154</v>
      </c>
      <c r="AA183" s="21">
        <f>EXP(-LN(2)/25)*AA182+(1-EXP(-LN(2)/25))/(LN(2)/25)*Calculateur!V183*Calculateur!X183*VLOOKUP('Données projet'!$B$9,Paramètres!$A$1:$I$89,3,0)*0.475*44/12</f>
        <v>0.59806168451267294</v>
      </c>
      <c r="AB183" s="21">
        <f>EXP(-LN(2)/2)*AB182+(1-EXP(-LN(2)/2))/(LN(2)/2)*V183*Y183*VLOOKUP('Données projet'!$B$9,Paramètres!$A$1:$I$89,3,0)*0.475*44/12</f>
        <v>2.751178458818235E-19</v>
      </c>
      <c r="AC183" s="22">
        <f t="shared" si="163"/>
        <v>9.537946009659489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268.00000000000011</v>
      </c>
      <c r="AJ183" s="13">
        <f>AI183*VLOOKUP('Données projet'!$B$10,Paramètres!$A$1:$I$89,3,0)*VLOOKUP('Données projet'!$B$10,Paramètres!$A$1:$I$89,5,0)</f>
        <v>271.75200000000012</v>
      </c>
      <c r="AK183" s="13">
        <f t="shared" si="164"/>
        <v>65.220947824724988</v>
      </c>
      <c r="AL183" s="20">
        <f t="shared" si="165"/>
        <v>586.89455079472953</v>
      </c>
      <c r="AM183" s="59">
        <f t="shared" si="113"/>
        <v>880.2278841280629</v>
      </c>
      <c r="AN183" s="59">
        <f ca="1">AVERAGE(OFFSET($AM$3,0,0,'Données projet'!$E$10+1,1))-AVERAGE(OFFSET($H$3,0,0,'Données projet'!$E$10+1,1))</f>
        <v>292.42154837691379</v>
      </c>
      <c r="AO183" s="59">
        <f t="shared" si="144"/>
        <v>193.18009444354601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19.926817882807349</v>
      </c>
      <c r="AV183" s="21">
        <f>EXP(-LN(2)/25)*AV182+(1-EXP(-LN(2)/25))/(LN(2)/25)*Calculateur!AQ183*Calculateur!AS183*VLOOKUP('Données projet'!$B$10,Paramètres!$A$1:$I$89,3,0)*0.475*44/12</f>
        <v>0.52516748997256646</v>
      </c>
      <c r="AW183" s="21">
        <f>EXP(-LN(2)/2)*AW182+(1-EXP(-LN(2)/2))/(LN(2)/2)*AQ183*AT183*VLOOKUP('Données projet'!$B$10,Paramètres!$A$1:$I$89,3,0)*0.475*44/12</f>
        <v>1.1179466522070201E-9</v>
      </c>
      <c r="AX183" s="21">
        <f t="shared" si="166"/>
        <v>20.451985373897863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322</v>
      </c>
      <c r="BE183" s="13">
        <f>BD183*VLOOKUP('Données projet'!$B$11,Paramètres!$A$1:$I$89,3,0)*VLOOKUP('Données projet'!$B$11,Paramètres!$A$1:$I$89,5,0)</f>
        <v>306.41519999999997</v>
      </c>
      <c r="BF183" s="13">
        <f t="shared" si="167"/>
        <v>72.519675217547672</v>
      </c>
      <c r="BG183" s="20">
        <f t="shared" si="168"/>
        <v>659.9782410038955</v>
      </c>
      <c r="BH183" s="59">
        <f t="shared" si="116"/>
        <v>953.31157433722888</v>
      </c>
      <c r="BI183" s="59">
        <f ca="1">AVERAGE(OFFSET($BH$3,0,0,'Données projet'!$E$11+1,1))-AVERAGE(OFFSET($H$3,0,0,'Données projet'!$E$11+1,1))</f>
        <v>339.00921630742886</v>
      </c>
      <c r="BJ183" s="59">
        <f t="shared" si="146"/>
        <v>314.95763895978303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7.7809559043737853</v>
      </c>
      <c r="BQ183" s="21">
        <f>EXP(-LN(2)/25)*BQ182+(1-EXP(-LN(2)/25))/(LN(2)/25)*Calculateur!BL183*Calculateur!BN183*VLOOKUP('Données projet'!$B$11,Paramètres!$A$1:$I$89,3,0)*0.475*44/12</f>
        <v>0.2014607379176542</v>
      </c>
      <c r="BR183" s="21">
        <f>EXP(-LN(2)/2)*BR182+(1-EXP(-LN(2)/2))/(LN(2)/2)*BL183*BO183*VLOOKUP('Données projet'!$B$11,Paramètres!$A$1:$I$89,3,0)*0.475*44/12</f>
        <v>6.6445051292434576E-15</v>
      </c>
      <c r="BS183" s="22">
        <f t="shared" si="169"/>
        <v>7.9824166422914455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296.99999999999983</v>
      </c>
      <c r="BZ183" s="13">
        <f>BY183*VLOOKUP('Données projet'!$B$12,Paramètres!$A$1:$I$89,3,0)*VLOOKUP('Données projet'!$B$12,Paramètres!$A$1:$I$89,5,0)</f>
        <v>254.82599999999988</v>
      </c>
      <c r="CA183" s="13">
        <f t="shared" si="170"/>
        <v>61.61820333959453</v>
      </c>
      <c r="CB183" s="20">
        <f t="shared" si="171"/>
        <v>551.1403208164603</v>
      </c>
      <c r="CC183" s="59">
        <f t="shared" si="119"/>
        <v>844.47365414979367</v>
      </c>
      <c r="CD183" s="59">
        <f ca="1">AVERAGE(OFFSET($CC$3,0,0,'Données projet'!$E$12+1,1))-AVERAGE(OFFSET($H$3,0,0,'Données projet'!$E$12+1,1))</f>
        <v>204.6927427024138</v>
      </c>
      <c r="CE183" s="59">
        <f t="shared" si="148"/>
        <v>115.74231133146816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10.880185605917822</v>
      </c>
      <c r="CL183" s="21">
        <f>EXP(-LN(2)/25)*CL182+(1-EXP(-LN(2)/25))/(LN(2)/25)*Calculateur!CG183*Calculateur!CI183*VLOOKUP('Données projet'!$B$12,Paramètres!$A$1:$I$89,3,0)*0.475*44/12</f>
        <v>0.31992568584757125</v>
      </c>
      <c r="CM183" s="21">
        <f>EXP(-LN(2)/2)*CM182+(1-EXP(-LN(2)/2))/(LN(2)/2)*CG183*CJ183*VLOOKUP('Données projet'!$B$12,Paramètres!$A$1:$I$89,3,0)*0.475*44/12</f>
        <v>1.0307615378663263E-12</v>
      </c>
      <c r="CN183" s="22">
        <f t="shared" si="172"/>
        <v>11.200111291766424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204.15575418077316</v>
      </c>
      <c r="CZ183" s="59">
        <f t="shared" si="150"/>
        <v>473.73726605265045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4.0173803064119635</v>
      </c>
      <c r="DG183" s="21">
        <f>EXP(-LN(2)/25)*DG182+(1-EXP(-LN(2)/25))/(LN(2)/25)*Calculateur!DB183*Calculateur!DD183*VLOOKUP('Données projet'!$B$13,Paramètres!$A$1:$I$89,3,0)*0.475*44/12</f>
        <v>0.7173113220649554</v>
      </c>
      <c r="DH183" s="21">
        <f>EXP(-LN(2)/2)*DH182+(1-EXP(-LN(2)/2))/(LN(2)/2)*DB183*DE183*VLOOKUP('Données projet'!$B$13,Paramètres!$A$1:$I$89,3,0)*0.475*44/12</f>
        <v>1.4257164694009736E-22</v>
      </c>
      <c r="DI183" s="22">
        <f t="shared" si="175"/>
        <v>4.7346916284769192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216.83230520434313</v>
      </c>
      <c r="T184" s="59">
        <f t="shared" si="142"/>
        <v>275.41891707278205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8.7645786463217057</v>
      </c>
      <c r="AA184" s="21">
        <f>EXP(-LN(2)/25)*AA183+(1-EXP(-LN(2)/25))/(LN(2)/25)*Calculateur!V184*Calculateur!X184*VLOOKUP('Données projet'!$B$9,Paramètres!$A$1:$I$89,3,0)*0.475*44/12</f>
        <v>0.58170765629897681</v>
      </c>
      <c r="AB184" s="21">
        <f>EXP(-LN(2)/2)*AB183+(1-EXP(-LN(2)/2))/(LN(2)/2)*V184*Y184*VLOOKUP('Données projet'!$B$9,Paramètres!$A$1:$I$89,3,0)*0.475*44/12</f>
        <v>1.9453769444847287E-19</v>
      </c>
      <c r="AC184" s="22">
        <f t="shared" si="163"/>
        <v>9.3462863026206833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268.00000000000011</v>
      </c>
      <c r="AJ184" s="13">
        <f>AI184*VLOOKUP('Données projet'!$B$10,Paramètres!$A$1:$I$89,3,0)*VLOOKUP('Données projet'!$B$10,Paramètres!$A$1:$I$89,5,0)</f>
        <v>271.75200000000012</v>
      </c>
      <c r="AK184" s="13">
        <f t="shared" si="164"/>
        <v>65.220947824724988</v>
      </c>
      <c r="AL184" s="20">
        <f t="shared" si="165"/>
        <v>586.89455079472953</v>
      </c>
      <c r="AM184" s="59">
        <f t="shared" si="113"/>
        <v>880.2278841280629</v>
      </c>
      <c r="AN184" s="59">
        <f ca="1">AVERAGE(OFFSET($AM$3,0,0,'Données projet'!$E$10+1,1))-AVERAGE(OFFSET($H$3,0,0,'Données projet'!$E$10+1,1))</f>
        <v>292.42154837691379</v>
      </c>
      <c r="AO184" s="59">
        <f t="shared" si="144"/>
        <v>193.18009444354601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19.536065138284282</v>
      </c>
      <c r="AV184" s="21">
        <f>EXP(-LN(2)/25)*AV183+(1-EXP(-LN(2)/25))/(LN(2)/25)*Calculateur!AQ184*Calculateur!AS184*VLOOKUP('Données projet'!$B$10,Paramètres!$A$1:$I$89,3,0)*0.475*44/12</f>
        <v>0.51080675734190861</v>
      </c>
      <c r="AW184" s="21">
        <f>EXP(-LN(2)/2)*AW183+(1-EXP(-LN(2)/2))/(LN(2)/2)*AQ184*AT184*VLOOKUP('Données projet'!$B$10,Paramètres!$A$1:$I$89,3,0)*0.475*44/12</f>
        <v>7.9050765878038269E-10</v>
      </c>
      <c r="AX184" s="21">
        <f t="shared" si="166"/>
        <v>20.046871896416697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322</v>
      </c>
      <c r="BE184" s="13">
        <f>BD184*VLOOKUP('Données projet'!$B$11,Paramètres!$A$1:$I$89,3,0)*VLOOKUP('Données projet'!$B$11,Paramètres!$A$1:$I$89,5,0)</f>
        <v>306.41519999999997</v>
      </c>
      <c r="BF184" s="13">
        <f t="shared" si="167"/>
        <v>72.519675217547672</v>
      </c>
      <c r="BG184" s="20">
        <f t="shared" si="168"/>
        <v>659.9782410038955</v>
      </c>
      <c r="BH184" s="59">
        <f t="shared" si="116"/>
        <v>953.31157433722888</v>
      </c>
      <c r="BI184" s="59">
        <f ca="1">AVERAGE(OFFSET($BH$3,0,0,'Données projet'!$E$11+1,1))-AVERAGE(OFFSET($H$3,0,0,'Données projet'!$E$11+1,1))</f>
        <v>339.00921630742886</v>
      </c>
      <c r="BJ184" s="59">
        <f t="shared" si="146"/>
        <v>314.95763895978303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7.6283761050034968</v>
      </c>
      <c r="BQ184" s="21">
        <f>EXP(-LN(2)/25)*BQ183+(1-EXP(-LN(2)/25))/(LN(2)/25)*Calculateur!BL184*Calculateur!BN184*VLOOKUP('Données projet'!$B$11,Paramètres!$A$1:$I$89,3,0)*0.475*44/12</f>
        <v>0.19595178344493619</v>
      </c>
      <c r="BR184" s="21">
        <f>EXP(-LN(2)/2)*BR183+(1-EXP(-LN(2)/2))/(LN(2)/2)*BL184*BO184*VLOOKUP('Données projet'!$B$11,Paramètres!$A$1:$I$89,3,0)*0.475*44/12</f>
        <v>4.6983746345168462E-15</v>
      </c>
      <c r="BS184" s="22">
        <f t="shared" si="169"/>
        <v>7.8243278884484377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296.99999999999983</v>
      </c>
      <c r="BZ184" s="13">
        <f>BY184*VLOOKUP('Données projet'!$B$12,Paramètres!$A$1:$I$89,3,0)*VLOOKUP('Données projet'!$B$12,Paramètres!$A$1:$I$89,5,0)</f>
        <v>254.82599999999988</v>
      </c>
      <c r="CA184" s="13">
        <f t="shared" si="170"/>
        <v>61.61820333959453</v>
      </c>
      <c r="CB184" s="20">
        <f t="shared" si="171"/>
        <v>551.1403208164603</v>
      </c>
      <c r="CC184" s="59">
        <f t="shared" si="119"/>
        <v>844.47365414979367</v>
      </c>
      <c r="CD184" s="59">
        <f ca="1">AVERAGE(OFFSET($CC$3,0,0,'Données projet'!$E$12+1,1))-AVERAGE(OFFSET($H$3,0,0,'Données projet'!$E$12+1,1))</f>
        <v>204.6927427024138</v>
      </c>
      <c r="CE184" s="59">
        <f t="shared" si="148"/>
        <v>115.74231133146816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10.666831802443717</v>
      </c>
      <c r="CL184" s="21">
        <f>EXP(-LN(2)/25)*CL183+(1-EXP(-LN(2)/25))/(LN(2)/25)*Calculateur!CG184*Calculateur!CI184*VLOOKUP('Données projet'!$B$12,Paramètres!$A$1:$I$89,3,0)*0.475*44/12</f>
        <v>0.31117730114390879</v>
      </c>
      <c r="CM184" s="21">
        <f>EXP(-LN(2)/2)*CM183+(1-EXP(-LN(2)/2))/(LN(2)/2)*CG184*CJ184*VLOOKUP('Données projet'!$B$12,Paramètres!$A$1:$I$89,3,0)*0.475*44/12</f>
        <v>7.2885847321155364E-13</v>
      </c>
      <c r="CN184" s="22">
        <f t="shared" si="172"/>
        <v>10.978009103588354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204.15575418077316</v>
      </c>
      <c r="CZ184" s="59">
        <f t="shared" si="150"/>
        <v>473.73726605265045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3.938601928963259</v>
      </c>
      <c r="DG184" s="21">
        <f>EXP(-LN(2)/25)*DG183+(1-EXP(-LN(2)/25))/(LN(2)/25)*Calculateur!DB184*Calculateur!DD184*VLOOKUP('Données projet'!$B$13,Paramètres!$A$1:$I$89,3,0)*0.475*44/12</f>
        <v>0.69769640624132623</v>
      </c>
      <c r="DH184" s="21">
        <f>EXP(-LN(2)/2)*DH183+(1-EXP(-LN(2)/2))/(LN(2)/2)*DB184*DE184*VLOOKUP('Données projet'!$B$13,Paramètres!$A$1:$I$89,3,0)*0.475*44/12</f>
        <v>1.0081337835627713E-22</v>
      </c>
      <c r="DI184" s="22">
        <f t="shared" si="175"/>
        <v>4.636298335204585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216.83230520434313</v>
      </c>
      <c r="T185" s="59">
        <f t="shared" si="142"/>
        <v>275.41891707278205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8.5927106049324511</v>
      </c>
      <c r="AA185" s="21">
        <f>EXP(-LN(2)/25)*AA184+(1-EXP(-LN(2)/25))/(LN(2)/25)*Calculateur!V185*Calculateur!X185*VLOOKUP('Données projet'!$B$9,Paramètres!$A$1:$I$89,3,0)*0.475*44/12</f>
        <v>0.56580082984680513</v>
      </c>
      <c r="AB185" s="21">
        <f>EXP(-LN(2)/2)*AB184+(1-EXP(-LN(2)/2))/(LN(2)/2)*V185*Y185*VLOOKUP('Données projet'!$B$9,Paramètres!$A$1:$I$89,3,0)*0.475*44/12</f>
        <v>1.3755892294091175E-19</v>
      </c>
      <c r="AC185" s="22">
        <f t="shared" si="163"/>
        <v>9.1585114347792569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268.00000000000011</v>
      </c>
      <c r="AJ185" s="13">
        <f>AI185*VLOOKUP('Données projet'!$B$10,Paramètres!$A$1:$I$89,3,0)*VLOOKUP('Données projet'!$B$10,Paramètres!$A$1:$I$89,5,0)</f>
        <v>271.75200000000012</v>
      </c>
      <c r="AK185" s="13">
        <f t="shared" si="164"/>
        <v>65.220947824724988</v>
      </c>
      <c r="AL185" s="20">
        <f t="shared" si="165"/>
        <v>586.89455079472953</v>
      </c>
      <c r="AM185" s="59">
        <f t="shared" si="113"/>
        <v>880.2278841280629</v>
      </c>
      <c r="AN185" s="59">
        <f ca="1">AVERAGE(OFFSET($AM$3,0,0,'Données projet'!$E$10+1,1))-AVERAGE(OFFSET($H$3,0,0,'Données projet'!$E$10+1,1))</f>
        <v>292.42154837691379</v>
      </c>
      <c r="AO185" s="59">
        <f t="shared" si="144"/>
        <v>193.18009444354601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19.152974816745672</v>
      </c>
      <c r="AV185" s="21">
        <f>EXP(-LN(2)/25)*AV184+(1-EXP(-LN(2)/25))/(LN(2)/25)*Calculateur!AQ185*Calculateur!AS185*VLOOKUP('Données projet'!$B$10,Paramètres!$A$1:$I$89,3,0)*0.475*44/12</f>
        <v>0.49683871970023424</v>
      </c>
      <c r="AW185" s="21">
        <f>EXP(-LN(2)/2)*AW184+(1-EXP(-LN(2)/2))/(LN(2)/2)*AQ185*AT185*VLOOKUP('Données projet'!$B$10,Paramètres!$A$1:$I$89,3,0)*0.475*44/12</f>
        <v>5.5897332610351003E-10</v>
      </c>
      <c r="AX185" s="21">
        <f t="shared" si="166"/>
        <v>19.649813537004881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322</v>
      </c>
      <c r="BE185" s="13">
        <f>BD185*VLOOKUP('Données projet'!$B$11,Paramètres!$A$1:$I$89,3,0)*VLOOKUP('Données projet'!$B$11,Paramètres!$A$1:$I$89,5,0)</f>
        <v>306.41519999999997</v>
      </c>
      <c r="BF185" s="13">
        <f t="shared" si="167"/>
        <v>72.519675217547672</v>
      </c>
      <c r="BG185" s="20">
        <f t="shared" si="168"/>
        <v>659.9782410038955</v>
      </c>
      <c r="BH185" s="59">
        <f t="shared" si="116"/>
        <v>953.31157433722888</v>
      </c>
      <c r="BI185" s="59">
        <f ca="1">AVERAGE(OFFSET($BH$3,0,0,'Données projet'!$E$11+1,1))-AVERAGE(OFFSET($H$3,0,0,'Données projet'!$E$11+1,1))</f>
        <v>339.00921630742886</v>
      </c>
      <c r="BJ185" s="59">
        <f t="shared" si="146"/>
        <v>314.95763895978303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7.4787883024343715</v>
      </c>
      <c r="BQ185" s="21">
        <f>EXP(-LN(2)/25)*BQ184+(1-EXP(-LN(2)/25))/(LN(2)/25)*Calculateur!BL185*Calculateur!BN185*VLOOKUP('Données projet'!$B$11,Paramètres!$A$1:$I$89,3,0)*0.475*44/12</f>
        <v>0.19059347162197798</v>
      </c>
      <c r="BR185" s="21">
        <f>EXP(-LN(2)/2)*BR184+(1-EXP(-LN(2)/2))/(LN(2)/2)*BL185*BO185*VLOOKUP('Données projet'!$B$11,Paramètres!$A$1:$I$89,3,0)*0.475*44/12</f>
        <v>3.3222525646217288E-15</v>
      </c>
      <c r="BS185" s="22">
        <f t="shared" si="169"/>
        <v>7.6693817740563528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296.99999999999983</v>
      </c>
      <c r="BZ185" s="13">
        <f>BY185*VLOOKUP('Données projet'!$B$12,Paramètres!$A$1:$I$89,3,0)*VLOOKUP('Données projet'!$B$12,Paramètres!$A$1:$I$89,5,0)</f>
        <v>254.82599999999988</v>
      </c>
      <c r="CA185" s="13">
        <f t="shared" si="170"/>
        <v>61.61820333959453</v>
      </c>
      <c r="CB185" s="20">
        <f t="shared" si="171"/>
        <v>551.1403208164603</v>
      </c>
      <c r="CC185" s="59">
        <f t="shared" si="119"/>
        <v>844.47365414979367</v>
      </c>
      <c r="CD185" s="59">
        <f ca="1">AVERAGE(OFFSET($CC$3,0,0,'Données projet'!$E$12+1,1))-AVERAGE(OFFSET($H$3,0,0,'Données projet'!$E$12+1,1))</f>
        <v>204.6927427024138</v>
      </c>
      <c r="CE185" s="59">
        <f t="shared" si="148"/>
        <v>115.74231133146816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10.457661736922768</v>
      </c>
      <c r="CL185" s="21">
        <f>EXP(-LN(2)/25)*CL184+(1-EXP(-LN(2)/25))/(LN(2)/25)*Calculateur!CG185*Calculateur!CI185*VLOOKUP('Données projet'!$B$12,Paramètres!$A$1:$I$89,3,0)*0.475*44/12</f>
        <v>0.30266814148002552</v>
      </c>
      <c r="CM185" s="21">
        <f>EXP(-LN(2)/2)*CM184+(1-EXP(-LN(2)/2))/(LN(2)/2)*CG185*CJ185*VLOOKUP('Données projet'!$B$12,Paramètres!$A$1:$I$89,3,0)*0.475*44/12</f>
        <v>5.1538076893316316E-13</v>
      </c>
      <c r="CN185" s="22">
        <f t="shared" si="172"/>
        <v>10.760329878403308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204.15575418077316</v>
      </c>
      <c r="CZ185" s="59">
        <f t="shared" si="150"/>
        <v>473.73726605265045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3.8613683474462577</v>
      </c>
      <c r="DG185" s="21">
        <f>EXP(-LN(2)/25)*DG184+(1-EXP(-LN(2)/25))/(LN(2)/25)*Calculateur!DB185*Calculateur!DD185*VLOOKUP('Données projet'!$B$13,Paramètres!$A$1:$I$89,3,0)*0.475*44/12</f>
        <v>0.67861786132239776</v>
      </c>
      <c r="DH185" s="21">
        <f>EXP(-LN(2)/2)*DH184+(1-EXP(-LN(2)/2))/(LN(2)/2)*DB185*DE185*VLOOKUP('Données projet'!$B$13,Paramètres!$A$1:$I$89,3,0)*0.475*44/12</f>
        <v>7.1285823470048681E-23</v>
      </c>
      <c r="DI185" s="22">
        <f t="shared" si="175"/>
        <v>4.5399862087686556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216.83230520434313</v>
      </c>
      <c r="T186" s="59">
        <f t="shared" si="142"/>
        <v>275.41891707278205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8.4242127910056848</v>
      </c>
      <c r="AA186" s="21">
        <f>EXP(-LN(2)/25)*AA185+(1-EXP(-LN(2)/25))/(LN(2)/25)*Calculateur!V186*Calculateur!X186*VLOOKUP('Données projet'!$B$9,Paramètres!$A$1:$I$89,3,0)*0.475*44/12</f>
        <v>0.55032897640047174</v>
      </c>
      <c r="AB186" s="21">
        <f>EXP(-LN(2)/2)*AB185+(1-EXP(-LN(2)/2))/(LN(2)/2)*V186*Y186*VLOOKUP('Données projet'!$B$9,Paramètres!$A$1:$I$89,3,0)*0.475*44/12</f>
        <v>9.7268847224236436E-20</v>
      </c>
      <c r="AC186" s="22">
        <f t="shared" si="163"/>
        <v>8.9745417674061567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268.00000000000011</v>
      </c>
      <c r="AJ186" s="13">
        <f>AI186*VLOOKUP('Données projet'!$B$10,Paramètres!$A$1:$I$89,3,0)*VLOOKUP('Données projet'!$B$10,Paramètres!$A$1:$I$89,5,0)</f>
        <v>271.75200000000012</v>
      </c>
      <c r="AK186" s="13">
        <f t="shared" si="164"/>
        <v>65.220947824724988</v>
      </c>
      <c r="AL186" s="20">
        <f t="shared" si="165"/>
        <v>586.89455079472953</v>
      </c>
      <c r="AM186" s="59">
        <f t="shared" si="113"/>
        <v>880.2278841280629</v>
      </c>
      <c r="AN186" s="59">
        <f ca="1">AVERAGE(OFFSET($AM$3,0,0,'Données projet'!$E$10+1,1))-AVERAGE(OFFSET($H$3,0,0,'Données projet'!$E$10+1,1))</f>
        <v>292.42154837691379</v>
      </c>
      <c r="AO186" s="59">
        <f t="shared" si="144"/>
        <v>193.18009444354601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18.777396662750409</v>
      </c>
      <c r="AV186" s="21">
        <f>EXP(-LN(2)/25)*AV185+(1-EXP(-LN(2)/25))/(LN(2)/25)*Calculateur!AQ186*Calculateur!AS186*VLOOKUP('Données projet'!$B$10,Paramètres!$A$1:$I$89,3,0)*0.475*44/12</f>
        <v>0.48325263878241859</v>
      </c>
      <c r="AW186" s="21">
        <f>EXP(-LN(2)/2)*AW185+(1-EXP(-LN(2)/2))/(LN(2)/2)*AQ186*AT186*VLOOKUP('Données projet'!$B$10,Paramètres!$A$1:$I$89,3,0)*0.475*44/12</f>
        <v>3.9525382939019134E-10</v>
      </c>
      <c r="AX186" s="21">
        <f t="shared" si="166"/>
        <v>19.26064930192808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322</v>
      </c>
      <c r="BE186" s="13">
        <f>BD186*VLOOKUP('Données projet'!$B$11,Paramètres!$A$1:$I$89,3,0)*VLOOKUP('Données projet'!$B$11,Paramètres!$A$1:$I$89,5,0)</f>
        <v>306.41519999999997</v>
      </c>
      <c r="BF186" s="13">
        <f t="shared" si="167"/>
        <v>72.519675217547672</v>
      </c>
      <c r="BG186" s="20">
        <f t="shared" si="168"/>
        <v>659.9782410038955</v>
      </c>
      <c r="BH186" s="59">
        <f t="shared" si="116"/>
        <v>953.31157433722888</v>
      </c>
      <c r="BI186" s="59">
        <f ca="1">AVERAGE(OFFSET($BH$3,0,0,'Données projet'!$E$11+1,1))-AVERAGE(OFFSET($H$3,0,0,'Données projet'!$E$11+1,1))</f>
        <v>339.00921630742886</v>
      </c>
      <c r="BJ186" s="59">
        <f t="shared" si="146"/>
        <v>314.95763895978303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7.3321338254340764</v>
      </c>
      <c r="BQ186" s="21">
        <f>EXP(-LN(2)/25)*BQ185+(1-EXP(-LN(2)/25))/(LN(2)/25)*Calculateur!BL186*Calculateur!BN186*VLOOKUP('Données projet'!$B$11,Paramètres!$A$1:$I$89,3,0)*0.475*44/12</f>
        <v>0.18538168311759992</v>
      </c>
      <c r="BR186" s="21">
        <f>EXP(-LN(2)/2)*BR185+(1-EXP(-LN(2)/2))/(LN(2)/2)*BL186*BO186*VLOOKUP('Données projet'!$B$11,Paramètres!$A$1:$I$89,3,0)*0.475*44/12</f>
        <v>2.3491873172584231E-15</v>
      </c>
      <c r="BS186" s="22">
        <f t="shared" si="169"/>
        <v>7.5175155085516794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296.99999999999983</v>
      </c>
      <c r="BZ186" s="13">
        <f>BY186*VLOOKUP('Données projet'!$B$12,Paramètres!$A$1:$I$89,3,0)*VLOOKUP('Données projet'!$B$12,Paramètres!$A$1:$I$89,5,0)</f>
        <v>254.82599999999988</v>
      </c>
      <c r="CA186" s="13">
        <f t="shared" si="170"/>
        <v>61.61820333959453</v>
      </c>
      <c r="CB186" s="20">
        <f t="shared" si="171"/>
        <v>551.1403208164603</v>
      </c>
      <c r="CC186" s="59">
        <f t="shared" si="119"/>
        <v>844.47365414979367</v>
      </c>
      <c r="CD186" s="59">
        <f ca="1">AVERAGE(OFFSET($CC$3,0,0,'Données projet'!$E$12+1,1))-AVERAGE(OFFSET($H$3,0,0,'Données projet'!$E$12+1,1))</f>
        <v>204.6927427024138</v>
      </c>
      <c r="CE186" s="59">
        <f t="shared" si="148"/>
        <v>115.74231133146816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10.252593368805544</v>
      </c>
      <c r="CL186" s="21">
        <f>EXP(-LN(2)/25)*CL185+(1-EXP(-LN(2)/25))/(LN(2)/25)*Calculateur!CG186*Calculateur!CI186*VLOOKUP('Données projet'!$B$12,Paramètres!$A$1:$I$89,3,0)*0.475*44/12</f>
        <v>0.2943916652346284</v>
      </c>
      <c r="CM186" s="21">
        <f>EXP(-LN(2)/2)*CM185+(1-EXP(-LN(2)/2))/(LN(2)/2)*CG186*CJ186*VLOOKUP('Données projet'!$B$12,Paramètres!$A$1:$I$89,3,0)*0.475*44/12</f>
        <v>3.6442923660577682E-13</v>
      </c>
      <c r="CN186" s="22">
        <f t="shared" si="172"/>
        <v>10.546985034040537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204.15575418077316</v>
      </c>
      <c r="CZ186" s="59">
        <f t="shared" si="150"/>
        <v>473.73726605265045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3.7856492693549715</v>
      </c>
      <c r="DG186" s="21">
        <f>EXP(-LN(2)/25)*DG185+(1-EXP(-LN(2)/25))/(LN(2)/25)*Calculateur!DB186*Calculateur!DD186*VLOOKUP('Données projet'!$B$13,Paramètres!$A$1:$I$89,3,0)*0.475*44/12</f>
        <v>0.66006102021757451</v>
      </c>
      <c r="DH186" s="21">
        <f>EXP(-LN(2)/2)*DH185+(1-EXP(-LN(2)/2))/(LN(2)/2)*DB186*DE186*VLOOKUP('Données projet'!$B$13,Paramètres!$A$1:$I$89,3,0)*0.475*44/12</f>
        <v>5.0406689178138567E-23</v>
      </c>
      <c r="DI186" s="22">
        <f t="shared" si="175"/>
        <v>4.4457102895725455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216.83230520434313</v>
      </c>
      <c r="T187" s="59">
        <f t="shared" si="142"/>
        <v>275.41891707278205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8.2590191164365052</v>
      </c>
      <c r="AA187" s="21">
        <f>EXP(-LN(2)/25)*AA186+(1-EXP(-LN(2)/25))/(LN(2)/25)*Calculateur!V187*Calculateur!X187*VLOOKUP('Données projet'!$B$9,Paramètres!$A$1:$I$89,3,0)*0.475*44/12</f>
        <v>0.5352802016002578</v>
      </c>
      <c r="AB187" s="21">
        <f>EXP(-LN(2)/2)*AB186+(1-EXP(-LN(2)/2))/(LN(2)/2)*V187*Y187*VLOOKUP('Données projet'!$B$9,Paramètres!$A$1:$I$89,3,0)*0.475*44/12</f>
        <v>6.8779461470455874E-20</v>
      </c>
      <c r="AC187" s="22">
        <f t="shared" si="163"/>
        <v>8.7942993180367637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268.00000000000011</v>
      </c>
      <c r="AJ187" s="13">
        <f>AI187*VLOOKUP('Données projet'!$B$10,Paramètres!$A$1:$I$89,3,0)*VLOOKUP('Données projet'!$B$10,Paramètres!$A$1:$I$89,5,0)</f>
        <v>271.75200000000012</v>
      </c>
      <c r="AK187" s="13">
        <f t="shared" si="164"/>
        <v>65.220947824724988</v>
      </c>
      <c r="AL187" s="20">
        <f t="shared" si="165"/>
        <v>586.89455079472953</v>
      </c>
      <c r="AM187" s="59">
        <f t="shared" si="113"/>
        <v>880.2278841280629</v>
      </c>
      <c r="AN187" s="59">
        <f ca="1">AVERAGE(OFFSET($AM$3,0,0,'Données projet'!$E$10+1,1))-AVERAGE(OFFSET($H$3,0,0,'Données projet'!$E$10+1,1))</f>
        <v>292.42154837691379</v>
      </c>
      <c r="AO187" s="59">
        <f t="shared" si="144"/>
        <v>193.18009444354601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18.409183367274938</v>
      </c>
      <c r="AV187" s="21">
        <f>EXP(-LN(2)/25)*AV186+(1-EXP(-LN(2)/25))/(LN(2)/25)*Calculateur!AQ187*Calculateur!AS187*VLOOKUP('Données projet'!$B$10,Paramètres!$A$1:$I$89,3,0)*0.475*44/12</f>
        <v>0.47003806996176156</v>
      </c>
      <c r="AW187" s="21">
        <f>EXP(-LN(2)/2)*AW186+(1-EXP(-LN(2)/2))/(LN(2)/2)*AQ187*AT187*VLOOKUP('Données projet'!$B$10,Paramètres!$A$1:$I$89,3,0)*0.475*44/12</f>
        <v>2.7948666305175501E-10</v>
      </c>
      <c r="AX187" s="21">
        <f t="shared" si="166"/>
        <v>18.87922143751619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322</v>
      </c>
      <c r="BE187" s="13">
        <f>BD187*VLOOKUP('Données projet'!$B$11,Paramètres!$A$1:$I$89,3,0)*VLOOKUP('Données projet'!$B$11,Paramètres!$A$1:$I$89,5,0)</f>
        <v>306.41519999999997</v>
      </c>
      <c r="BF187" s="13">
        <f t="shared" si="167"/>
        <v>72.519675217547672</v>
      </c>
      <c r="BG187" s="20">
        <f t="shared" si="168"/>
        <v>659.9782410038955</v>
      </c>
      <c r="BH187" s="59">
        <f t="shared" si="116"/>
        <v>953.31157433722888</v>
      </c>
      <c r="BI187" s="59">
        <f ca="1">AVERAGE(OFFSET($BH$3,0,0,'Données projet'!$E$11+1,1))-AVERAGE(OFFSET($H$3,0,0,'Données projet'!$E$11+1,1))</f>
        <v>339.00921630742886</v>
      </c>
      <c r="BJ187" s="59">
        <f t="shared" si="146"/>
        <v>314.95763895978303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7.1883551532773584</v>
      </c>
      <c r="BQ187" s="21">
        <f>EXP(-LN(2)/25)*BQ186+(1-EXP(-LN(2)/25))/(LN(2)/25)*Calculateur!BL187*Calculateur!BN187*VLOOKUP('Données projet'!$B$11,Paramètres!$A$1:$I$89,3,0)*0.475*44/12</f>
        <v>0.18031241124395014</v>
      </c>
      <c r="BR187" s="21">
        <f>EXP(-LN(2)/2)*BR186+(1-EXP(-LN(2)/2))/(LN(2)/2)*BL187*BO187*VLOOKUP('Données projet'!$B$11,Paramètres!$A$1:$I$89,3,0)*0.475*44/12</f>
        <v>1.6611262823108644E-15</v>
      </c>
      <c r="BS187" s="22">
        <f t="shared" si="169"/>
        <v>7.36866756452131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296.99999999999983</v>
      </c>
      <c r="BZ187" s="13">
        <f>BY187*VLOOKUP('Données projet'!$B$12,Paramètres!$A$1:$I$89,3,0)*VLOOKUP('Données projet'!$B$12,Paramètres!$A$1:$I$89,5,0)</f>
        <v>254.82599999999988</v>
      </c>
      <c r="CA187" s="13">
        <f t="shared" si="170"/>
        <v>61.61820333959453</v>
      </c>
      <c r="CB187" s="20">
        <f t="shared" si="171"/>
        <v>551.1403208164603</v>
      </c>
      <c r="CC187" s="59">
        <f t="shared" si="119"/>
        <v>844.47365414979367</v>
      </c>
      <c r="CD187" s="59">
        <f ca="1">AVERAGE(OFFSET($CC$3,0,0,'Données projet'!$E$12+1,1))-AVERAGE(OFFSET($H$3,0,0,'Données projet'!$E$12+1,1))</f>
        <v>204.6927427024138</v>
      </c>
      <c r="CE187" s="59">
        <f t="shared" si="148"/>
        <v>115.74231133146816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10.051546266307744</v>
      </c>
      <c r="CL187" s="21">
        <f>EXP(-LN(2)/25)*CL186+(1-EXP(-LN(2)/25))/(LN(2)/25)*Calculateur!CG187*Calculateur!CI187*VLOOKUP('Données projet'!$B$12,Paramètres!$A$1:$I$89,3,0)*0.475*44/12</f>
        <v>0.28634150966740263</v>
      </c>
      <c r="CM187" s="21">
        <f>EXP(-LN(2)/2)*CM186+(1-EXP(-LN(2)/2))/(LN(2)/2)*CG187*CJ187*VLOOKUP('Données projet'!$B$12,Paramètres!$A$1:$I$89,3,0)*0.475*44/12</f>
        <v>2.5769038446658158E-13</v>
      </c>
      <c r="CN187" s="22">
        <f t="shared" si="172"/>
        <v>10.337887775975403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204.15575418077316</v>
      </c>
      <c r="CZ187" s="59">
        <f t="shared" si="150"/>
        <v>473.73726605265045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3.7114149962009781</v>
      </c>
      <c r="DG187" s="21">
        <f>EXP(-LN(2)/25)*DG186+(1-EXP(-LN(2)/25))/(LN(2)/25)*Calculateur!DB187*Calculateur!DD187*VLOOKUP('Données projet'!$B$13,Paramètres!$A$1:$I$89,3,0)*0.475*44/12</f>
        <v>0.64201161690862452</v>
      </c>
      <c r="DH187" s="21">
        <f>EXP(-LN(2)/2)*DH186+(1-EXP(-LN(2)/2))/(LN(2)/2)*DB187*DE187*VLOOKUP('Données projet'!$B$13,Paramètres!$A$1:$I$89,3,0)*0.475*44/12</f>
        <v>3.564291173502434E-23</v>
      </c>
      <c r="DI187" s="22">
        <f t="shared" si="175"/>
        <v>4.3534266131096029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216.83230520434313</v>
      </c>
      <c r="T188" s="59">
        <f t="shared" si="142"/>
        <v>275.41891707278205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8.097064789067435</v>
      </c>
      <c r="AA188" s="21">
        <f>EXP(-LN(2)/25)*AA187+(1-EXP(-LN(2)/25))/(LN(2)/25)*Calculateur!V188*Calculateur!X188*VLOOKUP('Données projet'!$B$9,Paramètres!$A$1:$I$89,3,0)*0.475*44/12</f>
        <v>0.52064293633833636</v>
      </c>
      <c r="AB188" s="21">
        <f>EXP(-LN(2)/2)*AB187+(1-EXP(-LN(2)/2))/(LN(2)/2)*V188*Y188*VLOOKUP('Données projet'!$B$9,Paramètres!$A$1:$I$89,3,0)*0.475*44/12</f>
        <v>4.8634423612118218E-20</v>
      </c>
      <c r="AC188" s="22">
        <f t="shared" si="163"/>
        <v>8.6177077254057721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268.00000000000011</v>
      </c>
      <c r="AJ188" s="13">
        <f>AI188*VLOOKUP('Données projet'!$B$10,Paramètres!$A$1:$I$89,3,0)*VLOOKUP('Données projet'!$B$10,Paramètres!$A$1:$I$89,5,0)</f>
        <v>271.75200000000012</v>
      </c>
      <c r="AK188" s="13">
        <f t="shared" si="164"/>
        <v>65.220947824724988</v>
      </c>
      <c r="AL188" s="20">
        <f t="shared" si="165"/>
        <v>586.89455079472953</v>
      </c>
      <c r="AM188" s="59">
        <f t="shared" si="113"/>
        <v>880.2278841280629</v>
      </c>
      <c r="AN188" s="59">
        <f ca="1">AVERAGE(OFFSET($AM$3,0,0,'Données projet'!$E$10+1,1))-AVERAGE(OFFSET($H$3,0,0,'Données projet'!$E$10+1,1))</f>
        <v>292.42154837691379</v>
      </c>
      <c r="AO188" s="59">
        <f t="shared" si="144"/>
        <v>193.18009444354601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18.048190509935807</v>
      </c>
      <c r="AV188" s="21">
        <f>EXP(-LN(2)/25)*AV187+(1-EXP(-LN(2)/25))/(LN(2)/25)*Calculateur!AQ188*Calculateur!AS188*VLOOKUP('Données projet'!$B$10,Paramètres!$A$1:$I$89,3,0)*0.475*44/12</f>
        <v>0.45718485422042937</v>
      </c>
      <c r="AW188" s="21">
        <f>EXP(-LN(2)/2)*AW187+(1-EXP(-LN(2)/2))/(LN(2)/2)*AQ188*AT188*VLOOKUP('Données projet'!$B$10,Paramètres!$A$1:$I$89,3,0)*0.475*44/12</f>
        <v>1.9762691469509567E-10</v>
      </c>
      <c r="AX188" s="21">
        <f t="shared" si="166"/>
        <v>18.505375364353863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322</v>
      </c>
      <c r="BE188" s="13">
        <f>BD188*VLOOKUP('Données projet'!$B$11,Paramètres!$A$1:$I$89,3,0)*VLOOKUP('Données projet'!$B$11,Paramètres!$A$1:$I$89,5,0)</f>
        <v>306.41519999999997</v>
      </c>
      <c r="BF188" s="13">
        <f t="shared" si="167"/>
        <v>72.519675217547672</v>
      </c>
      <c r="BG188" s="20">
        <f t="shared" si="168"/>
        <v>659.9782410038955</v>
      </c>
      <c r="BH188" s="59">
        <f t="shared" si="116"/>
        <v>953.31157433722888</v>
      </c>
      <c r="BI188" s="59">
        <f ca="1">AVERAGE(OFFSET($BH$3,0,0,'Données projet'!$E$11+1,1))-AVERAGE(OFFSET($H$3,0,0,'Données projet'!$E$11+1,1))</f>
        <v>339.00921630742886</v>
      </c>
      <c r="BJ188" s="59">
        <f t="shared" si="146"/>
        <v>314.95763895978303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7.0473958931853034</v>
      </c>
      <c r="BQ188" s="21">
        <f>EXP(-LN(2)/25)*BQ187+(1-EXP(-LN(2)/25))/(LN(2)/25)*Calculateur!BL188*Calculateur!BN188*VLOOKUP('Données projet'!$B$11,Paramètres!$A$1:$I$89,3,0)*0.475*44/12</f>
        <v>0.17538175887626672</v>
      </c>
      <c r="BR188" s="21">
        <f>EXP(-LN(2)/2)*BR187+(1-EXP(-LN(2)/2))/(LN(2)/2)*BL188*BO188*VLOOKUP('Données projet'!$B$11,Paramètres!$A$1:$I$89,3,0)*0.475*44/12</f>
        <v>1.1745936586292115E-15</v>
      </c>
      <c r="BS188" s="22">
        <f t="shared" si="169"/>
        <v>7.2227776520615707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296.99999999999983</v>
      </c>
      <c r="BZ188" s="13">
        <f>BY188*VLOOKUP('Données projet'!$B$12,Paramètres!$A$1:$I$89,3,0)*VLOOKUP('Données projet'!$B$12,Paramètres!$A$1:$I$89,5,0)</f>
        <v>254.82599999999988</v>
      </c>
      <c r="CA188" s="13">
        <f t="shared" si="170"/>
        <v>61.61820333959453</v>
      </c>
      <c r="CB188" s="20">
        <f t="shared" si="171"/>
        <v>551.1403208164603</v>
      </c>
      <c r="CC188" s="59">
        <f t="shared" si="119"/>
        <v>844.47365414979367</v>
      </c>
      <c r="CD188" s="59">
        <f ca="1">AVERAGE(OFFSET($CC$3,0,0,'Données projet'!$E$12+1,1))-AVERAGE(OFFSET($H$3,0,0,'Données projet'!$E$12+1,1))</f>
        <v>204.6927427024138</v>
      </c>
      <c r="CE188" s="59">
        <f t="shared" si="148"/>
        <v>115.74231133146816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9.8544415748633014</v>
      </c>
      <c r="CL188" s="21">
        <f>EXP(-LN(2)/25)*CL187+(1-EXP(-LN(2)/25))/(LN(2)/25)*Calculateur!CG188*Calculateur!CI188*VLOOKUP('Données projet'!$B$12,Paramètres!$A$1:$I$89,3,0)*0.475*44/12</f>
        <v>0.27851148602750198</v>
      </c>
      <c r="CM188" s="21">
        <f>EXP(-LN(2)/2)*CM187+(1-EXP(-LN(2)/2))/(LN(2)/2)*CG188*CJ188*VLOOKUP('Données projet'!$B$12,Paramètres!$A$1:$I$89,3,0)*0.475*44/12</f>
        <v>1.8221461830288841E-13</v>
      </c>
      <c r="CN188" s="22">
        <f t="shared" si="172"/>
        <v>10.132953060890987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204.15575418077316</v>
      </c>
      <c r="CZ188" s="59">
        <f t="shared" si="150"/>
        <v>473.73726605265045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3.6386364118650989</v>
      </c>
      <c r="DG188" s="21">
        <f>EXP(-LN(2)/25)*DG187+(1-EXP(-LN(2)/25))/(LN(2)/25)*Calculateur!DB188*Calculateur!DD188*VLOOKUP('Données projet'!$B$13,Paramètres!$A$1:$I$89,3,0)*0.475*44/12</f>
        <v>0.62445577548233455</v>
      </c>
      <c r="DH188" s="21">
        <f>EXP(-LN(2)/2)*DH187+(1-EXP(-LN(2)/2))/(LN(2)/2)*DB188*DE188*VLOOKUP('Données projet'!$B$13,Paramètres!$A$1:$I$89,3,0)*0.475*44/12</f>
        <v>2.5203344589069284E-23</v>
      </c>
      <c r="DI188" s="22">
        <f t="shared" si="175"/>
        <v>4.2630921873474339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216.83230520434313</v>
      </c>
      <c r="T189" s="59">
        <f t="shared" si="142"/>
        <v>275.41891707278205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7.9382862872756856</v>
      </c>
      <c r="AA189" s="21">
        <f>EXP(-LN(2)/25)*AA188+(1-EXP(-LN(2)/25))/(LN(2)/25)*Calculateur!V189*Calculateur!X189*VLOOKUP('Données projet'!$B$9,Paramètres!$A$1:$I$89,3,0)*0.475*44/12</f>
        <v>0.50640592786474248</v>
      </c>
      <c r="AB189" s="21">
        <f>EXP(-LN(2)/2)*AB188+(1-EXP(-LN(2)/2))/(LN(2)/2)*V189*Y189*VLOOKUP('Données projet'!$B$9,Paramètres!$A$1:$I$89,3,0)*0.475*44/12</f>
        <v>3.4389730735227937E-20</v>
      </c>
      <c r="AC189" s="22">
        <f t="shared" si="163"/>
        <v>8.444692215140428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268.00000000000011</v>
      </c>
      <c r="AJ189" s="13">
        <f>AI189*VLOOKUP('Données projet'!$B$10,Paramètres!$A$1:$I$89,3,0)*VLOOKUP('Données projet'!$B$10,Paramètres!$A$1:$I$89,5,0)</f>
        <v>271.75200000000012</v>
      </c>
      <c r="AK189" s="13">
        <f t="shared" si="164"/>
        <v>65.220947824724988</v>
      </c>
      <c r="AL189" s="20">
        <f t="shared" si="165"/>
        <v>586.89455079472953</v>
      </c>
      <c r="AM189" s="59">
        <f t="shared" si="113"/>
        <v>880.2278841280629</v>
      </c>
      <c r="AN189" s="59">
        <f ca="1">AVERAGE(OFFSET($AM$3,0,0,'Données projet'!$E$10+1,1))-AVERAGE(OFFSET($H$3,0,0,'Données projet'!$E$10+1,1))</f>
        <v>292.42154837691379</v>
      </c>
      <c r="AO189" s="59">
        <f t="shared" si="144"/>
        <v>193.18009444354601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17.694276502345197</v>
      </c>
      <c r="AV189" s="21">
        <f>EXP(-LN(2)/25)*AV188+(1-EXP(-LN(2)/25))/(LN(2)/25)*Calculateur!AQ189*Calculateur!AS189*VLOOKUP('Données projet'!$B$10,Paramètres!$A$1:$I$89,3,0)*0.475*44/12</f>
        <v>0.44468311033946517</v>
      </c>
      <c r="AW189" s="21">
        <f>EXP(-LN(2)/2)*AW188+(1-EXP(-LN(2)/2))/(LN(2)/2)*AQ189*AT189*VLOOKUP('Données projet'!$B$10,Paramètres!$A$1:$I$89,3,0)*0.475*44/12</f>
        <v>1.3974333152587751E-10</v>
      </c>
      <c r="AX189" s="21">
        <f t="shared" si="166"/>
        <v>18.138959612824404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322</v>
      </c>
      <c r="BE189" s="13">
        <f>BD189*VLOOKUP('Données projet'!$B$11,Paramètres!$A$1:$I$89,3,0)*VLOOKUP('Données projet'!$B$11,Paramètres!$A$1:$I$89,5,0)</f>
        <v>306.41519999999997</v>
      </c>
      <c r="BF189" s="13">
        <f t="shared" si="167"/>
        <v>72.519675217547672</v>
      </c>
      <c r="BG189" s="20">
        <f t="shared" si="168"/>
        <v>659.9782410038955</v>
      </c>
      <c r="BH189" s="59">
        <f t="shared" si="116"/>
        <v>953.31157433722888</v>
      </c>
      <c r="BI189" s="59">
        <f ca="1">AVERAGE(OFFSET($BH$3,0,0,'Données projet'!$E$11+1,1))-AVERAGE(OFFSET($H$3,0,0,'Données projet'!$E$11+1,1))</f>
        <v>339.00921630742886</v>
      </c>
      <c r="BJ189" s="59">
        <f t="shared" si="146"/>
        <v>314.95763895978303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6.9092007582069943</v>
      </c>
      <c r="BQ189" s="21">
        <f>EXP(-LN(2)/25)*BQ188+(1-EXP(-LN(2)/25))/(LN(2)/25)*Calculateur!BL189*Calculateur!BN189*VLOOKUP('Données projet'!$B$11,Paramètres!$A$1:$I$89,3,0)*0.475*44/12</f>
        <v>0.17058593545686934</v>
      </c>
      <c r="BR189" s="21">
        <f>EXP(-LN(2)/2)*BR188+(1-EXP(-LN(2)/2))/(LN(2)/2)*BL189*BO189*VLOOKUP('Données projet'!$B$11,Paramètres!$A$1:$I$89,3,0)*0.475*44/12</f>
        <v>8.305631411554322E-16</v>
      </c>
      <c r="BS189" s="22">
        <f t="shared" si="169"/>
        <v>7.0797866936638645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296.99999999999983</v>
      </c>
      <c r="BZ189" s="13">
        <f>BY189*VLOOKUP('Données projet'!$B$12,Paramètres!$A$1:$I$89,3,0)*VLOOKUP('Données projet'!$B$12,Paramètres!$A$1:$I$89,5,0)</f>
        <v>254.82599999999988</v>
      </c>
      <c r="CA189" s="13">
        <f t="shared" si="170"/>
        <v>61.61820333959453</v>
      </c>
      <c r="CB189" s="20">
        <f t="shared" si="171"/>
        <v>551.1403208164603</v>
      </c>
      <c r="CC189" s="59">
        <f t="shared" si="119"/>
        <v>844.47365414979367</v>
      </c>
      <c r="CD189" s="59">
        <f ca="1">AVERAGE(OFFSET($CC$3,0,0,'Données projet'!$E$12+1,1))-AVERAGE(OFFSET($H$3,0,0,'Données projet'!$E$12+1,1))</f>
        <v>204.6927427024138</v>
      </c>
      <c r="CE189" s="59">
        <f t="shared" si="148"/>
        <v>115.74231133146816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9.6612019861960938</v>
      </c>
      <c r="CL189" s="21">
        <f>EXP(-LN(2)/25)*CL188+(1-EXP(-LN(2)/25))/(LN(2)/25)*Calculateur!CG189*Calculateur!CI189*VLOOKUP('Données projet'!$B$12,Paramètres!$A$1:$I$89,3,0)*0.475*44/12</f>
        <v>0.27089557479579746</v>
      </c>
      <c r="CM189" s="21">
        <f>EXP(-LN(2)/2)*CM188+(1-EXP(-LN(2)/2))/(LN(2)/2)*CG189*CJ189*VLOOKUP('Données projet'!$B$12,Paramètres!$A$1:$I$89,3,0)*0.475*44/12</f>
        <v>1.2884519223329079E-13</v>
      </c>
      <c r="CN189" s="22">
        <f t="shared" si="172"/>
        <v>9.9320975609920215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204.15575418077316</v>
      </c>
      <c r="CZ189" s="59">
        <f t="shared" si="150"/>
        <v>473.73726605265045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3.567284971177493</v>
      </c>
      <c r="DG189" s="21">
        <f>EXP(-LN(2)/25)*DG188+(1-EXP(-LN(2)/25))/(LN(2)/25)*Calculateur!DB189*Calculateur!DD189*VLOOKUP('Données projet'!$B$13,Paramètres!$A$1:$I$89,3,0)*0.475*44/12</f>
        <v>0.60737999946306809</v>
      </c>
      <c r="DH189" s="21">
        <f>EXP(-LN(2)/2)*DH188+(1-EXP(-LN(2)/2))/(LN(2)/2)*DB189*DE189*VLOOKUP('Données projet'!$B$13,Paramètres!$A$1:$I$89,3,0)*0.475*44/12</f>
        <v>1.782145586751217E-23</v>
      </c>
      <c r="DI189" s="22">
        <f t="shared" si="175"/>
        <v>4.1746649706405607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216.83230520434313</v>
      </c>
      <c r="T190" s="59">
        <f t="shared" si="142"/>
        <v>275.41891707278205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7.7826213350587494</v>
      </c>
      <c r="AA190" s="21">
        <f>EXP(-LN(2)/25)*AA189+(1-EXP(-LN(2)/25))/(LN(2)/25)*Calculateur!V190*Calculateur!X190*VLOOKUP('Données projet'!$B$9,Paramètres!$A$1:$I$89,3,0)*0.475*44/12</f>
        <v>0.49255823113655073</v>
      </c>
      <c r="AB190" s="21">
        <f>EXP(-LN(2)/2)*AB189+(1-EXP(-LN(2)/2))/(LN(2)/2)*V190*Y190*VLOOKUP('Données projet'!$B$9,Paramètres!$A$1:$I$89,3,0)*0.475*44/12</f>
        <v>2.4317211806059109E-20</v>
      </c>
      <c r="AC190" s="22">
        <f t="shared" si="163"/>
        <v>8.2751795661953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268.00000000000011</v>
      </c>
      <c r="AJ190" s="13">
        <f>AI190*VLOOKUP('Données projet'!$B$10,Paramètres!$A$1:$I$89,3,0)*VLOOKUP('Données projet'!$B$10,Paramètres!$A$1:$I$89,5,0)</f>
        <v>271.75200000000012</v>
      </c>
      <c r="AK190" s="13">
        <f t="shared" si="164"/>
        <v>65.220947824724988</v>
      </c>
      <c r="AL190" s="20">
        <f t="shared" si="165"/>
        <v>586.89455079472953</v>
      </c>
      <c r="AM190" s="59">
        <f t="shared" si="113"/>
        <v>880.2278841280629</v>
      </c>
      <c r="AN190" s="59">
        <f ca="1">AVERAGE(OFFSET($AM$3,0,0,'Données projet'!$E$10+1,1))-AVERAGE(OFFSET($H$3,0,0,'Données projet'!$E$10+1,1))</f>
        <v>292.42154837691379</v>
      </c>
      <c r="AO190" s="59">
        <f t="shared" si="144"/>
        <v>193.18009444354601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17.34730253257721</v>
      </c>
      <c r="AV190" s="21">
        <f>EXP(-LN(2)/25)*AV189+(1-EXP(-LN(2)/25))/(LN(2)/25)*Calculateur!AQ190*Calculateur!AS190*VLOOKUP('Données projet'!$B$10,Paramètres!$A$1:$I$89,3,0)*0.475*44/12</f>
        <v>0.43252322730236403</v>
      </c>
      <c r="AW190" s="21">
        <f>EXP(-LN(2)/2)*AW189+(1-EXP(-LN(2)/2))/(LN(2)/2)*AQ190*AT190*VLOOKUP('Données projet'!$B$10,Paramètres!$A$1:$I$89,3,0)*0.475*44/12</f>
        <v>9.8813457347547836E-11</v>
      </c>
      <c r="AX190" s="21">
        <f t="shared" si="166"/>
        <v>17.77982575997839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322</v>
      </c>
      <c r="BE190" s="13">
        <f>BD190*VLOOKUP('Données projet'!$B$11,Paramètres!$A$1:$I$89,3,0)*VLOOKUP('Données projet'!$B$11,Paramètres!$A$1:$I$89,5,0)</f>
        <v>306.41519999999997</v>
      </c>
      <c r="BF190" s="13">
        <f t="shared" si="167"/>
        <v>72.519675217547672</v>
      </c>
      <c r="BG190" s="20">
        <f t="shared" si="168"/>
        <v>659.9782410038955</v>
      </c>
      <c r="BH190" s="59">
        <f t="shared" si="116"/>
        <v>953.31157433722888</v>
      </c>
      <c r="BI190" s="59">
        <f ca="1">AVERAGE(OFFSET($BH$3,0,0,'Données projet'!$E$11+1,1))-AVERAGE(OFFSET($H$3,0,0,'Données projet'!$E$11+1,1))</f>
        <v>339.00921630742886</v>
      </c>
      <c r="BJ190" s="59">
        <f t="shared" si="146"/>
        <v>314.95763895978303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6.7737155455349001</v>
      </c>
      <c r="BQ190" s="21">
        <f>EXP(-LN(2)/25)*BQ189+(1-EXP(-LN(2)/25))/(LN(2)/25)*Calculateur!BL190*Calculateur!BN190*VLOOKUP('Données projet'!$B$11,Paramètres!$A$1:$I$89,3,0)*0.475*44/12</f>
        <v>0.16592125408107677</v>
      </c>
      <c r="BR190" s="21">
        <f>EXP(-LN(2)/2)*BR189+(1-EXP(-LN(2)/2))/(LN(2)/2)*BL190*BO190*VLOOKUP('Données projet'!$B$11,Paramètres!$A$1:$I$89,3,0)*0.475*44/12</f>
        <v>5.8729682931460577E-16</v>
      </c>
      <c r="BS190" s="22">
        <f t="shared" si="169"/>
        <v>6.939636799615978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296.99999999999983</v>
      </c>
      <c r="BZ190" s="13">
        <f>BY190*VLOOKUP('Données projet'!$B$12,Paramètres!$A$1:$I$89,3,0)*VLOOKUP('Données projet'!$B$12,Paramètres!$A$1:$I$89,5,0)</f>
        <v>254.82599999999988</v>
      </c>
      <c r="CA190" s="13">
        <f t="shared" si="170"/>
        <v>61.61820333959453</v>
      </c>
      <c r="CB190" s="20">
        <f t="shared" si="171"/>
        <v>551.1403208164603</v>
      </c>
      <c r="CC190" s="59">
        <f t="shared" si="119"/>
        <v>844.47365414979367</v>
      </c>
      <c r="CD190" s="59">
        <f ca="1">AVERAGE(OFFSET($CC$3,0,0,'Données projet'!$E$12+1,1))-AVERAGE(OFFSET($H$3,0,0,'Données projet'!$E$12+1,1))</f>
        <v>204.6927427024138</v>
      </c>
      <c r="CE190" s="59">
        <f t="shared" si="148"/>
        <v>115.74231133146816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9.4717517079981395</v>
      </c>
      <c r="CL190" s="21">
        <f>EXP(-LN(2)/25)*CL189+(1-EXP(-LN(2)/25))/(LN(2)/25)*Calculateur!CG190*Calculateur!CI190*VLOOKUP('Données projet'!$B$12,Paramètres!$A$1:$I$89,3,0)*0.475*44/12</f>
        <v>0.26348792105722724</v>
      </c>
      <c r="CM190" s="21">
        <f>EXP(-LN(2)/2)*CM189+(1-EXP(-LN(2)/2))/(LN(2)/2)*CG190*CJ190*VLOOKUP('Données projet'!$B$12,Paramètres!$A$1:$I$89,3,0)*0.475*44/12</f>
        <v>9.1107309151444205E-14</v>
      </c>
      <c r="CN190" s="22">
        <f t="shared" si="172"/>
        <v>9.7352396290554566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204.15575418077316</v>
      </c>
      <c r="CZ190" s="59">
        <f t="shared" si="150"/>
        <v>473.73726605265045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3.4973326887216896</v>
      </c>
      <c r="DG190" s="21">
        <f>EXP(-LN(2)/25)*DG189+(1-EXP(-LN(2)/25))/(LN(2)/25)*Calculateur!DB190*Calculateur!DD190*VLOOKUP('Données projet'!$B$13,Paramètres!$A$1:$I$89,3,0)*0.475*44/12</f>
        <v>0.59077116143702446</v>
      </c>
      <c r="DH190" s="21">
        <f>EXP(-LN(2)/2)*DH189+(1-EXP(-LN(2)/2))/(LN(2)/2)*DB190*DE190*VLOOKUP('Données projet'!$B$13,Paramètres!$A$1:$I$89,3,0)*0.475*44/12</f>
        <v>1.2601672294534642E-23</v>
      </c>
      <c r="DI190" s="22">
        <f t="shared" si="175"/>
        <v>4.0881038501587144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216.83230520434313</v>
      </c>
      <c r="T191" s="59">
        <f t="shared" si="142"/>
        <v>275.41891707278205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7.6300088776085415</v>
      </c>
      <c r="AA191" s="21">
        <f>EXP(-LN(2)/25)*AA190+(1-EXP(-LN(2)/25))/(LN(2)/25)*Calculateur!V191*Calculateur!X191*VLOOKUP('Données projet'!$B$9,Paramètres!$A$1:$I$89,3,0)*0.475*44/12</f>
        <v>0.47908920040361014</v>
      </c>
      <c r="AB191" s="21">
        <f>EXP(-LN(2)/2)*AB190+(1-EXP(-LN(2)/2))/(LN(2)/2)*V191*Y191*VLOOKUP('Données projet'!$B$9,Paramètres!$A$1:$I$89,3,0)*0.475*44/12</f>
        <v>1.7194865367613968E-20</v>
      </c>
      <c r="AC191" s="22">
        <f t="shared" si="163"/>
        <v>8.1090980780121509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268.00000000000011</v>
      </c>
      <c r="AJ191" s="13">
        <f>AI191*VLOOKUP('Données projet'!$B$10,Paramètres!$A$1:$I$89,3,0)*VLOOKUP('Données projet'!$B$10,Paramètres!$A$1:$I$89,5,0)</f>
        <v>271.75200000000012</v>
      </c>
      <c r="AK191" s="13">
        <f t="shared" si="164"/>
        <v>65.220947824724988</v>
      </c>
      <c r="AL191" s="20">
        <f t="shared" si="165"/>
        <v>586.89455079472953</v>
      </c>
      <c r="AM191" s="59">
        <f t="shared" si="113"/>
        <v>880.2278841280629</v>
      </c>
      <c r="AN191" s="59">
        <f ca="1">AVERAGE(OFFSET($AM$3,0,0,'Données projet'!$E$10+1,1))-AVERAGE(OFFSET($H$3,0,0,'Données projet'!$E$10+1,1))</f>
        <v>292.42154837691379</v>
      </c>
      <c r="AO191" s="59">
        <f t="shared" si="144"/>
        <v>193.18009444354601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17.007132510723146</v>
      </c>
      <c r="AV191" s="21">
        <f>EXP(-LN(2)/25)*AV190+(1-EXP(-LN(2)/25))/(LN(2)/25)*Calculateur!AQ191*Calculateur!AS191*VLOOKUP('Données projet'!$B$10,Paramètres!$A$1:$I$89,3,0)*0.475*44/12</f>
        <v>0.4206958569063729</v>
      </c>
      <c r="AW191" s="21">
        <f>EXP(-LN(2)/2)*AW190+(1-EXP(-LN(2)/2))/(LN(2)/2)*AQ191*AT191*VLOOKUP('Données projet'!$B$10,Paramètres!$A$1:$I$89,3,0)*0.475*44/12</f>
        <v>6.9871665762938753E-11</v>
      </c>
      <c r="AX191" s="21">
        <f t="shared" si="166"/>
        <v>17.427828367699391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322</v>
      </c>
      <c r="BE191" s="13">
        <f>BD191*VLOOKUP('Données projet'!$B$11,Paramètres!$A$1:$I$89,3,0)*VLOOKUP('Données projet'!$B$11,Paramètres!$A$1:$I$89,5,0)</f>
        <v>306.41519999999997</v>
      </c>
      <c r="BF191" s="13">
        <f t="shared" si="167"/>
        <v>72.519675217547672</v>
      </c>
      <c r="BG191" s="20">
        <f t="shared" si="168"/>
        <v>659.9782410038955</v>
      </c>
      <c r="BH191" s="59">
        <f t="shared" si="116"/>
        <v>953.31157433722888</v>
      </c>
      <c r="BI191" s="59">
        <f ca="1">AVERAGE(OFFSET($BH$3,0,0,'Données projet'!$E$11+1,1))-AVERAGE(OFFSET($H$3,0,0,'Données projet'!$E$11+1,1))</f>
        <v>339.00921630742886</v>
      </c>
      <c r="BJ191" s="59">
        <f t="shared" si="146"/>
        <v>314.95763895978303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6.6408871152454862</v>
      </c>
      <c r="BQ191" s="21">
        <f>EXP(-LN(2)/25)*BQ190+(1-EXP(-LN(2)/25))/(LN(2)/25)*Calculateur!BL191*Calculateur!BN191*VLOOKUP('Données projet'!$B$11,Paramètres!$A$1:$I$89,3,0)*0.475*44/12</f>
        <v>0.16138412866281018</v>
      </c>
      <c r="BR191" s="21">
        <f>EXP(-LN(2)/2)*BR190+(1-EXP(-LN(2)/2))/(LN(2)/2)*BL191*BO191*VLOOKUP('Données projet'!$B$11,Paramètres!$A$1:$I$89,3,0)*0.475*44/12</f>
        <v>4.152815705777161E-16</v>
      </c>
      <c r="BS191" s="22">
        <f t="shared" si="169"/>
        <v>6.8022712439082964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296.99999999999983</v>
      </c>
      <c r="BZ191" s="13">
        <f>BY191*VLOOKUP('Données projet'!$B$12,Paramètres!$A$1:$I$89,3,0)*VLOOKUP('Données projet'!$B$12,Paramètres!$A$1:$I$89,5,0)</f>
        <v>254.82599999999988</v>
      </c>
      <c r="CA191" s="13">
        <f t="shared" si="170"/>
        <v>61.61820333959453</v>
      </c>
      <c r="CB191" s="20">
        <f t="shared" si="171"/>
        <v>551.1403208164603</v>
      </c>
      <c r="CC191" s="59">
        <f t="shared" si="119"/>
        <v>844.47365414979367</v>
      </c>
      <c r="CD191" s="59">
        <f ca="1">AVERAGE(OFFSET($CC$3,0,0,'Données projet'!$E$12+1,1))-AVERAGE(OFFSET($H$3,0,0,'Données projet'!$E$12+1,1))</f>
        <v>204.6927427024138</v>
      </c>
      <c r="CE191" s="59">
        <f t="shared" si="148"/>
        <v>115.74231133146816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9.2860164342023861</v>
      </c>
      <c r="CL191" s="21">
        <f>EXP(-LN(2)/25)*CL190+(1-EXP(-LN(2)/25))/(LN(2)/25)*Calculateur!CG191*Calculateur!CI191*VLOOKUP('Données projet'!$B$12,Paramètres!$A$1:$I$89,3,0)*0.475*44/12</f>
        <v>0.25628282999968982</v>
      </c>
      <c r="CM191" s="21">
        <f>EXP(-LN(2)/2)*CM190+(1-EXP(-LN(2)/2))/(LN(2)/2)*CG191*CJ191*VLOOKUP('Données projet'!$B$12,Paramètres!$A$1:$I$89,3,0)*0.475*44/12</f>
        <v>6.4422596116645395E-14</v>
      </c>
      <c r="CN191" s="22">
        <f t="shared" si="172"/>
        <v>9.5422992642021391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204.15575418077316</v>
      </c>
      <c r="CZ191" s="59">
        <f t="shared" si="150"/>
        <v>473.73726605265045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3.4287521278581652</v>
      </c>
      <c r="DG191" s="21">
        <f>EXP(-LN(2)/25)*DG190+(1-EXP(-LN(2)/25))/(LN(2)/25)*Calculateur!DB191*Calculateur!DD191*VLOOKUP('Données projet'!$B$13,Paramètres!$A$1:$I$89,3,0)*0.475*44/12</f>
        <v>0.57461649296022388</v>
      </c>
      <c r="DH191" s="21">
        <f>EXP(-LN(2)/2)*DH190+(1-EXP(-LN(2)/2))/(LN(2)/2)*DB191*DE191*VLOOKUP('Données projet'!$B$13,Paramètres!$A$1:$I$89,3,0)*0.475*44/12</f>
        <v>8.9107279337560851E-24</v>
      </c>
      <c r="DI191" s="22">
        <f t="shared" si="175"/>
        <v>4.0033686208183887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216.83230520434313</v>
      </c>
      <c r="T192" s="59">
        <f t="shared" si="142"/>
        <v>275.41891707278205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7.4803890573645244</v>
      </c>
      <c r="AA192" s="21">
        <f>EXP(-LN(2)/25)*AA191+(1-EXP(-LN(2)/25))/(LN(2)/25)*Calculateur!V192*Calculateur!X192*VLOOKUP('Données projet'!$B$9,Paramètres!$A$1:$I$89,3,0)*0.475*44/12</f>
        <v>0.46598848102436735</v>
      </c>
      <c r="AB192" s="21">
        <f>EXP(-LN(2)/2)*AB191+(1-EXP(-LN(2)/2))/(LN(2)/2)*V192*Y192*VLOOKUP('Données projet'!$B$9,Paramètres!$A$1:$I$89,3,0)*0.475*44/12</f>
        <v>1.2158605903029555E-20</v>
      </c>
      <c r="AC192" s="22">
        <f t="shared" si="163"/>
        <v>7.9463775383888917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268.00000000000011</v>
      </c>
      <c r="AJ192" s="13">
        <f>AI192*VLOOKUP('Données projet'!$B$10,Paramètres!$A$1:$I$89,3,0)*VLOOKUP('Données projet'!$B$10,Paramètres!$A$1:$I$89,5,0)</f>
        <v>271.75200000000012</v>
      </c>
      <c r="AK192" s="13">
        <f t="shared" si="164"/>
        <v>65.220947824724988</v>
      </c>
      <c r="AL192" s="20">
        <f t="shared" si="165"/>
        <v>586.89455079472953</v>
      </c>
      <c r="AM192" s="59">
        <f t="shared" si="113"/>
        <v>880.2278841280629</v>
      </c>
      <c r="AN192" s="59">
        <f ca="1">AVERAGE(OFFSET($AM$3,0,0,'Données projet'!$E$10+1,1))-AVERAGE(OFFSET($H$3,0,0,'Données projet'!$E$10+1,1))</f>
        <v>292.42154837691379</v>
      </c>
      <c r="AO192" s="59">
        <f t="shared" si="144"/>
        <v>193.18009444354601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16.673633015514415</v>
      </c>
      <c r="AV192" s="21">
        <f>EXP(-LN(2)/25)*AV191+(1-EXP(-LN(2)/25))/(LN(2)/25)*Calculateur!AQ192*Calculateur!AS192*VLOOKUP('Données projet'!$B$10,Paramètres!$A$1:$I$89,3,0)*0.475*44/12</f>
        <v>0.40919190657583454</v>
      </c>
      <c r="AW192" s="21">
        <f>EXP(-LN(2)/2)*AW191+(1-EXP(-LN(2)/2))/(LN(2)/2)*AQ192*AT192*VLOOKUP('Données projet'!$B$10,Paramètres!$A$1:$I$89,3,0)*0.475*44/12</f>
        <v>4.9406728673773918E-11</v>
      </c>
      <c r="AX192" s="21">
        <f t="shared" si="166"/>
        <v>17.082824922139658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322</v>
      </c>
      <c r="BE192" s="13">
        <f>BD192*VLOOKUP('Données projet'!$B$11,Paramètres!$A$1:$I$89,3,0)*VLOOKUP('Données projet'!$B$11,Paramètres!$A$1:$I$89,5,0)</f>
        <v>306.41519999999997</v>
      </c>
      <c r="BF192" s="13">
        <f t="shared" si="167"/>
        <v>72.519675217547672</v>
      </c>
      <c r="BG192" s="20">
        <f t="shared" si="168"/>
        <v>659.9782410038955</v>
      </c>
      <c r="BH192" s="59">
        <f t="shared" si="116"/>
        <v>953.31157433722888</v>
      </c>
      <c r="BI192" s="59">
        <f ca="1">AVERAGE(OFFSET($BH$3,0,0,'Données projet'!$E$11+1,1))-AVERAGE(OFFSET($H$3,0,0,'Données projet'!$E$11+1,1))</f>
        <v>339.00921630742886</v>
      </c>
      <c r="BJ192" s="59">
        <f t="shared" si="146"/>
        <v>314.95763895978303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6.5106633694567044</v>
      </c>
      <c r="BQ192" s="21">
        <f>EXP(-LN(2)/25)*BQ191+(1-EXP(-LN(2)/25))/(LN(2)/25)*Calculateur!BL192*Calculateur!BN192*VLOOKUP('Données projet'!$B$11,Paramètres!$A$1:$I$89,3,0)*0.475*44/12</f>
        <v>0.15697107117770315</v>
      </c>
      <c r="BR192" s="21">
        <f>EXP(-LN(2)/2)*BR191+(1-EXP(-LN(2)/2))/(LN(2)/2)*BL192*BO192*VLOOKUP('Données projet'!$B$11,Paramètres!$A$1:$I$89,3,0)*0.475*44/12</f>
        <v>2.9364841465730289E-16</v>
      </c>
      <c r="BS192" s="22">
        <f t="shared" si="169"/>
        <v>6.6676344406344077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296.99999999999983</v>
      </c>
      <c r="BZ192" s="13">
        <f>BY192*VLOOKUP('Données projet'!$B$12,Paramètres!$A$1:$I$89,3,0)*VLOOKUP('Données projet'!$B$12,Paramètres!$A$1:$I$89,5,0)</f>
        <v>254.82599999999988</v>
      </c>
      <c r="CA192" s="13">
        <f t="shared" si="170"/>
        <v>61.61820333959453</v>
      </c>
      <c r="CB192" s="20">
        <f t="shared" si="171"/>
        <v>551.1403208164603</v>
      </c>
      <c r="CC192" s="59">
        <f t="shared" si="119"/>
        <v>844.47365414979367</v>
      </c>
      <c r="CD192" s="59">
        <f ca="1">AVERAGE(OFFSET($CC$3,0,0,'Données projet'!$E$12+1,1))-AVERAGE(OFFSET($H$3,0,0,'Données projet'!$E$12+1,1))</f>
        <v>204.6927427024138</v>
      </c>
      <c r="CE192" s="59">
        <f t="shared" si="148"/>
        <v>115.74231133146816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9.1039233158384381</v>
      </c>
      <c r="CL192" s="21">
        <f>EXP(-LN(2)/25)*CL191+(1-EXP(-LN(2)/25))/(LN(2)/25)*Calculateur!CG192*Calculateur!CI192*VLOOKUP('Données projet'!$B$12,Paramètres!$A$1:$I$89,3,0)*0.475*44/12</f>
        <v>0.24927476253602002</v>
      </c>
      <c r="CM192" s="21">
        <f>EXP(-LN(2)/2)*CM191+(1-EXP(-LN(2)/2))/(LN(2)/2)*CG192*CJ192*VLOOKUP('Données projet'!$B$12,Paramètres!$A$1:$I$89,3,0)*0.475*44/12</f>
        <v>4.5553654575722103E-14</v>
      </c>
      <c r="CN192" s="22">
        <f t="shared" si="172"/>
        <v>9.3531980783745041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204.15575418077316</v>
      </c>
      <c r="CZ192" s="59">
        <f t="shared" si="150"/>
        <v>473.73726605265045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3.3615163899631626</v>
      </c>
      <c r="DG192" s="21">
        <f>EXP(-LN(2)/25)*DG191+(1-EXP(-LN(2)/25))/(LN(2)/25)*Calculateur!DB192*Calculateur!DD192*VLOOKUP('Données projet'!$B$13,Paramètres!$A$1:$I$89,3,0)*0.475*44/12</f>
        <v>0.55890357474245844</v>
      </c>
      <c r="DH192" s="21">
        <f>EXP(-LN(2)/2)*DH191+(1-EXP(-LN(2)/2))/(LN(2)/2)*DB192*DE192*VLOOKUP('Données projet'!$B$13,Paramètres!$A$1:$I$89,3,0)*0.475*44/12</f>
        <v>6.3008361472673209E-24</v>
      </c>
      <c r="DI192" s="22">
        <f t="shared" si="175"/>
        <v>3.920419964705621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216.83230520434313</v>
      </c>
      <c r="T193" s="59">
        <f t="shared" si="142"/>
        <v>275.41891707278205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7.3337031905364132</v>
      </c>
      <c r="AA193" s="21">
        <f>EXP(-LN(2)/25)*AA192+(1-EXP(-LN(2)/25))/(LN(2)/25)*Calculateur!V193*Calculateur!X193*VLOOKUP('Données projet'!$B$9,Paramètres!$A$1:$I$89,3,0)*0.475*44/12</f>
        <v>0.45324600150548683</v>
      </c>
      <c r="AB193" s="21">
        <f>EXP(-LN(2)/2)*AB192+(1-EXP(-LN(2)/2))/(LN(2)/2)*V193*Y193*VLOOKUP('Données projet'!$B$9,Paramètres!$A$1:$I$89,3,0)*0.475*44/12</f>
        <v>8.5974326838069842E-21</v>
      </c>
      <c r="AC193" s="22">
        <f t="shared" si="163"/>
        <v>7.7869491920418996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268.00000000000011</v>
      </c>
      <c r="AJ193" s="13">
        <f>AI193*VLOOKUP('Données projet'!$B$10,Paramètres!$A$1:$I$89,3,0)*VLOOKUP('Données projet'!$B$10,Paramètres!$A$1:$I$89,5,0)</f>
        <v>271.75200000000012</v>
      </c>
      <c r="AK193" s="13">
        <f t="shared" si="164"/>
        <v>65.220947824724988</v>
      </c>
      <c r="AL193" s="20">
        <f t="shared" si="165"/>
        <v>586.89455079472953</v>
      </c>
      <c r="AM193" s="59">
        <f t="shared" si="113"/>
        <v>880.2278841280629</v>
      </c>
      <c r="AN193" s="59">
        <f ca="1">AVERAGE(OFFSET($AM$3,0,0,'Données projet'!$E$10+1,1))-AVERAGE(OFFSET($H$3,0,0,'Données projet'!$E$10+1,1))</f>
        <v>292.42154837691379</v>
      </c>
      <c r="AO193" s="59">
        <f t="shared" si="144"/>
        <v>193.18009444354601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16.346673241992121</v>
      </c>
      <c r="AV193" s="21">
        <f>EXP(-LN(2)/25)*AV192+(1-EXP(-LN(2)/25))/(LN(2)/25)*Calculateur!AQ193*Calculateur!AS193*VLOOKUP('Données projet'!$B$10,Paramètres!$A$1:$I$89,3,0)*0.475*44/12</f>
        <v>0.39800253237205119</v>
      </c>
      <c r="AW193" s="21">
        <f>EXP(-LN(2)/2)*AW192+(1-EXP(-LN(2)/2))/(LN(2)/2)*AQ193*AT193*VLOOKUP('Données projet'!$B$10,Paramètres!$A$1:$I$89,3,0)*0.475*44/12</f>
        <v>3.4935832881469377E-11</v>
      </c>
      <c r="AX193" s="21">
        <f t="shared" si="166"/>
        <v>16.744675774399109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322</v>
      </c>
      <c r="BE193" s="13">
        <f>BD193*VLOOKUP('Données projet'!$B$11,Paramètres!$A$1:$I$89,3,0)*VLOOKUP('Données projet'!$B$11,Paramètres!$A$1:$I$89,5,0)</f>
        <v>306.41519999999997</v>
      </c>
      <c r="BF193" s="13">
        <f t="shared" si="167"/>
        <v>72.519675217547672</v>
      </c>
      <c r="BG193" s="20">
        <f t="shared" si="168"/>
        <v>659.9782410038955</v>
      </c>
      <c r="BH193" s="59">
        <f t="shared" si="116"/>
        <v>953.31157433722888</v>
      </c>
      <c r="BI193" s="59">
        <f ca="1">AVERAGE(OFFSET($BH$3,0,0,'Données projet'!$E$11+1,1))-AVERAGE(OFFSET($H$3,0,0,'Données projet'!$E$11+1,1))</f>
        <v>339.00921630742886</v>
      </c>
      <c r="BJ193" s="59">
        <f t="shared" si="146"/>
        <v>314.95763895978303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6.3829932318941989</v>
      </c>
      <c r="BQ193" s="21">
        <f>EXP(-LN(2)/25)*BQ192+(1-EXP(-LN(2)/25))/(LN(2)/25)*Calculateur!BL193*Calculateur!BN193*VLOOKUP('Données projet'!$B$11,Paramètres!$A$1:$I$89,3,0)*0.475*44/12</f>
        <v>0.15267868898159898</v>
      </c>
      <c r="BR193" s="21">
        <f>EXP(-LN(2)/2)*BR192+(1-EXP(-LN(2)/2))/(LN(2)/2)*BL193*BO193*VLOOKUP('Données projet'!$B$11,Paramètres!$A$1:$I$89,3,0)*0.475*44/12</f>
        <v>2.0764078528885805E-16</v>
      </c>
      <c r="BS193" s="22">
        <f t="shared" si="169"/>
        <v>6.5356719208757976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296.99999999999983</v>
      </c>
      <c r="BZ193" s="13">
        <f>BY193*VLOOKUP('Données projet'!$B$12,Paramètres!$A$1:$I$89,3,0)*VLOOKUP('Données projet'!$B$12,Paramètres!$A$1:$I$89,5,0)</f>
        <v>254.82599999999988</v>
      </c>
      <c r="CA193" s="13">
        <f t="shared" si="170"/>
        <v>61.61820333959453</v>
      </c>
      <c r="CB193" s="20">
        <f t="shared" si="171"/>
        <v>551.1403208164603</v>
      </c>
      <c r="CC193" s="59">
        <f t="shared" si="119"/>
        <v>844.47365414979367</v>
      </c>
      <c r="CD193" s="59">
        <f ca="1">AVERAGE(OFFSET($CC$3,0,0,'Données projet'!$E$12+1,1))-AVERAGE(OFFSET($H$3,0,0,'Données projet'!$E$12+1,1))</f>
        <v>204.6927427024138</v>
      </c>
      <c r="CE193" s="59">
        <f t="shared" si="148"/>
        <v>115.74231133146816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8.9254009324597714</v>
      </c>
      <c r="CL193" s="21">
        <f>EXP(-LN(2)/25)*CL192+(1-EXP(-LN(2)/25))/(LN(2)/25)*Calculateur!CG193*Calculateur!CI193*VLOOKUP('Données projet'!$B$12,Paramètres!$A$1:$I$89,3,0)*0.475*44/12</f>
        <v>0.24245833104568251</v>
      </c>
      <c r="CM193" s="21">
        <f>EXP(-LN(2)/2)*CM192+(1-EXP(-LN(2)/2))/(LN(2)/2)*CG193*CJ193*VLOOKUP('Données projet'!$B$12,Paramètres!$A$1:$I$89,3,0)*0.475*44/12</f>
        <v>3.2211298058322698E-14</v>
      </c>
      <c r="CN193" s="22">
        <f t="shared" si="172"/>
        <v>9.1678592635054859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204.15575418077316</v>
      </c>
      <c r="CZ193" s="59">
        <f t="shared" si="150"/>
        <v>473.73726605265045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3.2955991038785304</v>
      </c>
      <c r="DG193" s="21">
        <f>EXP(-LN(2)/25)*DG192+(1-EXP(-LN(2)/25))/(LN(2)/25)*Calculateur!DB193*Calculateur!DD193*VLOOKUP('Données projet'!$B$13,Paramètres!$A$1:$I$89,3,0)*0.475*44/12</f>
        <v>0.54362032709966435</v>
      </c>
      <c r="DH193" s="21">
        <f>EXP(-LN(2)/2)*DH192+(1-EXP(-LN(2)/2))/(LN(2)/2)*DB193*DE193*VLOOKUP('Données projet'!$B$13,Paramètres!$A$1:$I$89,3,0)*0.475*44/12</f>
        <v>4.4553639668780426E-24</v>
      </c>
      <c r="DI193" s="22">
        <f t="shared" si="175"/>
        <v>3.8392194309781948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216.83230520434313</v>
      </c>
      <c r="T194" s="59">
        <f t="shared" si="142"/>
        <v>275.41891707278205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7.1898937440872563</v>
      </c>
      <c r="AA194" s="21">
        <f>EXP(-LN(2)/25)*AA193+(1-EXP(-LN(2)/25))/(LN(2)/25)*Calculateur!V194*Calculateur!X194*VLOOKUP('Données projet'!$B$9,Paramètres!$A$1:$I$89,3,0)*0.475*44/12</f>
        <v>0.44085196575914798</v>
      </c>
      <c r="AB194" s="21">
        <f>EXP(-LN(2)/2)*AB193+(1-EXP(-LN(2)/2))/(LN(2)/2)*V194*Y194*VLOOKUP('Données projet'!$B$9,Paramètres!$A$1:$I$89,3,0)*0.475*44/12</f>
        <v>6.0793029515147773E-21</v>
      </c>
      <c r="AC194" s="22">
        <f t="shared" si="163"/>
        <v>7.630745709846404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268.00000000000011</v>
      </c>
      <c r="AJ194" s="13">
        <f>AI194*VLOOKUP('Données projet'!$B$10,Paramètres!$A$1:$I$89,3,0)*VLOOKUP('Données projet'!$B$10,Paramètres!$A$1:$I$89,5,0)</f>
        <v>271.75200000000012</v>
      </c>
      <c r="AK194" s="13">
        <f t="shared" si="164"/>
        <v>65.220947824724988</v>
      </c>
      <c r="AL194" s="20">
        <f t="shared" si="165"/>
        <v>586.89455079472953</v>
      </c>
      <c r="AM194" s="59">
        <f t="shared" si="113"/>
        <v>880.2278841280629</v>
      </c>
      <c r="AN194" s="59">
        <f ca="1">AVERAGE(OFFSET($AM$3,0,0,'Données projet'!$E$10+1,1))-AVERAGE(OFFSET($H$3,0,0,'Données projet'!$E$10+1,1))</f>
        <v>292.42154837691379</v>
      </c>
      <c r="AO194" s="59">
        <f t="shared" si="144"/>
        <v>193.18009444354601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16.026124950202831</v>
      </c>
      <c r="AV194" s="21">
        <f>EXP(-LN(2)/25)*AV193+(1-EXP(-LN(2)/25))/(LN(2)/25)*Calculateur!AQ194*Calculateur!AS194*VLOOKUP('Données projet'!$B$10,Paramètres!$A$1:$I$89,3,0)*0.475*44/12</f>
        <v>0.38711913219429389</v>
      </c>
      <c r="AW194" s="21">
        <f>EXP(-LN(2)/2)*AW193+(1-EXP(-LN(2)/2))/(LN(2)/2)*AQ194*AT194*VLOOKUP('Données projet'!$B$10,Paramètres!$A$1:$I$89,3,0)*0.475*44/12</f>
        <v>2.4703364336886959E-11</v>
      </c>
      <c r="AX194" s="21">
        <f t="shared" si="166"/>
        <v>16.413244082421826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322</v>
      </c>
      <c r="BE194" s="13">
        <f>BD194*VLOOKUP('Données projet'!$B$11,Paramètres!$A$1:$I$89,3,0)*VLOOKUP('Données projet'!$B$11,Paramètres!$A$1:$I$89,5,0)</f>
        <v>306.41519999999997</v>
      </c>
      <c r="BF194" s="13">
        <f t="shared" si="167"/>
        <v>72.519675217547672</v>
      </c>
      <c r="BG194" s="20">
        <f t="shared" si="168"/>
        <v>659.9782410038955</v>
      </c>
      <c r="BH194" s="59">
        <f t="shared" si="116"/>
        <v>953.31157433722888</v>
      </c>
      <c r="BI194" s="59">
        <f ca="1">AVERAGE(OFFSET($BH$3,0,0,'Données projet'!$E$11+1,1))-AVERAGE(OFFSET($H$3,0,0,'Données projet'!$E$11+1,1))</f>
        <v>339.00921630742886</v>
      </c>
      <c r="BJ194" s="59">
        <f t="shared" si="146"/>
        <v>314.95763895978303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6.2578266278581998</v>
      </c>
      <c r="BQ194" s="21">
        <f>EXP(-LN(2)/25)*BQ193+(1-EXP(-LN(2)/25))/(LN(2)/25)*Calculateur!BL194*Calculateur!BN194*VLOOKUP('Données projet'!$B$11,Paramètres!$A$1:$I$89,3,0)*0.475*44/12</f>
        <v>0.14850368220237384</v>
      </c>
      <c r="BR194" s="21">
        <f>EXP(-LN(2)/2)*BR193+(1-EXP(-LN(2)/2))/(LN(2)/2)*BL194*BO194*VLOOKUP('Données projet'!$B$11,Paramètres!$A$1:$I$89,3,0)*0.475*44/12</f>
        <v>1.4682420732865144E-16</v>
      </c>
      <c r="BS194" s="22">
        <f t="shared" si="169"/>
        <v>6.4063303100605733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296.99999999999983</v>
      </c>
      <c r="BZ194" s="13">
        <f>BY194*VLOOKUP('Données projet'!$B$12,Paramètres!$A$1:$I$89,3,0)*VLOOKUP('Données projet'!$B$12,Paramètres!$A$1:$I$89,5,0)</f>
        <v>254.82599999999988</v>
      </c>
      <c r="CA194" s="13">
        <f t="shared" si="170"/>
        <v>61.61820333959453</v>
      </c>
      <c r="CB194" s="20">
        <f t="shared" si="171"/>
        <v>551.1403208164603</v>
      </c>
      <c r="CC194" s="59">
        <f t="shared" si="119"/>
        <v>844.47365414979367</v>
      </c>
      <c r="CD194" s="59">
        <f ca="1">AVERAGE(OFFSET($CC$3,0,0,'Données projet'!$E$12+1,1))-AVERAGE(OFFSET($H$3,0,0,'Données projet'!$E$12+1,1))</f>
        <v>204.6927427024138</v>
      </c>
      <c r="CE194" s="59">
        <f t="shared" si="148"/>
        <v>115.74231133146816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8.7503792641312579</v>
      </c>
      <c r="CL194" s="21">
        <f>EXP(-LN(2)/25)*CL193+(1-EXP(-LN(2)/25))/(LN(2)/25)*Calculateur!CG194*Calculateur!CI194*VLOOKUP('Données projet'!$B$12,Paramètres!$A$1:$I$89,3,0)*0.475*44/12</f>
        <v>0.23582829523290885</v>
      </c>
      <c r="CM194" s="21">
        <f>EXP(-LN(2)/2)*CM193+(1-EXP(-LN(2)/2))/(LN(2)/2)*CG194*CJ194*VLOOKUP('Données projet'!$B$12,Paramètres!$A$1:$I$89,3,0)*0.475*44/12</f>
        <v>2.2776827287861051E-14</v>
      </c>
      <c r="CN194" s="22">
        <f t="shared" si="172"/>
        <v>8.986207559364189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204.15575418077316</v>
      </c>
      <c r="CZ194" s="59">
        <f t="shared" si="150"/>
        <v>473.73726605265045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3.230974415568443</v>
      </c>
      <c r="DG194" s="21">
        <f>EXP(-LN(2)/25)*DG193+(1-EXP(-LN(2)/25))/(LN(2)/25)*Calculateur!DB194*Calculateur!DD194*VLOOKUP('Données projet'!$B$13,Paramètres!$A$1:$I$89,3,0)*0.475*44/12</f>
        <v>0.52875500066737346</v>
      </c>
      <c r="DH194" s="21">
        <f>EXP(-LN(2)/2)*DH193+(1-EXP(-LN(2)/2))/(LN(2)/2)*DB194*DE194*VLOOKUP('Données projet'!$B$13,Paramètres!$A$1:$I$89,3,0)*0.475*44/12</f>
        <v>3.1504180736336604E-24</v>
      </c>
      <c r="DI194" s="22">
        <f t="shared" si="175"/>
        <v>3.7597294162358166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216.83230520434313</v>
      </c>
      <c r="T195" s="59">
        <f t="shared" si="142"/>
        <v>275.41891707278205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7.048904313167867</v>
      </c>
      <c r="AA195" s="21">
        <f>EXP(-LN(2)/25)*AA194+(1-EXP(-LN(2)/25))/(LN(2)/25)*Calculateur!V195*Calculateur!X195*VLOOKUP('Données projet'!$B$9,Paramètres!$A$1:$I$89,3,0)*0.475*44/12</f>
        <v>0.42879684557206676</v>
      </c>
      <c r="AB195" s="21">
        <f>EXP(-LN(2)/2)*AB194+(1-EXP(-LN(2)/2))/(LN(2)/2)*V195*Y195*VLOOKUP('Données projet'!$B$9,Paramètres!$A$1:$I$89,3,0)*0.475*44/12</f>
        <v>4.2987163419034921E-21</v>
      </c>
      <c r="AC195" s="22">
        <f t="shared" si="163"/>
        <v>7.4777011587399338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268.00000000000011</v>
      </c>
      <c r="AJ195" s="13">
        <f>AI195*VLOOKUP('Données projet'!$B$10,Paramètres!$A$1:$I$89,3,0)*VLOOKUP('Données projet'!$B$10,Paramètres!$A$1:$I$89,5,0)</f>
        <v>271.75200000000012</v>
      </c>
      <c r="AK195" s="13">
        <f t="shared" si="164"/>
        <v>65.220947824724988</v>
      </c>
      <c r="AL195" s="20">
        <f t="shared" si="165"/>
        <v>586.89455079472953</v>
      </c>
      <c r="AM195" s="59">
        <f t="shared" si="113"/>
        <v>880.2278841280629</v>
      </c>
      <c r="AN195" s="59">
        <f ca="1">AVERAGE(OFFSET($AM$3,0,0,'Données projet'!$E$10+1,1))-AVERAGE(OFFSET($H$3,0,0,'Données projet'!$E$10+1,1))</f>
        <v>292.42154837691379</v>
      </c>
      <c r="AO195" s="59">
        <f t="shared" si="144"/>
        <v>193.18009444354601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15.711862414900375</v>
      </c>
      <c r="AV195" s="21">
        <f>EXP(-LN(2)/25)*AV194+(1-EXP(-LN(2)/25))/(LN(2)/25)*Calculateur!AQ195*Calculateur!AS195*VLOOKUP('Données projet'!$B$10,Paramètres!$A$1:$I$89,3,0)*0.475*44/12</f>
        <v>0.37653333916673054</v>
      </c>
      <c r="AW195" s="21">
        <f>EXP(-LN(2)/2)*AW194+(1-EXP(-LN(2)/2))/(LN(2)/2)*AQ195*AT195*VLOOKUP('Données projet'!$B$10,Paramètres!$A$1:$I$89,3,0)*0.475*44/12</f>
        <v>1.7467916440734688E-11</v>
      </c>
      <c r="AX195" s="21">
        <f t="shared" si="166"/>
        <v>16.088395754084576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322</v>
      </c>
      <c r="BE195" s="13">
        <f>BD195*VLOOKUP('Données projet'!$B$11,Paramètres!$A$1:$I$89,3,0)*VLOOKUP('Données projet'!$B$11,Paramètres!$A$1:$I$89,5,0)</f>
        <v>306.41519999999997</v>
      </c>
      <c r="BF195" s="13">
        <f t="shared" si="167"/>
        <v>72.519675217547672</v>
      </c>
      <c r="BG195" s="20">
        <f t="shared" si="168"/>
        <v>659.9782410038955</v>
      </c>
      <c r="BH195" s="59">
        <f t="shared" si="116"/>
        <v>953.31157433722888</v>
      </c>
      <c r="BI195" s="59">
        <f ca="1">AVERAGE(OFFSET($BH$3,0,0,'Données projet'!$E$11+1,1))-AVERAGE(OFFSET($H$3,0,0,'Données projet'!$E$11+1,1))</f>
        <v>339.00921630742886</v>
      </c>
      <c r="BJ195" s="59">
        <f t="shared" si="146"/>
        <v>314.95763895978303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6.135114464583256</v>
      </c>
      <c r="BQ195" s="21">
        <f>EXP(-LN(2)/25)*BQ194+(1-EXP(-LN(2)/25))/(LN(2)/25)*Calculateur!BL195*Calculateur!BN195*VLOOKUP('Données projet'!$B$11,Paramètres!$A$1:$I$89,3,0)*0.475*44/12</f>
        <v>0.14444284120308068</v>
      </c>
      <c r="BR195" s="21">
        <f>EXP(-LN(2)/2)*BR194+(1-EXP(-LN(2)/2))/(LN(2)/2)*BL195*BO195*VLOOKUP('Données projet'!$B$11,Paramètres!$A$1:$I$89,3,0)*0.475*44/12</f>
        <v>1.0382039264442902E-16</v>
      </c>
      <c r="BS195" s="22">
        <f t="shared" si="169"/>
        <v>6.2795573057863363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296.99999999999983</v>
      </c>
      <c r="BZ195" s="13">
        <f>BY195*VLOOKUP('Données projet'!$B$12,Paramètres!$A$1:$I$89,3,0)*VLOOKUP('Données projet'!$B$12,Paramètres!$A$1:$I$89,5,0)</f>
        <v>254.82599999999988</v>
      </c>
      <c r="CA195" s="13">
        <f t="shared" si="170"/>
        <v>61.61820333959453</v>
      </c>
      <c r="CB195" s="20">
        <f t="shared" si="171"/>
        <v>551.1403208164603</v>
      </c>
      <c r="CC195" s="59">
        <f t="shared" si="119"/>
        <v>844.47365414979367</v>
      </c>
      <c r="CD195" s="59">
        <f ca="1">AVERAGE(OFFSET($CC$3,0,0,'Données projet'!$E$12+1,1))-AVERAGE(OFFSET($H$3,0,0,'Données projet'!$E$12+1,1))</f>
        <v>204.6927427024138</v>
      </c>
      <c r="CE195" s="59">
        <f t="shared" si="148"/>
        <v>115.74231133146816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8.5787896639659902</v>
      </c>
      <c r="CL195" s="21">
        <f>EXP(-LN(2)/25)*CL194+(1-EXP(-LN(2)/25))/(LN(2)/25)*Calculateur!CG195*Calculateur!CI195*VLOOKUP('Données projet'!$B$12,Paramètres!$A$1:$I$89,3,0)*0.475*44/12</f>
        <v>0.22937955809809391</v>
      </c>
      <c r="CM195" s="21">
        <f>EXP(-LN(2)/2)*CM194+(1-EXP(-LN(2)/2))/(LN(2)/2)*CG195*CJ195*VLOOKUP('Données projet'!$B$12,Paramètres!$A$1:$I$89,3,0)*0.475*44/12</f>
        <v>1.6105649029161349E-14</v>
      </c>
      <c r="CN195" s="22">
        <f t="shared" si="172"/>
        <v>8.8081692220640999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204.15575418077316</v>
      </c>
      <c r="CZ195" s="59">
        <f t="shared" si="150"/>
        <v>473.73726605265045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3.1676169779789487</v>
      </c>
      <c r="DG195" s="21">
        <f>EXP(-LN(2)/25)*DG194+(1-EXP(-LN(2)/25))/(LN(2)/25)*Calculateur!DB195*Calculateur!DD195*VLOOKUP('Données projet'!$B$13,Paramètres!$A$1:$I$89,3,0)*0.475*44/12</f>
        <v>0.51429616736810713</v>
      </c>
      <c r="DH195" s="21">
        <f>EXP(-LN(2)/2)*DH194+(1-EXP(-LN(2)/2))/(LN(2)/2)*DB195*DE195*VLOOKUP('Données projet'!$B$13,Paramètres!$A$1:$I$89,3,0)*0.475*44/12</f>
        <v>2.2276819834390213E-24</v>
      </c>
      <c r="DI195" s="22">
        <f t="shared" si="175"/>
        <v>3.6819131453470559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216.83230520434313</v>
      </c>
      <c r="T196" s="59">
        <f t="shared" si="142"/>
        <v>275.41891707278205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6.9106795989937453</v>
      </c>
      <c r="AA196" s="21">
        <f>EXP(-LN(2)/25)*AA195+(1-EXP(-LN(2)/25))/(LN(2)/25)*Calculateur!V196*Calculateur!X196*VLOOKUP('Données projet'!$B$9,Paramètres!$A$1:$I$89,3,0)*0.475*44/12</f>
        <v>0.41707137328045252</v>
      </c>
      <c r="AB196" s="21">
        <f>EXP(-LN(2)/2)*AB195+(1-EXP(-LN(2)/2))/(LN(2)/2)*V196*Y196*VLOOKUP('Données projet'!$B$9,Paramètres!$A$1:$I$89,3,0)*0.475*44/12</f>
        <v>3.0396514757573886E-21</v>
      </c>
      <c r="AC196" s="22">
        <f t="shared" si="163"/>
        <v>7.327750972274198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268.00000000000011</v>
      </c>
      <c r="AJ196" s="13">
        <f>AI196*VLOOKUP('Données projet'!$B$10,Paramètres!$A$1:$I$89,3,0)*VLOOKUP('Données projet'!$B$10,Paramètres!$A$1:$I$89,5,0)</f>
        <v>271.75200000000012</v>
      </c>
      <c r="AK196" s="13">
        <f t="shared" si="164"/>
        <v>65.220947824724988</v>
      </c>
      <c r="AL196" s="20">
        <f t="shared" si="165"/>
        <v>586.89455079472953</v>
      </c>
      <c r="AM196" s="59">
        <f t="shared" ref="AM196:AM203" si="193">AL196+(AD196+AE196)*44/12</f>
        <v>880.2278841280629</v>
      </c>
      <c r="AN196" s="59">
        <f ca="1">AVERAGE(OFFSET($AM$3,0,0,'Données projet'!$E$10+1,1))-AVERAGE(OFFSET($H$3,0,0,'Données projet'!$E$10+1,1))</f>
        <v>292.42154837691379</v>
      </c>
      <c r="AO196" s="59">
        <f t="shared" si="144"/>
        <v>193.18009444354601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15.403762376233981</v>
      </c>
      <c r="AV196" s="21">
        <f>EXP(-LN(2)/25)*AV195+(1-EXP(-LN(2)/25))/(LN(2)/25)*Calculateur!AQ196*Calculateur!AS196*VLOOKUP('Données projet'!$B$10,Paramètres!$A$1:$I$89,3,0)*0.475*44/12</f>
        <v>0.36623701520618857</v>
      </c>
      <c r="AW196" s="21">
        <f>EXP(-LN(2)/2)*AW195+(1-EXP(-LN(2)/2))/(LN(2)/2)*AQ196*AT196*VLOOKUP('Données projet'!$B$10,Paramètres!$A$1:$I$89,3,0)*0.475*44/12</f>
        <v>1.2351682168443479E-11</v>
      </c>
      <c r="AX196" s="21">
        <f t="shared" si="166"/>
        <v>15.76999939145252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322</v>
      </c>
      <c r="BE196" s="13">
        <f>BD196*VLOOKUP('Données projet'!$B$11,Paramètres!$A$1:$I$89,3,0)*VLOOKUP('Données projet'!$B$11,Paramètres!$A$1:$I$89,5,0)</f>
        <v>306.41519999999997</v>
      </c>
      <c r="BF196" s="13">
        <f t="shared" si="167"/>
        <v>72.519675217547672</v>
      </c>
      <c r="BG196" s="20">
        <f t="shared" si="168"/>
        <v>659.9782410038955</v>
      </c>
      <c r="BH196" s="59">
        <f t="shared" ref="BH196:BH203" si="194">BG196+(AY196+AZ196)*44/12</f>
        <v>953.31157433722888</v>
      </c>
      <c r="BI196" s="59">
        <f ca="1">AVERAGE(OFFSET($BH$3,0,0,'Données projet'!$E$11+1,1))-AVERAGE(OFFSET($H$3,0,0,'Données projet'!$E$11+1,1))</f>
        <v>339.00921630742886</v>
      </c>
      <c r="BJ196" s="59">
        <f t="shared" si="146"/>
        <v>314.95763895978303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6.0148086119831046</v>
      </c>
      <c r="BQ196" s="21">
        <f>EXP(-LN(2)/25)*BQ195+(1-EXP(-LN(2)/25))/(LN(2)/25)*Calculateur!BL196*Calculateur!BN196*VLOOKUP('Données projet'!$B$11,Paramètres!$A$1:$I$89,3,0)*0.475*44/12</f>
        <v>0.14049304411446356</v>
      </c>
      <c r="BR196" s="21">
        <f>EXP(-LN(2)/2)*BR195+(1-EXP(-LN(2)/2))/(LN(2)/2)*BL196*BO196*VLOOKUP('Données projet'!$B$11,Paramètres!$A$1:$I$89,3,0)*0.475*44/12</f>
        <v>7.3412103664325722E-17</v>
      </c>
      <c r="BS196" s="22">
        <f t="shared" si="169"/>
        <v>6.155301656097568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296.99999999999983</v>
      </c>
      <c r="BZ196" s="13">
        <f>BY196*VLOOKUP('Données projet'!$B$12,Paramètres!$A$1:$I$89,3,0)*VLOOKUP('Données projet'!$B$12,Paramètres!$A$1:$I$89,5,0)</f>
        <v>254.82599999999988</v>
      </c>
      <c r="CA196" s="13">
        <f t="shared" si="170"/>
        <v>61.61820333959453</v>
      </c>
      <c r="CB196" s="20">
        <f t="shared" si="171"/>
        <v>551.1403208164603</v>
      </c>
      <c r="CC196" s="59">
        <f t="shared" ref="CC196:CC203" si="195">CB196+(BT196+BU196)*44/12</f>
        <v>844.47365414979367</v>
      </c>
      <c r="CD196" s="59">
        <f ca="1">AVERAGE(OFFSET($CC$3,0,0,'Données projet'!$E$12+1,1))-AVERAGE(OFFSET($H$3,0,0,'Données projet'!$E$12+1,1))</f>
        <v>204.6927427024138</v>
      </c>
      <c r="CE196" s="59">
        <f t="shared" si="148"/>
        <v>115.74231133146816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8.4105648312006416</v>
      </c>
      <c r="CL196" s="21">
        <f>EXP(-LN(2)/25)*CL195+(1-EXP(-LN(2)/25))/(LN(2)/25)*Calculateur!CG196*Calculateur!CI196*VLOOKUP('Données projet'!$B$12,Paramètres!$A$1:$I$89,3,0)*0.475*44/12</f>
        <v>0.22310716201935482</v>
      </c>
      <c r="CM196" s="21">
        <f>EXP(-LN(2)/2)*CM195+(1-EXP(-LN(2)/2))/(LN(2)/2)*CG196*CJ196*VLOOKUP('Données projet'!$B$12,Paramètres!$A$1:$I$89,3,0)*0.475*44/12</f>
        <v>1.1388413643930526E-14</v>
      </c>
      <c r="CN196" s="22">
        <f t="shared" si="172"/>
        <v>8.6336719932200072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204.15575418077316</v>
      </c>
      <c r="CZ196" s="59">
        <f t="shared" si="150"/>
        <v>473.73726605265045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3.1055019410963633</v>
      </c>
      <c r="DG196" s="21">
        <f>EXP(-LN(2)/25)*DG195+(1-EXP(-LN(2)/25))/(LN(2)/25)*Calculateur!DB196*Calculateur!DD196*VLOOKUP('Données projet'!$B$13,Paramètres!$A$1:$I$89,3,0)*0.475*44/12</f>
        <v>0.50023271162576621</v>
      </c>
      <c r="DH196" s="21">
        <f>EXP(-LN(2)/2)*DH195+(1-EXP(-LN(2)/2))/(LN(2)/2)*DB196*DE196*VLOOKUP('Données projet'!$B$13,Paramètres!$A$1:$I$89,3,0)*0.475*44/12</f>
        <v>1.5752090368168302E-24</v>
      </c>
      <c r="DI196" s="22">
        <f t="shared" si="175"/>
        <v>3.6057346527221297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216.83230520434313</v>
      </c>
      <c r="T197" s="59">
        <f t="shared" ref="T197:T203" si="204">$T$3</f>
        <v>275.41891707278205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6.7751653871558268</v>
      </c>
      <c r="AA197" s="21">
        <f>EXP(-LN(2)/25)*AA196+(1-EXP(-LN(2)/25))/(LN(2)/25)*Calculateur!V197*Calculateur!X197*VLOOKUP('Données projet'!$B$9,Paramètres!$A$1:$I$89,3,0)*0.475*44/12</f>
        <v>0.40566653464526825</v>
      </c>
      <c r="AB197" s="21">
        <f>EXP(-LN(2)/2)*AB196+(1-EXP(-LN(2)/2))/(LN(2)/2)*V197*Y197*VLOOKUP('Données projet'!$B$9,Paramètres!$A$1:$I$89,3,0)*0.475*44/12</f>
        <v>2.1493581709517461E-21</v>
      </c>
      <c r="AC197" s="22">
        <f t="shared" si="163"/>
        <v>7.1808319218010954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268.00000000000011</v>
      </c>
      <c r="AJ197" s="13">
        <f>AI197*VLOOKUP('Données projet'!$B$10,Paramètres!$A$1:$I$89,3,0)*VLOOKUP('Données projet'!$B$10,Paramètres!$A$1:$I$89,5,0)</f>
        <v>271.75200000000012</v>
      </c>
      <c r="AK197" s="13">
        <f t="shared" si="164"/>
        <v>65.220947824724988</v>
      </c>
      <c r="AL197" s="20">
        <f t="shared" si="165"/>
        <v>586.89455079472953</v>
      </c>
      <c r="AM197" s="59">
        <f t="shared" si="193"/>
        <v>880.2278841280629</v>
      </c>
      <c r="AN197" s="59">
        <f ca="1">AVERAGE(OFFSET($AM$3,0,0,'Données projet'!$E$10+1,1))-AVERAGE(OFFSET($H$3,0,0,'Données projet'!$E$10+1,1))</f>
        <v>292.42154837691379</v>
      </c>
      <c r="AO197" s="59">
        <f t="shared" ref="AO197:AO203" si="205">$AO$3</f>
        <v>193.18009444354601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15.101703991403367</v>
      </c>
      <c r="AV197" s="21">
        <f>EXP(-LN(2)/25)*AV196+(1-EXP(-LN(2)/25))/(LN(2)/25)*Calculateur!AQ197*Calculateur!AS197*VLOOKUP('Données projet'!$B$10,Paramètres!$A$1:$I$89,3,0)*0.475*44/12</f>
        <v>0.35622224476580777</v>
      </c>
      <c r="AW197" s="21">
        <f>EXP(-LN(2)/2)*AW196+(1-EXP(-LN(2)/2))/(LN(2)/2)*AQ197*AT197*VLOOKUP('Données projet'!$B$10,Paramètres!$A$1:$I$89,3,0)*0.475*44/12</f>
        <v>8.7339582203673441E-12</v>
      </c>
      <c r="AX197" s="21">
        <f t="shared" si="166"/>
        <v>15.45792623617791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322</v>
      </c>
      <c r="BE197" s="13">
        <f>BD197*VLOOKUP('Données projet'!$B$11,Paramètres!$A$1:$I$89,3,0)*VLOOKUP('Données projet'!$B$11,Paramètres!$A$1:$I$89,5,0)</f>
        <v>306.41519999999997</v>
      </c>
      <c r="BF197" s="13">
        <f t="shared" si="167"/>
        <v>72.519675217547672</v>
      </c>
      <c r="BG197" s="20">
        <f t="shared" si="168"/>
        <v>659.9782410038955</v>
      </c>
      <c r="BH197" s="59">
        <f t="shared" si="194"/>
        <v>953.31157433722888</v>
      </c>
      <c r="BI197" s="59">
        <f ca="1">AVERAGE(OFFSET($BH$3,0,0,'Données projet'!$E$11+1,1))-AVERAGE(OFFSET($H$3,0,0,'Données projet'!$E$11+1,1))</f>
        <v>339.00921630742886</v>
      </c>
      <c r="BJ197" s="59">
        <f t="shared" ref="BJ197:BJ203" si="206">$BJ$3</f>
        <v>314.95763895978303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5.8968618837731182</v>
      </c>
      <c r="BQ197" s="21">
        <f>EXP(-LN(2)/25)*BQ196+(1-EXP(-LN(2)/25))/(LN(2)/25)*Calculateur!BL197*Calculateur!BN197*VLOOKUP('Données projet'!$B$11,Paramètres!$A$1:$I$89,3,0)*0.475*44/12</f>
        <v>0.13665125443494547</v>
      </c>
      <c r="BR197" s="21">
        <f>EXP(-LN(2)/2)*BR196+(1-EXP(-LN(2)/2))/(LN(2)/2)*BL197*BO197*VLOOKUP('Données projet'!$B$11,Paramètres!$A$1:$I$89,3,0)*0.475*44/12</f>
        <v>5.1910196322214512E-17</v>
      </c>
      <c r="BS197" s="22">
        <f t="shared" si="169"/>
        <v>6.0335131382080638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296.99999999999983</v>
      </c>
      <c r="BZ197" s="13">
        <f>BY197*VLOOKUP('Données projet'!$B$12,Paramètres!$A$1:$I$89,3,0)*VLOOKUP('Données projet'!$B$12,Paramètres!$A$1:$I$89,5,0)</f>
        <v>254.82599999999988</v>
      </c>
      <c r="CA197" s="13">
        <f t="shared" si="170"/>
        <v>61.61820333959453</v>
      </c>
      <c r="CB197" s="20">
        <f t="shared" si="171"/>
        <v>551.1403208164603</v>
      </c>
      <c r="CC197" s="59">
        <f t="shared" si="195"/>
        <v>844.47365414979367</v>
      </c>
      <c r="CD197" s="59">
        <f ca="1">AVERAGE(OFFSET($CC$3,0,0,'Données projet'!$E$12+1,1))-AVERAGE(OFFSET($H$3,0,0,'Données projet'!$E$12+1,1))</f>
        <v>204.6927427024138</v>
      </c>
      <c r="CE197" s="59">
        <f t="shared" ref="CE197:CE203" si="207">$CE$3</f>
        <v>115.74231133146816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8.2456387847988051</v>
      </c>
      <c r="CL197" s="21">
        <f>EXP(-LN(2)/25)*CL196+(1-EXP(-LN(2)/25))/(LN(2)/25)*Calculateur!CG197*Calculateur!CI197*VLOOKUP('Données projet'!$B$12,Paramètres!$A$1:$I$89,3,0)*0.475*44/12</f>
        <v>0.21700628494123983</v>
      </c>
      <c r="CM197" s="21">
        <f>EXP(-LN(2)/2)*CM196+(1-EXP(-LN(2)/2))/(LN(2)/2)*CG197*CJ197*VLOOKUP('Données projet'!$B$12,Paramètres!$A$1:$I$89,3,0)*0.475*44/12</f>
        <v>8.0528245145806744E-15</v>
      </c>
      <c r="CN197" s="22">
        <f t="shared" si="172"/>
        <v>8.4626450697400539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204.15575418077316</v>
      </c>
      <c r="CZ197" s="59">
        <f t="shared" ref="CZ197:CZ203" si="208">$CZ$3</f>
        <v>473.73726605265045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3.0446049422006141</v>
      </c>
      <c r="DG197" s="21">
        <f>EXP(-LN(2)/25)*DG196+(1-EXP(-LN(2)/25))/(LN(2)/25)*Calculateur!DB197*Calculateur!DD197*VLOOKUP('Données projet'!$B$13,Paramètres!$A$1:$I$89,3,0)*0.475*44/12</f>
        <v>0.48655382182026463</v>
      </c>
      <c r="DH197" s="21">
        <f>EXP(-LN(2)/2)*DH196+(1-EXP(-LN(2)/2))/(LN(2)/2)*DB197*DE197*VLOOKUP('Données projet'!$B$13,Paramètres!$A$1:$I$89,3,0)*0.475*44/12</f>
        <v>1.1138409917195106E-24</v>
      </c>
      <c r="DI197" s="22">
        <f t="shared" si="175"/>
        <v>3.5311587640208786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216.83230520434313</v>
      </c>
      <c r="T198" s="59">
        <f t="shared" si="204"/>
        <v>275.41891707278205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6.6423085263565422</v>
      </c>
      <c r="AA198" s="21">
        <f>EXP(-LN(2)/25)*AA197+(1-EXP(-LN(2)/25))/(LN(2)/25)*Calculateur!V198*Calculateur!X198*VLOOKUP('Données projet'!$B$9,Paramètres!$A$1:$I$89,3,0)*0.475*44/12</f>
        <v>0.39457356192231752</v>
      </c>
      <c r="AB198" s="21">
        <f>EXP(-LN(2)/2)*AB197+(1-EXP(-LN(2)/2))/(LN(2)/2)*V198*Y198*VLOOKUP('Données projet'!$B$9,Paramètres!$A$1:$I$89,3,0)*0.475*44/12</f>
        <v>1.5198257378786943E-21</v>
      </c>
      <c r="AC198" s="22">
        <f t="shared" si="163"/>
        <v>7.0368820882788601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268.00000000000011</v>
      </c>
      <c r="AJ198" s="13">
        <f>AI198*VLOOKUP('Données projet'!$B$10,Paramètres!$A$1:$I$89,3,0)*VLOOKUP('Données projet'!$B$10,Paramètres!$A$1:$I$89,5,0)</f>
        <v>271.75200000000012</v>
      </c>
      <c r="AK198" s="13">
        <f t="shared" si="164"/>
        <v>65.220947824724988</v>
      </c>
      <c r="AL198" s="20">
        <f t="shared" si="165"/>
        <v>586.89455079472953</v>
      </c>
      <c r="AM198" s="59">
        <f t="shared" si="193"/>
        <v>880.2278841280629</v>
      </c>
      <c r="AN198" s="59">
        <f ca="1">AVERAGE(OFFSET($AM$3,0,0,'Données projet'!$E$10+1,1))-AVERAGE(OFFSET($H$3,0,0,'Données projet'!$E$10+1,1))</f>
        <v>292.42154837691379</v>
      </c>
      <c r="AO198" s="59">
        <f t="shared" si="205"/>
        <v>193.18009444354601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14.805568787261858</v>
      </c>
      <c r="AV198" s="21">
        <f>EXP(-LN(2)/25)*AV197+(1-EXP(-LN(2)/25))/(LN(2)/25)*Calculateur!AQ198*Calculateur!AS198*VLOOKUP('Données projet'!$B$10,Paramètres!$A$1:$I$89,3,0)*0.475*44/12</f>
        <v>0.34648132874977305</v>
      </c>
      <c r="AW198" s="21">
        <f>EXP(-LN(2)/2)*AW197+(1-EXP(-LN(2)/2))/(LN(2)/2)*AQ198*AT198*VLOOKUP('Données projet'!$B$10,Paramètres!$A$1:$I$89,3,0)*0.475*44/12</f>
        <v>6.1758410842217397E-12</v>
      </c>
      <c r="AX198" s="21">
        <f t="shared" si="166"/>
        <v>15.152050116017808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322</v>
      </c>
      <c r="BE198" s="13">
        <f>BD198*VLOOKUP('Données projet'!$B$11,Paramètres!$A$1:$I$89,3,0)*VLOOKUP('Données projet'!$B$11,Paramètres!$A$1:$I$89,5,0)</f>
        <v>306.41519999999997</v>
      </c>
      <c r="BF198" s="13">
        <f t="shared" si="167"/>
        <v>72.519675217547672</v>
      </c>
      <c r="BG198" s="20">
        <f t="shared" si="168"/>
        <v>659.9782410038955</v>
      </c>
      <c r="BH198" s="59">
        <f t="shared" si="194"/>
        <v>953.31157433722888</v>
      </c>
      <c r="BI198" s="59">
        <f ca="1">AVERAGE(OFFSET($BH$3,0,0,'Données projet'!$E$11+1,1))-AVERAGE(OFFSET($H$3,0,0,'Données projet'!$E$11+1,1))</f>
        <v>339.00921630742886</v>
      </c>
      <c r="BJ198" s="59">
        <f t="shared" si="206"/>
        <v>314.95763895978303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5.7812280189629286</v>
      </c>
      <c r="BQ198" s="21">
        <f>EXP(-LN(2)/25)*BQ197+(1-EXP(-LN(2)/25))/(LN(2)/25)*Calculateur!BL198*Calculateur!BN198*VLOOKUP('Données projet'!$B$11,Paramètres!$A$1:$I$89,3,0)*0.475*44/12</f>
        <v>0.13291451869624474</v>
      </c>
      <c r="BR198" s="21">
        <f>EXP(-LN(2)/2)*BR197+(1-EXP(-LN(2)/2))/(LN(2)/2)*BL198*BO198*VLOOKUP('Données projet'!$B$11,Paramètres!$A$1:$I$89,3,0)*0.475*44/12</f>
        <v>3.6706051832162861E-17</v>
      </c>
      <c r="BS198" s="22">
        <f t="shared" si="169"/>
        <v>5.9141425376591732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296.99999999999983</v>
      </c>
      <c r="BZ198" s="13">
        <f>BY198*VLOOKUP('Données projet'!$B$12,Paramètres!$A$1:$I$89,3,0)*VLOOKUP('Données projet'!$B$12,Paramètres!$A$1:$I$89,5,0)</f>
        <v>254.82599999999988</v>
      </c>
      <c r="CA198" s="13">
        <f t="shared" si="170"/>
        <v>61.61820333959453</v>
      </c>
      <c r="CB198" s="20">
        <f t="shared" si="171"/>
        <v>551.1403208164603</v>
      </c>
      <c r="CC198" s="59">
        <f t="shared" si="195"/>
        <v>844.47365414979367</v>
      </c>
      <c r="CD198" s="59">
        <f ca="1">AVERAGE(OFFSET($CC$3,0,0,'Données projet'!$E$12+1,1))-AVERAGE(OFFSET($H$3,0,0,'Données projet'!$E$12+1,1))</f>
        <v>204.6927427024138</v>
      </c>
      <c r="CE198" s="59">
        <f t="shared" si="207"/>
        <v>115.74231133146816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8.0839468375719523</v>
      </c>
      <c r="CL198" s="21">
        <f>EXP(-LN(2)/25)*CL197+(1-EXP(-LN(2)/25))/(LN(2)/25)*Calculateur!CG198*Calculateur!CI198*VLOOKUP('Données projet'!$B$12,Paramètres!$A$1:$I$89,3,0)*0.475*44/12</f>
        <v>0.21107223666765706</v>
      </c>
      <c r="CM198" s="21">
        <f>EXP(-LN(2)/2)*CM197+(1-EXP(-LN(2)/2))/(LN(2)/2)*CG198*CJ198*VLOOKUP('Données projet'!$B$12,Paramètres!$A$1:$I$89,3,0)*0.475*44/12</f>
        <v>5.6942068219652628E-15</v>
      </c>
      <c r="CN198" s="22">
        <f t="shared" si="172"/>
        <v>8.2950190742396153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204.15575418077316</v>
      </c>
      <c r="CZ198" s="59">
        <f t="shared" si="208"/>
        <v>473.73726605265045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2.9849020963097086</v>
      </c>
      <c r="DG198" s="21">
        <f>EXP(-LN(2)/25)*DG197+(1-EXP(-LN(2)/25))/(LN(2)/25)*Calculateur!DB198*Calculateur!DD198*VLOOKUP('Données projet'!$B$13,Paramètres!$A$1:$I$89,3,0)*0.475*44/12</f>
        <v>0.47324898197583604</v>
      </c>
      <c r="DH198" s="21">
        <f>EXP(-LN(2)/2)*DH197+(1-EXP(-LN(2)/2))/(LN(2)/2)*DB198*DE198*VLOOKUP('Données projet'!$B$13,Paramètres!$A$1:$I$89,3,0)*0.475*44/12</f>
        <v>7.8760451840841511E-25</v>
      </c>
      <c r="DI198" s="22">
        <f t="shared" si="175"/>
        <v>3.4581510782855447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216.83230520434313</v>
      </c>
      <c r="T199" s="59">
        <f t="shared" si="204"/>
        <v>275.41891707278205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6.5120569075628483</v>
      </c>
      <c r="AA199" s="21">
        <f>EXP(-LN(2)/25)*AA198+(1-EXP(-LN(2)/25))/(LN(2)/25)*Calculateur!V199*Calculateur!X199*VLOOKUP('Données projet'!$B$9,Paramètres!$A$1:$I$89,3,0)*0.475*44/12</f>
        <v>0.38378392712182996</v>
      </c>
      <c r="AB199" s="21">
        <f>EXP(-LN(2)/2)*AB198+(1-EXP(-LN(2)/2))/(LN(2)/2)*V199*Y199*VLOOKUP('Données projet'!$B$9,Paramètres!$A$1:$I$89,3,0)*0.475*44/12</f>
        <v>1.074679085475873E-21</v>
      </c>
      <c r="AC199" s="22">
        <f t="shared" si="163"/>
        <v>6.8958408346846785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268.00000000000011</v>
      </c>
      <c r="AJ199" s="13">
        <f>AI199*VLOOKUP('Données projet'!$B$10,Paramètres!$A$1:$I$89,3,0)*VLOOKUP('Données projet'!$B$10,Paramètres!$A$1:$I$89,5,0)</f>
        <v>271.75200000000012</v>
      </c>
      <c r="AK199" s="13">
        <f t="shared" si="164"/>
        <v>65.220947824724988</v>
      </c>
      <c r="AL199" s="20">
        <f t="shared" si="165"/>
        <v>586.89455079472953</v>
      </c>
      <c r="AM199" s="59">
        <f t="shared" si="193"/>
        <v>880.2278841280629</v>
      </c>
      <c r="AN199" s="59">
        <f ca="1">AVERAGE(OFFSET($AM$3,0,0,'Données projet'!$E$10+1,1))-AVERAGE(OFFSET($H$3,0,0,'Données projet'!$E$10+1,1))</f>
        <v>292.42154837691379</v>
      </c>
      <c r="AO199" s="59">
        <f t="shared" si="205"/>
        <v>193.18009444354601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14.515240613848926</v>
      </c>
      <c r="AV199" s="21">
        <f>EXP(-LN(2)/25)*AV198+(1-EXP(-LN(2)/25))/(LN(2)/25)*Calculateur!AQ199*Calculateur!AS199*VLOOKUP('Données projet'!$B$10,Paramètres!$A$1:$I$89,3,0)*0.475*44/12</f>
        <v>0.33700677859444933</v>
      </c>
      <c r="AW199" s="21">
        <f>EXP(-LN(2)/2)*AW198+(1-EXP(-LN(2)/2))/(LN(2)/2)*AQ199*AT199*VLOOKUP('Données projet'!$B$10,Paramètres!$A$1:$I$89,3,0)*0.475*44/12</f>
        <v>4.3669791101836721E-12</v>
      </c>
      <c r="AX199" s="21">
        <f t="shared" si="166"/>
        <v>14.852247392447742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322</v>
      </c>
      <c r="BE199" s="13">
        <f>BD199*VLOOKUP('Données projet'!$B$11,Paramètres!$A$1:$I$89,3,0)*VLOOKUP('Données projet'!$B$11,Paramètres!$A$1:$I$89,5,0)</f>
        <v>306.41519999999997</v>
      </c>
      <c r="BF199" s="13">
        <f t="shared" si="167"/>
        <v>72.519675217547672</v>
      </c>
      <c r="BG199" s="20">
        <f t="shared" si="168"/>
        <v>659.9782410038955</v>
      </c>
      <c r="BH199" s="59">
        <f t="shared" si="194"/>
        <v>953.31157433722888</v>
      </c>
      <c r="BI199" s="59">
        <f ca="1">AVERAGE(OFFSET($BH$3,0,0,'Données projet'!$E$11+1,1))-AVERAGE(OFFSET($H$3,0,0,'Données projet'!$E$11+1,1))</f>
        <v>339.00921630742886</v>
      </c>
      <c r="BJ199" s="59">
        <f t="shared" si="206"/>
        <v>314.95763895978303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5.6678616637119736</v>
      </c>
      <c r="BQ199" s="21">
        <f>EXP(-LN(2)/25)*BQ198+(1-EXP(-LN(2)/25))/(LN(2)/25)*Calculateur!BL199*Calculateur!BN199*VLOOKUP('Données projet'!$B$11,Paramètres!$A$1:$I$89,3,0)*0.475*44/12</f>
        <v>0.12927996419282517</v>
      </c>
      <c r="BR199" s="21">
        <f>EXP(-LN(2)/2)*BR198+(1-EXP(-LN(2)/2))/(LN(2)/2)*BL199*BO199*VLOOKUP('Données projet'!$B$11,Paramètres!$A$1:$I$89,3,0)*0.475*44/12</f>
        <v>2.5955098161107256E-17</v>
      </c>
      <c r="BS199" s="22">
        <f t="shared" si="169"/>
        <v>5.7971416279047991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296.99999999999983</v>
      </c>
      <c r="BZ199" s="13">
        <f>BY199*VLOOKUP('Données projet'!$B$12,Paramètres!$A$1:$I$89,3,0)*VLOOKUP('Données projet'!$B$12,Paramètres!$A$1:$I$89,5,0)</f>
        <v>254.82599999999988</v>
      </c>
      <c r="CA199" s="13">
        <f t="shared" si="170"/>
        <v>61.61820333959453</v>
      </c>
      <c r="CB199" s="20">
        <f t="shared" si="171"/>
        <v>551.1403208164603</v>
      </c>
      <c r="CC199" s="59">
        <f t="shared" si="195"/>
        <v>844.47365414979367</v>
      </c>
      <c r="CD199" s="59">
        <f ca="1">AVERAGE(OFFSET($CC$3,0,0,'Données projet'!$E$12+1,1))-AVERAGE(OFFSET($H$3,0,0,'Données projet'!$E$12+1,1))</f>
        <v>204.6927427024138</v>
      </c>
      <c r="CE199" s="59">
        <f t="shared" si="207"/>
        <v>115.74231133146816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7.9254255708078691</v>
      </c>
      <c r="CL199" s="21">
        <f>EXP(-LN(2)/25)*CL198+(1-EXP(-LN(2)/25))/(LN(2)/25)*Calculateur!CG199*Calculateur!CI199*VLOOKUP('Données projet'!$B$12,Paramètres!$A$1:$I$89,3,0)*0.475*44/12</f>
        <v>0.20530045525617346</v>
      </c>
      <c r="CM199" s="21">
        <f>EXP(-LN(2)/2)*CM198+(1-EXP(-LN(2)/2))/(LN(2)/2)*CG199*CJ199*VLOOKUP('Données projet'!$B$12,Paramètres!$A$1:$I$89,3,0)*0.475*44/12</f>
        <v>4.0264122572903372E-15</v>
      </c>
      <c r="CN199" s="22">
        <f t="shared" si="172"/>
        <v>8.1307260260640462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204.15575418077316</v>
      </c>
      <c r="CZ199" s="59">
        <f t="shared" si="208"/>
        <v>473.73726605265045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2.9263699868115838</v>
      </c>
      <c r="DG199" s="21">
        <f>EXP(-LN(2)/25)*DG198+(1-EXP(-LN(2)/25))/(LN(2)/25)*Calculateur!DB199*Calculateur!DD199*VLOOKUP('Données projet'!$B$13,Paramètres!$A$1:$I$89,3,0)*0.475*44/12</f>
        <v>0.46030796367662447</v>
      </c>
      <c r="DH199" s="21">
        <f>EXP(-LN(2)/2)*DH198+(1-EXP(-LN(2)/2))/(LN(2)/2)*DB199*DE199*VLOOKUP('Données projet'!$B$13,Paramètres!$A$1:$I$89,3,0)*0.475*44/12</f>
        <v>5.5692049585975532E-25</v>
      </c>
      <c r="DI199" s="22">
        <f t="shared" si="175"/>
        <v>3.3866779504882083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216.83230520434313</v>
      </c>
      <c r="T200" s="59">
        <f t="shared" si="204"/>
        <v>275.41891707278205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6.384359443568056</v>
      </c>
      <c r="AA200" s="21">
        <f>EXP(-LN(2)/25)*AA199+(1-EXP(-LN(2)/25))/(LN(2)/25)*Calculateur!V200*Calculateur!X200*VLOOKUP('Données projet'!$B$9,Paramètres!$A$1:$I$89,3,0)*0.475*44/12</f>
        <v>0.37328933545236392</v>
      </c>
      <c r="AB200" s="21">
        <f>EXP(-LN(2)/2)*AB199+(1-EXP(-LN(2)/2))/(LN(2)/2)*V200*Y200*VLOOKUP('Données projet'!$B$9,Paramètres!$A$1:$I$89,3,0)*0.475*44/12</f>
        <v>7.5991286893934716E-22</v>
      </c>
      <c r="AC200" s="22">
        <f t="shared" si="163"/>
        <v>6.7576487790204203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268.00000000000011</v>
      </c>
      <c r="AJ200" s="13">
        <f>AI200*VLOOKUP('Données projet'!$B$10,Paramètres!$A$1:$I$89,3,0)*VLOOKUP('Données projet'!$B$10,Paramètres!$A$1:$I$89,5,0)</f>
        <v>271.75200000000012</v>
      </c>
      <c r="AK200" s="13">
        <f t="shared" si="164"/>
        <v>65.220947824724988</v>
      </c>
      <c r="AL200" s="20">
        <f t="shared" si="165"/>
        <v>586.89455079472953</v>
      </c>
      <c r="AM200" s="59">
        <f t="shared" si="193"/>
        <v>880.2278841280629</v>
      </c>
      <c r="AN200" s="59">
        <f ca="1">AVERAGE(OFFSET($AM$3,0,0,'Données projet'!$E$10+1,1))-AVERAGE(OFFSET($H$3,0,0,'Données projet'!$E$10+1,1))</f>
        <v>292.42154837691379</v>
      </c>
      <c r="AO200" s="59">
        <f t="shared" si="205"/>
        <v>193.18009444354601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14.23060559883392</v>
      </c>
      <c r="AV200" s="21">
        <f>EXP(-LN(2)/25)*AV199+(1-EXP(-LN(2)/25))/(LN(2)/25)*Calculateur!AQ200*Calculateur!AS200*VLOOKUP('Données projet'!$B$10,Paramètres!$A$1:$I$89,3,0)*0.475*44/12</f>
        <v>0.32779131051136784</v>
      </c>
      <c r="AW200" s="21">
        <f>EXP(-LN(2)/2)*AW199+(1-EXP(-LN(2)/2))/(LN(2)/2)*AQ200*AT200*VLOOKUP('Données projet'!$B$10,Paramètres!$A$1:$I$89,3,0)*0.475*44/12</f>
        <v>3.0879205421108699E-12</v>
      </c>
      <c r="AX200" s="21">
        <f t="shared" si="166"/>
        <v>14.558396909348374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322</v>
      </c>
      <c r="BE200" s="13">
        <f>BD200*VLOOKUP('Données projet'!$B$11,Paramètres!$A$1:$I$89,3,0)*VLOOKUP('Données projet'!$B$11,Paramètres!$A$1:$I$89,5,0)</f>
        <v>306.41519999999997</v>
      </c>
      <c r="BF200" s="13">
        <f t="shared" si="167"/>
        <v>72.519675217547672</v>
      </c>
      <c r="BG200" s="20">
        <f t="shared" si="168"/>
        <v>659.9782410038955</v>
      </c>
      <c r="BH200" s="59">
        <f t="shared" si="194"/>
        <v>953.31157433722888</v>
      </c>
      <c r="BI200" s="59">
        <f ca="1">AVERAGE(OFFSET($BH$3,0,0,'Données projet'!$E$11+1,1))-AVERAGE(OFFSET($H$3,0,0,'Données projet'!$E$11+1,1))</f>
        <v>339.00921630742886</v>
      </c>
      <c r="BJ200" s="59">
        <f t="shared" si="206"/>
        <v>314.95763895978303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5.5567183535408411</v>
      </c>
      <c r="BQ200" s="21">
        <f>EXP(-LN(2)/25)*BQ199+(1-EXP(-LN(2)/25))/(LN(2)/25)*Calculateur!BL200*Calculateur!BN200*VLOOKUP('Données projet'!$B$11,Paramètres!$A$1:$I$89,3,0)*0.475*44/12</f>
        <v>0.12574479677343453</v>
      </c>
      <c r="BR200" s="21">
        <f>EXP(-LN(2)/2)*BR199+(1-EXP(-LN(2)/2))/(LN(2)/2)*BL200*BO200*VLOOKUP('Données projet'!$B$11,Paramètres!$A$1:$I$89,3,0)*0.475*44/12</f>
        <v>1.835302591608143E-17</v>
      </c>
      <c r="BS200" s="22">
        <f t="shared" si="169"/>
        <v>5.682463150314276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296.99999999999983</v>
      </c>
      <c r="BZ200" s="13">
        <f>BY200*VLOOKUP('Données projet'!$B$12,Paramètres!$A$1:$I$89,3,0)*VLOOKUP('Données projet'!$B$12,Paramètres!$A$1:$I$89,5,0)</f>
        <v>254.82599999999988</v>
      </c>
      <c r="CA200" s="13">
        <f t="shared" si="170"/>
        <v>61.61820333959453</v>
      </c>
      <c r="CB200" s="20">
        <f t="shared" si="171"/>
        <v>551.1403208164603</v>
      </c>
      <c r="CC200" s="59">
        <f t="shared" si="195"/>
        <v>844.47365414979367</v>
      </c>
      <c r="CD200" s="59">
        <f ca="1">AVERAGE(OFFSET($CC$3,0,0,'Données projet'!$E$12+1,1))-AVERAGE(OFFSET($H$3,0,0,'Données projet'!$E$12+1,1))</f>
        <v>204.6927427024138</v>
      </c>
      <c r="CE200" s="59">
        <f t="shared" si="207"/>
        <v>115.74231133146816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7.7700128093966043</v>
      </c>
      <c r="CL200" s="21">
        <f>EXP(-LN(2)/25)*CL199+(1-EXP(-LN(2)/25))/(LN(2)/25)*Calculateur!CG200*Calculateur!CI200*VLOOKUP('Données projet'!$B$12,Paramètres!$A$1:$I$89,3,0)*0.475*44/12</f>
        <v>0.19968650351091169</v>
      </c>
      <c r="CM200" s="21">
        <f>EXP(-LN(2)/2)*CM199+(1-EXP(-LN(2)/2))/(LN(2)/2)*CG200*CJ200*VLOOKUP('Données projet'!$B$12,Paramètres!$A$1:$I$89,3,0)*0.475*44/12</f>
        <v>2.8471034109826314E-15</v>
      </c>
      <c r="CN200" s="22">
        <f t="shared" si="172"/>
        <v>7.9696993129075189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204.15575418077316</v>
      </c>
      <c r="CZ200" s="59">
        <f t="shared" si="208"/>
        <v>473.73726605265045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2.8689856562796554</v>
      </c>
      <c r="DG200" s="21">
        <f>EXP(-LN(2)/25)*DG199+(1-EXP(-LN(2)/25))/(LN(2)/25)*Calculateur!DB200*Calculateur!DD200*VLOOKUP('Données projet'!$B$13,Paramètres!$A$1:$I$89,3,0)*0.475*44/12</f>
        <v>0.44772081820334342</v>
      </c>
      <c r="DH200" s="21">
        <f>EXP(-LN(2)/2)*DH199+(1-EXP(-LN(2)/2))/(LN(2)/2)*DB200*DE200*VLOOKUP('Données projet'!$B$13,Paramètres!$A$1:$I$89,3,0)*0.475*44/12</f>
        <v>3.9380225920420756E-25</v>
      </c>
      <c r="DI200" s="22">
        <f t="shared" si="175"/>
        <v>3.3167064744829986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216.83230520434313</v>
      </c>
      <c r="T201" s="59">
        <f t="shared" si="204"/>
        <v>275.41891707278205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6.2591660489544392</v>
      </c>
      <c r="AA201" s="21">
        <f>EXP(-LN(2)/25)*AA200+(1-EXP(-LN(2)/25))/(LN(2)/25)*Calculateur!V201*Calculateur!X201*VLOOKUP('Données projet'!$B$9,Paramètres!$A$1:$I$89,3,0)*0.475*44/12</f>
        <v>0.36308171894398605</v>
      </c>
      <c r="AB201" s="21">
        <f>EXP(-LN(2)/2)*AB200+(1-EXP(-LN(2)/2))/(LN(2)/2)*V201*Y201*VLOOKUP('Données projet'!$B$9,Paramètres!$A$1:$I$89,3,0)*0.475*44/12</f>
        <v>5.3733954273793651E-22</v>
      </c>
      <c r="AC201" s="22">
        <f t="shared" si="163"/>
        <v>6.6222477678984255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268.00000000000011</v>
      </c>
      <c r="AJ201" s="13">
        <f>AI201*VLOOKUP('Données projet'!$B$10,Paramètres!$A$1:$I$89,3,0)*VLOOKUP('Données projet'!$B$10,Paramètres!$A$1:$I$89,5,0)</f>
        <v>271.75200000000012</v>
      </c>
      <c r="AK201" s="13">
        <f t="shared" si="164"/>
        <v>65.220947824724988</v>
      </c>
      <c r="AL201" s="20">
        <f t="shared" si="165"/>
        <v>586.89455079472953</v>
      </c>
      <c r="AM201" s="59">
        <f t="shared" si="193"/>
        <v>880.2278841280629</v>
      </c>
      <c r="AN201" s="59">
        <f ca="1">AVERAGE(OFFSET($AM$3,0,0,'Données projet'!$E$10+1,1))-AVERAGE(OFFSET($H$3,0,0,'Données projet'!$E$10+1,1))</f>
        <v>292.42154837691379</v>
      </c>
      <c r="AO201" s="59">
        <f t="shared" si="205"/>
        <v>193.18009444354601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13.951552102853142</v>
      </c>
      <c r="AV201" s="21">
        <f>EXP(-LN(2)/25)*AV200+(1-EXP(-LN(2)/25))/(LN(2)/25)*Calculateur!AQ201*Calculateur!AS201*VLOOKUP('Données projet'!$B$10,Paramètres!$A$1:$I$89,3,0)*0.475*44/12</f>
        <v>0.31882783988763863</v>
      </c>
      <c r="AW201" s="21">
        <f>EXP(-LN(2)/2)*AW200+(1-EXP(-LN(2)/2))/(LN(2)/2)*AQ201*AT201*VLOOKUP('Données projet'!$B$10,Paramètres!$A$1:$I$89,3,0)*0.475*44/12</f>
        <v>2.183489555091836E-12</v>
      </c>
      <c r="AX201" s="21">
        <f t="shared" si="166"/>
        <v>14.270379942742965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322</v>
      </c>
      <c r="BE201" s="13">
        <f>BD201*VLOOKUP('Données projet'!$B$11,Paramètres!$A$1:$I$89,3,0)*VLOOKUP('Données projet'!$B$11,Paramètres!$A$1:$I$89,5,0)</f>
        <v>306.41519999999997</v>
      </c>
      <c r="BF201" s="13">
        <f t="shared" si="167"/>
        <v>72.519675217547672</v>
      </c>
      <c r="BG201" s="20">
        <f t="shared" si="168"/>
        <v>659.9782410038955</v>
      </c>
      <c r="BH201" s="59">
        <f t="shared" si="194"/>
        <v>953.31157433722888</v>
      </c>
      <c r="BI201" s="59">
        <f ca="1">AVERAGE(OFFSET($BH$3,0,0,'Données projet'!$E$11+1,1))-AVERAGE(OFFSET($H$3,0,0,'Données projet'!$E$11+1,1))</f>
        <v>339.00921630742886</v>
      </c>
      <c r="BJ201" s="59">
        <f t="shared" si="206"/>
        <v>314.95763895978303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5.4477544958914388</v>
      </c>
      <c r="BQ201" s="21">
        <f>EXP(-LN(2)/25)*BQ200+(1-EXP(-LN(2)/25))/(LN(2)/25)*Calculateur!BL201*Calculateur!BN201*VLOOKUP('Données projet'!$B$11,Paramètres!$A$1:$I$89,3,0)*0.475*44/12</f>
        <v>0.1223062986930335</v>
      </c>
      <c r="BR201" s="21">
        <f>EXP(-LN(2)/2)*BR200+(1-EXP(-LN(2)/2))/(LN(2)/2)*BL201*BO201*VLOOKUP('Données projet'!$B$11,Paramètres!$A$1:$I$89,3,0)*0.475*44/12</f>
        <v>1.2977549080553628E-17</v>
      </c>
      <c r="BS201" s="22">
        <f t="shared" si="169"/>
        <v>5.5700607945844727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296.99999999999983</v>
      </c>
      <c r="BZ201" s="13">
        <f>BY201*VLOOKUP('Données projet'!$B$12,Paramètres!$A$1:$I$89,3,0)*VLOOKUP('Données projet'!$B$12,Paramètres!$A$1:$I$89,5,0)</f>
        <v>254.82599999999988</v>
      </c>
      <c r="CA201" s="13">
        <f t="shared" si="170"/>
        <v>61.61820333959453</v>
      </c>
      <c r="CB201" s="20">
        <f t="shared" si="171"/>
        <v>551.1403208164603</v>
      </c>
      <c r="CC201" s="59">
        <f t="shared" si="195"/>
        <v>844.47365414979367</v>
      </c>
      <c r="CD201" s="59">
        <f ca="1">AVERAGE(OFFSET($CC$3,0,0,'Données projet'!$E$12+1,1))-AVERAGE(OFFSET($H$3,0,0,'Données projet'!$E$12+1,1))</f>
        <v>204.6927427024138</v>
      </c>
      <c r="CE201" s="59">
        <f t="shared" si="207"/>
        <v>115.74231133146816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7.61764759744419</v>
      </c>
      <c r="CL201" s="21">
        <f>EXP(-LN(2)/25)*CL200+(1-EXP(-LN(2)/25))/(LN(2)/25)*Calculateur!CG201*Calculateur!CI201*VLOOKUP('Données projet'!$B$12,Paramètres!$A$1:$I$89,3,0)*0.475*44/12</f>
        <v>0.19422606557134897</v>
      </c>
      <c r="CM201" s="21">
        <f>EXP(-LN(2)/2)*CM200+(1-EXP(-LN(2)/2))/(LN(2)/2)*CG201*CJ201*VLOOKUP('Données projet'!$B$12,Paramètres!$A$1:$I$89,3,0)*0.475*44/12</f>
        <v>2.0132061286451686E-15</v>
      </c>
      <c r="CN201" s="22">
        <f t="shared" si="172"/>
        <v>7.8118736630155405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204.15575418077316</v>
      </c>
      <c r="CZ201" s="59">
        <f t="shared" si="208"/>
        <v>473.73726605265045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2.8127265974684725</v>
      </c>
      <c r="DG201" s="21">
        <f>EXP(-LN(2)/25)*DG200+(1-EXP(-LN(2)/25))/(LN(2)/25)*Calculateur!DB201*Calculateur!DD201*VLOOKUP('Données projet'!$B$13,Paramètres!$A$1:$I$89,3,0)*0.475*44/12</f>
        <v>0.43547786888495843</v>
      </c>
      <c r="DH201" s="21">
        <f>EXP(-LN(2)/2)*DH200+(1-EXP(-LN(2)/2))/(LN(2)/2)*DB201*DE201*VLOOKUP('Données projet'!$B$13,Paramètres!$A$1:$I$89,3,0)*0.475*44/12</f>
        <v>2.7846024792987766E-25</v>
      </c>
      <c r="DI201" s="22">
        <f t="shared" si="175"/>
        <v>3.2482044663534309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216.83230520434313</v>
      </c>
      <c r="T202" s="59">
        <f t="shared" si="204"/>
        <v>275.41891707278205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6.1364276204487647</v>
      </c>
      <c r="AA202" s="21">
        <f>EXP(-LN(2)/25)*AA201+(1-EXP(-LN(2)/25))/(LN(2)/25)*Calculateur!V202*Calculateur!X202*VLOOKUP('Données projet'!$B$9,Paramètres!$A$1:$I$89,3,0)*0.475*44/12</f>
        <v>0.35315323024582501</v>
      </c>
      <c r="AB202" s="21">
        <f>EXP(-LN(2)/2)*AB201+(1-EXP(-LN(2)/2))/(LN(2)/2)*V202*Y202*VLOOKUP('Données projet'!$B$9,Paramètres!$A$1:$I$89,3,0)*0.475*44/12</f>
        <v>3.7995643446967358E-22</v>
      </c>
      <c r="AC202" s="22">
        <f t="shared" si="163"/>
        <v>6.4895808506945896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268.00000000000011</v>
      </c>
      <c r="AJ202" s="13">
        <f>AI202*VLOOKUP('Données projet'!$B$10,Paramètres!$A$1:$I$89,3,0)*VLOOKUP('Données projet'!$B$10,Paramètres!$A$1:$I$89,5,0)</f>
        <v>271.75200000000012</v>
      </c>
      <c r="AK202" s="13">
        <f t="shared" si="164"/>
        <v>65.220947824724988</v>
      </c>
      <c r="AL202" s="20">
        <f t="shared" si="165"/>
        <v>586.89455079472953</v>
      </c>
      <c r="AM202" s="59">
        <f t="shared" si="193"/>
        <v>880.2278841280629</v>
      </c>
      <c r="AN202" s="59">
        <f ca="1">AVERAGE(OFFSET($AM$3,0,0,'Données projet'!$E$10+1,1))-AVERAGE(OFFSET($H$3,0,0,'Données projet'!$E$10+1,1))</f>
        <v>292.42154837691379</v>
      </c>
      <c r="AO202" s="59">
        <f t="shared" si="205"/>
        <v>193.18009444354601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13.677970675722721</v>
      </c>
      <c r="AV202" s="21">
        <f>EXP(-LN(2)/25)*AV201+(1-EXP(-LN(2)/25))/(LN(2)/25)*Calculateur!AQ202*Calculateur!AS202*VLOOKUP('Données projet'!$B$10,Paramètres!$A$1:$I$89,3,0)*0.475*44/12</f>
        <v>0.31010947583948373</v>
      </c>
      <c r="AW202" s="21">
        <f>EXP(-LN(2)/2)*AW201+(1-EXP(-LN(2)/2))/(LN(2)/2)*AQ202*AT202*VLOOKUP('Données projet'!$B$10,Paramètres!$A$1:$I$89,3,0)*0.475*44/12</f>
        <v>1.5439602710554349E-12</v>
      </c>
      <c r="AX202" s="21">
        <f t="shared" si="166"/>
        <v>13.988080151563748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322</v>
      </c>
      <c r="BE202" s="13">
        <f>BD202*VLOOKUP('Données projet'!$B$11,Paramètres!$A$1:$I$89,3,0)*VLOOKUP('Données projet'!$B$11,Paramètres!$A$1:$I$89,5,0)</f>
        <v>306.41519999999997</v>
      </c>
      <c r="BF202" s="13">
        <f t="shared" si="167"/>
        <v>72.519675217547672</v>
      </c>
      <c r="BG202" s="20">
        <f t="shared" si="168"/>
        <v>659.9782410038955</v>
      </c>
      <c r="BH202" s="59">
        <f t="shared" si="194"/>
        <v>953.31157433722888</v>
      </c>
      <c r="BI202" s="59">
        <f ca="1">AVERAGE(OFFSET($BH$3,0,0,'Données projet'!$E$11+1,1))-AVERAGE(OFFSET($H$3,0,0,'Données projet'!$E$11+1,1))</f>
        <v>339.00921630742886</v>
      </c>
      <c r="BJ202" s="59">
        <f t="shared" si="206"/>
        <v>314.95763895978303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5.3409273530291506</v>
      </c>
      <c r="BQ202" s="21">
        <f>EXP(-LN(2)/25)*BQ201+(1-EXP(-LN(2)/25))/(LN(2)/25)*Calculateur!BL202*Calculateur!BN202*VLOOKUP('Données projet'!$B$11,Paramètres!$A$1:$I$89,3,0)*0.475*44/12</f>
        <v>0.11896182652346378</v>
      </c>
      <c r="BR202" s="21">
        <f>EXP(-LN(2)/2)*BR201+(1-EXP(-LN(2)/2))/(LN(2)/2)*BL202*BO202*VLOOKUP('Données projet'!$B$11,Paramètres!$A$1:$I$89,3,0)*0.475*44/12</f>
        <v>9.1765129580407152E-18</v>
      </c>
      <c r="BS202" s="22">
        <f t="shared" si="169"/>
        <v>5.4598891795526141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296.99999999999983</v>
      </c>
      <c r="BZ202" s="13">
        <f>BY202*VLOOKUP('Données projet'!$B$12,Paramètres!$A$1:$I$89,3,0)*VLOOKUP('Données projet'!$B$12,Paramètres!$A$1:$I$89,5,0)</f>
        <v>254.82599999999988</v>
      </c>
      <c r="CA202" s="13">
        <f t="shared" si="170"/>
        <v>61.61820333959453</v>
      </c>
      <c r="CB202" s="20">
        <f t="shared" si="171"/>
        <v>551.1403208164603</v>
      </c>
      <c r="CC202" s="59">
        <f t="shared" si="195"/>
        <v>844.47365414979367</v>
      </c>
      <c r="CD202" s="59">
        <f ca="1">AVERAGE(OFFSET($CC$3,0,0,'Données projet'!$E$12+1,1))-AVERAGE(OFFSET($H$3,0,0,'Données projet'!$E$12+1,1))</f>
        <v>204.6927427024138</v>
      </c>
      <c r="CE202" s="59">
        <f t="shared" si="207"/>
        <v>115.74231133146816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7.4682701743645588</v>
      </c>
      <c r="CL202" s="21">
        <f>EXP(-LN(2)/25)*CL201+(1-EXP(-LN(2)/25))/(LN(2)/25)*Calculateur!CG202*Calculateur!CI202*VLOOKUP('Données projet'!$B$12,Paramètres!$A$1:$I$89,3,0)*0.475*44/12</f>
        <v>0.18891494359439556</v>
      </c>
      <c r="CM202" s="21">
        <f>EXP(-LN(2)/2)*CM201+(1-EXP(-LN(2)/2))/(LN(2)/2)*CG202*CJ202*VLOOKUP('Données projet'!$B$12,Paramètres!$A$1:$I$89,3,0)*0.475*44/12</f>
        <v>1.4235517054913157E-15</v>
      </c>
      <c r="CN202" s="22">
        <f t="shared" si="172"/>
        <v>7.6571851179589565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204.15575418077316</v>
      </c>
      <c r="CZ202" s="59">
        <f t="shared" si="208"/>
        <v>473.73726605265045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2.7575707444859394</v>
      </c>
      <c r="DG202" s="21">
        <f>EXP(-LN(2)/25)*DG201+(1-EXP(-LN(2)/25))/(LN(2)/25)*Calculateur!DB202*Calculateur!DD202*VLOOKUP('Données projet'!$B$13,Paramètres!$A$1:$I$89,3,0)*0.475*44/12</f>
        <v>0.42356970365951341</v>
      </c>
      <c r="DH202" s="21">
        <f>EXP(-LN(2)/2)*DH201+(1-EXP(-LN(2)/2))/(LN(2)/2)*DB202*DE202*VLOOKUP('Données projet'!$B$13,Paramètres!$A$1:$I$89,3,0)*0.475*44/12</f>
        <v>1.9690112960210378E-25</v>
      </c>
      <c r="DI202" s="22">
        <f t="shared" si="175"/>
        <v>3.1811404481454528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216.83230520434313</v>
      </c>
      <c r="T203" s="59">
        <f t="shared" si="204"/>
        <v>275.41891707278205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6.0160960176630374</v>
      </c>
      <c r="AA203" s="21">
        <f>EXP(-LN(2)/25)*AA202+(1-EXP(-LN(2)/25))/(LN(2)/25)*Calculateur!V203*Calculateur!X203*VLOOKUP('Données projet'!$B$9,Paramètres!$A$1:$I$89,3,0)*0.475*44/12</f>
        <v>0.3434962365932317</v>
      </c>
      <c r="AB203" s="21">
        <f>EXP(-LN(2)/2)*AB202+(1-EXP(-LN(2)/2))/(LN(2)/2)*V203*Y203*VLOOKUP('Données projet'!$B$9,Paramètres!$A$1:$I$89,3,0)*0.475*44/12</f>
        <v>2.6866977136896826E-22</v>
      </c>
      <c r="AC203" s="22">
        <f t="shared" si="163"/>
        <v>6.3595922542562686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268.00000000000011</v>
      </c>
      <c r="AJ203" s="13">
        <f>AI203*VLOOKUP('Données projet'!$B$10,Paramètres!$A$1:$I$89,3,0)*VLOOKUP('Données projet'!$B$10,Paramètres!$A$1:$I$89,5,0)</f>
        <v>271.75200000000012</v>
      </c>
      <c r="AK203" s="13">
        <f t="shared" si="164"/>
        <v>65.220947824724988</v>
      </c>
      <c r="AL203" s="20">
        <f t="shared" si="165"/>
        <v>586.89455079472953</v>
      </c>
      <c r="AM203" s="59">
        <f t="shared" si="193"/>
        <v>880.2278841280629</v>
      </c>
      <c r="AN203" s="59">
        <f ca="1">AVERAGE(OFFSET($AM$3,0,0,'Données projet'!$E$10+1,1))-AVERAGE(OFFSET($H$3,0,0,'Données projet'!$E$10+1,1))</f>
        <v>292.42154837691379</v>
      </c>
      <c r="AO203" s="59">
        <f t="shared" si="205"/>
        <v>193.18009444354601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13.409754013510133</v>
      </c>
      <c r="AV203" s="21">
        <f>EXP(-LN(2)/25)*AV202+(1-EXP(-LN(2)/25))/(LN(2)/25)*Calculateur!AQ203*Calculateur!AS203*VLOOKUP('Données projet'!$B$10,Paramètres!$A$1:$I$89,3,0)*0.475*44/12</f>
        <v>0.30162951591470449</v>
      </c>
      <c r="AW203" s="21">
        <f>EXP(-LN(2)/2)*AW202+(1-EXP(-LN(2)/2))/(LN(2)/2)*AQ203*AT203*VLOOKUP('Données projet'!$B$10,Paramètres!$A$1:$I$89,3,0)*0.475*44/12</f>
        <v>1.091744777545918E-12</v>
      </c>
      <c r="AX203" s="21">
        <f t="shared" si="166"/>
        <v>13.71138352942593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322</v>
      </c>
      <c r="BE203" s="13">
        <f>BD203*VLOOKUP('Données projet'!$B$11,Paramètres!$A$1:$I$89,3,0)*VLOOKUP('Données projet'!$B$11,Paramètres!$A$1:$I$89,5,0)</f>
        <v>306.41519999999997</v>
      </c>
      <c r="BF203" s="13">
        <f t="shared" si="167"/>
        <v>72.519675217547672</v>
      </c>
      <c r="BG203" s="20">
        <f t="shared" si="168"/>
        <v>659.9782410038955</v>
      </c>
      <c r="BH203" s="59">
        <f t="shared" si="194"/>
        <v>953.31157433722888</v>
      </c>
      <c r="BI203" s="59">
        <f ca="1">AVERAGE(OFFSET($BH$3,0,0,'Données projet'!$E$11+1,1))-AVERAGE(OFFSET($H$3,0,0,'Données projet'!$E$11+1,1))</f>
        <v>339.00921630742886</v>
      </c>
      <c r="BJ203" s="59">
        <f t="shared" si="206"/>
        <v>314.95763895978303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5.2361950252802689</v>
      </c>
      <c r="BQ203" s="21">
        <f>EXP(-LN(2)/25)*BQ202+(1-EXP(-LN(2)/25))/(LN(2)/25)*Calculateur!BL203*Calculateur!BN203*VLOOKUP('Données projet'!$B$11,Paramètres!$A$1:$I$89,3,0)*0.475*44/12</f>
        <v>0.11570880912124909</v>
      </c>
      <c r="BR203" s="21">
        <f>EXP(-LN(2)/2)*BR202+(1-EXP(-LN(2)/2))/(LN(2)/2)*BL203*BO203*VLOOKUP('Données projet'!$B$11,Paramètres!$A$1:$I$89,3,0)*0.475*44/12</f>
        <v>6.4887745402768141E-18</v>
      </c>
      <c r="BS203" s="22">
        <f t="shared" si="169"/>
        <v>5.3519038344015177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296.99999999999983</v>
      </c>
      <c r="BZ203" s="13">
        <f>BY203*VLOOKUP('Données projet'!$B$12,Paramètres!$A$1:$I$89,3,0)*VLOOKUP('Données projet'!$B$12,Paramètres!$A$1:$I$89,5,0)</f>
        <v>254.82599999999988</v>
      </c>
      <c r="CA203" s="13">
        <f t="shared" si="170"/>
        <v>61.61820333959453</v>
      </c>
      <c r="CB203" s="20">
        <f t="shared" si="171"/>
        <v>551.1403208164603</v>
      </c>
      <c r="CC203" s="59">
        <f t="shared" si="195"/>
        <v>844.47365414979367</v>
      </c>
      <c r="CD203" s="59">
        <f ca="1">AVERAGE(OFFSET($CC$3,0,0,'Données projet'!$E$12+1,1))-AVERAGE(OFFSET($H$3,0,0,'Données projet'!$E$12+1,1))</f>
        <v>204.6927427024138</v>
      </c>
      <c r="CE203" s="59">
        <f t="shared" si="207"/>
        <v>115.74231133146816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7.3218219514402882</v>
      </c>
      <c r="CL203" s="21">
        <f>EXP(-LN(2)/25)*CL202+(1-EXP(-LN(2)/25))/(LN(2)/25)*Calculateur!CG203*Calculateur!CI203*VLOOKUP('Données projet'!$B$12,Paramètres!$A$1:$I$89,3,0)*0.475*44/12</f>
        <v>0.18374905452720169</v>
      </c>
      <c r="CM203" s="21">
        <f>EXP(-LN(2)/2)*CM202+(1-EXP(-LN(2)/2))/(LN(2)/2)*CG203*CJ203*VLOOKUP('Données projet'!$B$12,Paramètres!$A$1:$I$89,3,0)*0.475*44/12</f>
        <v>1.0066030643225843E-15</v>
      </c>
      <c r="CN203" s="22">
        <f t="shared" si="172"/>
        <v>7.5055710059674912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204.15575418077316</v>
      </c>
      <c r="CZ203" s="59">
        <f t="shared" si="208"/>
        <v>473.73726605265045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2.7034964641386452</v>
      </c>
      <c r="DG203" s="21">
        <f>EXP(-LN(2)/25)*DG202+(1-EXP(-LN(2)/25))/(LN(2)/25)*Calculateur!DB203*Calculateur!DD203*VLOOKUP('Données projet'!$B$13,Paramètres!$A$1:$I$89,3,0)*0.475*44/12</f>
        <v>0.41198716783838141</v>
      </c>
      <c r="DH203" s="21">
        <f>EXP(-LN(2)/2)*DH202+(1-EXP(-LN(2)/2))/(LN(2)/2)*DB203*DE203*VLOOKUP('Données projet'!$B$13,Paramètres!$A$1:$I$89,3,0)*0.475*44/12</f>
        <v>1.3923012396493883E-25</v>
      </c>
      <c r="DI203" s="22">
        <f t="shared" si="175"/>
        <v>3.1154836319770265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1.3874918282171698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1.3093577517960842</v>
      </c>
      <c r="BV205" s="82">
        <f>EXP(LN('Données projet'!B114)/'Données projet'!A114)</f>
        <v>1.1537474708328095</v>
      </c>
      <c r="CQ205" s="82">
        <f>EXP(LN('Données projet'!B140)/'Données projet'!A140)</f>
        <v>1.6206565966927624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taeda</v>
      </c>
      <c r="B6" s="146">
        <f>'Données projet'!D9</f>
        <v>1.04</v>
      </c>
      <c r="C6" s="147">
        <f ca="1">IF(OR('Données projet'!B9="",'Données projet'!C9="",'Données projet'!C9=0%),0,Calculateur!S3)</f>
        <v>216.83230520434313</v>
      </c>
      <c r="D6" s="147">
        <f>IF(OR('Données projet'!B9="",'Données projet'!C9="",'Données projet'!C9=0%),0,Calculateur!T3)</f>
        <v>275.41891707278205</v>
      </c>
      <c r="E6" s="147">
        <f ca="1">MIN(C6,D6)</f>
        <v>216.83230520434313</v>
      </c>
      <c r="F6" s="147">
        <f ca="1">E6*B6</f>
        <v>225.50559741251686</v>
      </c>
      <c r="G6" s="147">
        <f ca="1">F6*(100%-'Données projet'!$C$24)*(100%-'Données projet'!$C$25)*(100%-'Données projet'!$C$26)*(100%-'Données projet'!$C$27)</f>
        <v>192.80728578770191</v>
      </c>
      <c r="H6" s="148">
        <f>IF(OR('Données projet'!B9="",'Données projet'!C9="",'Données projet'!C9=0%),0,AVERAGE(Calculateur!$AC$3:$AC$33)*B6)</f>
        <v>10.561065041686083</v>
      </c>
      <c r="I6" s="149">
        <f>H6*(100%-'Données projet'!$C$24)*(100%-'Données projet'!$C$25)*(100%-'Données projet'!$C$26)*(100%-'Données projet'!$C$27)</f>
        <v>9.029710610641601</v>
      </c>
      <c r="J6" s="150">
        <f>IF(OR('Données projet'!B9="",'Données projet'!C9="",'Données projet'!C9=0%),0,SUM(Calculateur!$V$3:$V$33)*VLOOKUP('Données projet'!$B$9,Paramètres!$A$1:$I$89,9,0)*B6)</f>
        <v>55.9</v>
      </c>
      <c r="K6" s="151">
        <f>J6*(100%-'Données projet'!$C$24)*(100%-'Données projet'!$C$25)*(100%-'Données projet'!$C$26)*(100%-'Données projet'!$C$27)</f>
        <v>47.794499999999999</v>
      </c>
      <c r="L6" s="152">
        <f ca="1">G6+I6+K6</f>
        <v>249.6314963983435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0.41600000000000004</v>
      </c>
      <c r="C7" s="147">
        <f ca="1">IF(OR('Données projet'!B10="",'Données projet'!C10="",'Données projet'!C10=0%),0,Calculateur!AN3)</f>
        <v>292.42154837691379</v>
      </c>
      <c r="D7" s="147">
        <f>IF(OR('Données projet'!B10="",'Données projet'!C10="",'Données projet'!C10=0%),0,Calculateur!AO3)</f>
        <v>193.18009444354601</v>
      </c>
      <c r="E7" s="147">
        <f t="shared" ref="E7:E15" ca="1" si="0">MIN(C7,D7)</f>
        <v>193.18009444354601</v>
      </c>
      <c r="F7" s="147">
        <f t="shared" ref="F7:F15" ca="1" si="1">E7*B7</f>
        <v>80.362919288515144</v>
      </c>
      <c r="G7" s="147">
        <f ca="1">F7*(100%-'Données projet'!$C$24)*(100%-'Données projet'!$C$25)*(100%-'Données projet'!$C$26)*(100%-'Données projet'!$C$27)</f>
        <v>68.710295991680454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3.0160000000000005</v>
      </c>
      <c r="K7" s="151">
        <f>J7*(100%-'Données projet'!$C$24)*(100%-'Données projet'!$C$25)*(100%-'Données projet'!$C$26)*(100%-'Données projet'!$C$27)</f>
        <v>2.5786800000000003</v>
      </c>
      <c r="L7" s="152">
        <f t="shared" ref="L7:L15" ca="1" si="2">G7+I7+K7</f>
        <v>71.288975991680459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Charme</v>
      </c>
      <c r="B8" s="154">
        <f>'Données projet'!D11</f>
        <v>0.13</v>
      </c>
      <c r="C8" s="147">
        <f ca="1">IF(OR('Données projet'!B11="",'Données projet'!C11="",'Données projet'!C11=0%),0,Calculateur!BI3)</f>
        <v>339.00921630742886</v>
      </c>
      <c r="D8" s="147">
        <f>IF(OR('Données projet'!B11="",'Données projet'!C11="",'Données projet'!C11=0%),0,Calculateur!BJ3)</f>
        <v>314.95763895978303</v>
      </c>
      <c r="E8" s="147">
        <f t="shared" ca="1" si="0"/>
        <v>314.95763895978303</v>
      </c>
      <c r="F8" s="147">
        <f t="shared" ca="1" si="1"/>
        <v>40.944493064771798</v>
      </c>
      <c r="G8" s="147">
        <f ca="1">F8*(100%-'Données projet'!$C$24)*(100%-'Données projet'!$C$25)*(100%-'Données projet'!$C$26)*(100%-'Données projet'!$C$27)</f>
        <v>35.007541570379885</v>
      </c>
      <c r="H8" s="155">
        <f>IF(OR('Données projet'!B11="",'Données projet'!C11="",'Données projet'!C11=0%),0,AVERAGE(Calculateur!$BS$3:$BS$33)*B8)</f>
        <v>0.12813213567256679</v>
      </c>
      <c r="I8" s="149">
        <f>H8*(100%-'Données projet'!$C$24)*(100%-'Données projet'!$C$25)*(100%-'Données projet'!$C$26)*(100%-'Données projet'!$C$27)</f>
        <v>0.1095529760000446</v>
      </c>
      <c r="J8" s="150">
        <f>IF(OR('Données projet'!B11="",'Données projet'!C11="",'Données projet'!C11=0%),0,SUM(Calculateur!$BL$3:$BL$33)*VLOOKUP('Données projet'!$B$11,Paramètres!$A$1:$I$89,9,0)*B8)</f>
        <v>2.145</v>
      </c>
      <c r="K8" s="151">
        <f>J8*(100%-'Données projet'!$C$24)*(100%-'Données projet'!$C$25)*(100%-'Données projet'!$C$26)*(100%-'Données projet'!$C$27)</f>
        <v>1.8339749999999999</v>
      </c>
      <c r="L8" s="152">
        <f t="shared" ca="1" si="2"/>
        <v>36.951069546379934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Hêtre</v>
      </c>
      <c r="B9" s="154">
        <f>'Données projet'!D12</f>
        <v>0.13</v>
      </c>
      <c r="C9" s="147">
        <f ca="1">IF(OR('Données projet'!B12="",'Données projet'!C12="",'Données projet'!C12=0%),0,Calculateur!CD3)</f>
        <v>204.6927427024138</v>
      </c>
      <c r="D9" s="147">
        <f>IF(OR('Données projet'!B12="",'Données projet'!C12="",'Données projet'!C12=0%),0,Calculateur!CE3)</f>
        <v>115.74231133146816</v>
      </c>
      <c r="E9" s="147">
        <f t="shared" ca="1" si="0"/>
        <v>115.74231133146816</v>
      </c>
      <c r="F9" s="147">
        <f t="shared" ca="1" si="1"/>
        <v>15.046500473090861</v>
      </c>
      <c r="G9" s="147">
        <f ca="1">F9*(100%-'Données projet'!$C$24)*(100%-'Données projet'!$C$25)*(100%-'Données projet'!$C$26)*(100%-'Données projet'!$C$27)</f>
        <v>12.864757904492684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0.39</v>
      </c>
      <c r="K9" s="151">
        <f>J9*(100%-'Données projet'!$C$24)*(100%-'Données projet'!$C$25)*(100%-'Données projet'!$C$26)*(100%-'Données projet'!$C$27)</f>
        <v>0.33345000000000002</v>
      </c>
      <c r="L9" s="152">
        <f t="shared" ca="1" si="2"/>
        <v>13.198207904492683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Peuplier Koster</v>
      </c>
      <c r="B10" s="154">
        <f>'Données projet'!D13</f>
        <v>0.8580000000000001</v>
      </c>
      <c r="C10" s="147">
        <f ca="1">IF(OR('Données projet'!B13="",'Données projet'!C13="",'Données projet'!C13=0%),0,Calculateur!CY3)</f>
        <v>204.15575418077316</v>
      </c>
      <c r="D10" s="147">
        <f>IF(OR('Données projet'!B13="",'Données projet'!C13="",'Données projet'!C13=0%),0,Calculateur!CZ3)</f>
        <v>473.73726605265045</v>
      </c>
      <c r="E10" s="147">
        <f t="shared" ca="1" si="0"/>
        <v>204.15575418077316</v>
      </c>
      <c r="F10" s="147">
        <f t="shared" ca="1" si="1"/>
        <v>175.16563708710339</v>
      </c>
      <c r="G10" s="147">
        <f ca="1">F10*(100%-'Données projet'!$C$24)*(100%-'Données projet'!$C$25)*(100%-'Données projet'!$C$26)*(100%-'Données projet'!$C$27)</f>
        <v>149.76661970947342</v>
      </c>
      <c r="H10" s="155">
        <f>IF(OR('Données projet'!B13="",'Données projet'!C13="",'Données projet'!C13=0%),0,AVERAGE(Calculateur!$DI$3:$DI$33)*B10)</f>
        <v>19.682453857446355</v>
      </c>
      <c r="I10" s="149">
        <f>H10*(100%-'Données projet'!$C$24)*(100%-'Données projet'!$C$25)*(100%-'Données projet'!$C$26)*(100%-'Données projet'!$C$27)</f>
        <v>16.828498048116632</v>
      </c>
      <c r="J10" s="150">
        <f>IF(OR('Données projet'!B13="",'Données projet'!C13="",'Données projet'!C13=0%),0,SUM(Calculateur!$DB$3:$DB$33)*VLOOKUP('Données projet'!$B$13,Paramètres!$A$1:$I$89,9,0)*B10)</f>
        <v>396.79926000000006</v>
      </c>
      <c r="K10" s="151">
        <f>J10*(100%-'Données projet'!$C$24)*(100%-'Données projet'!$C$25)*(100%-'Données projet'!$C$26)*(100%-'Données projet'!$C$27)</f>
        <v>339.26336730000003</v>
      </c>
      <c r="L10" s="152">
        <f t="shared" ca="1" si="2"/>
        <v>505.85848505759009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537.02514732599809</v>
      </c>
      <c r="G16" s="166">
        <f t="shared" ca="1" si="3"/>
        <v>459.15650096372838</v>
      </c>
      <c r="H16" s="167">
        <f t="shared" si="3"/>
        <v>30.371651034805005</v>
      </c>
      <c r="I16" s="167">
        <f t="shared" si="3"/>
        <v>25.967761634758276</v>
      </c>
      <c r="J16" s="168">
        <f t="shared" si="3"/>
        <v>458.25026000000008</v>
      </c>
      <c r="K16" s="168">
        <f t="shared" si="3"/>
        <v>391.80397230000005</v>
      </c>
      <c r="L16" s="169">
        <f t="shared" ca="1" si="3"/>
        <v>876.92823489848661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Hêtre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Peuplier Koster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S3" zoomScale="80" zoomScaleNormal="80" workbookViewId="0">
      <selection activeCell="O17" sqref="O1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3236.8987972754303</v>
      </c>
      <c r="U10" s="178">
        <f>'Données projet'!D9</f>
        <v>1.04</v>
      </c>
      <c r="V10" s="177">
        <f>U10*T10</f>
        <v>3366.3747491664476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744.06135968953936</v>
      </c>
      <c r="U11" s="178">
        <f>'Données projet'!D10</f>
        <v>0.41600000000000004</v>
      </c>
      <c r="V11" s="177">
        <f t="shared" ref="V11" si="0">U11*T11</f>
        <v>309.52952563084841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809.66230515747156</v>
      </c>
      <c r="U12" s="178">
        <f>'Données projet'!D11</f>
        <v>0.13</v>
      </c>
      <c r="V12" s="177">
        <f t="shared" ref="V12:V19" si="1">U12*T12</f>
        <v>105.2560996704713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Hêtre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664.94905596007322</v>
      </c>
      <c r="U13" s="178">
        <f>'Données projet'!D12</f>
        <v>0.13</v>
      </c>
      <c r="V13" s="177">
        <f t="shared" si="1"/>
        <v>86.443377274809521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Peuplier Koster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7524.5512026911083</v>
      </c>
      <c r="U14" s="178">
        <f>'Données projet'!D13</f>
        <v>0.8580000000000001</v>
      </c>
      <c r="V14" s="177">
        <f t="shared" si="1"/>
        <v>6456.0649319089716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3200.0000000000045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6844+180</f>
        <v>7024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180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180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22.3</v>
      </c>
      <c r="C23" s="193">
        <v>10</v>
      </c>
      <c r="D23" s="182">
        <f>B23*C23</f>
        <v>223</v>
      </c>
      <c r="E23" s="193">
        <f>75+(D23*12%)</f>
        <v>101.75999999999999</v>
      </c>
      <c r="F23" s="230"/>
      <c r="H23" s="190">
        <v>4</v>
      </c>
      <c r="I23" s="191">
        <v>180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-8758.9744040332062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15</v>
      </c>
      <c r="B24" s="181">
        <f>'Données projet'!D37</f>
        <v>10.3</v>
      </c>
      <c r="C24" s="193">
        <v>10</v>
      </c>
      <c r="D24" s="182">
        <f t="shared" ref="D24:D42" si="2">B24*C24</f>
        <v>103</v>
      </c>
      <c r="E24" s="193">
        <f t="shared" ref="E24:E32" si="3">75+(D24*12%)</f>
        <v>87.36</v>
      </c>
      <c r="F24" s="233"/>
      <c r="H24" s="190">
        <v>5</v>
      </c>
      <c r="I24" s="191">
        <v>180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245.93485910326567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17</v>
      </c>
      <c r="B25" s="181">
        <f>'Données projet'!D38</f>
        <v>10.3</v>
      </c>
      <c r="C25" s="193">
        <v>20</v>
      </c>
      <c r="D25" s="182">
        <f t="shared" si="2"/>
        <v>206</v>
      </c>
      <c r="E25" s="193">
        <f t="shared" si="3"/>
        <v>99.72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-9004.9092631364711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19</v>
      </c>
      <c r="B26" s="181">
        <f>'Données projet'!D39</f>
        <v>11.5</v>
      </c>
      <c r="C26" s="193">
        <v>20</v>
      </c>
      <c r="D26" s="182">
        <f t="shared" si="2"/>
        <v>230</v>
      </c>
      <c r="E26" s="193">
        <f t="shared" si="3"/>
        <v>102.6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21</v>
      </c>
      <c r="B27" s="181">
        <f>'Données projet'!D40</f>
        <v>13.7</v>
      </c>
      <c r="C27" s="193">
        <v>20</v>
      </c>
      <c r="D27" s="182">
        <f t="shared" si="2"/>
        <v>274</v>
      </c>
      <c r="E27" s="193">
        <f t="shared" si="3"/>
        <v>107.88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23</v>
      </c>
      <c r="B28" s="181">
        <f>'Données projet'!D41</f>
        <v>13.3</v>
      </c>
      <c r="C28" s="193">
        <v>28</v>
      </c>
      <c r="D28" s="182">
        <f t="shared" si="2"/>
        <v>372.40000000000003</v>
      </c>
      <c r="E28" s="193">
        <f t="shared" si="3"/>
        <v>119.688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25</v>
      </c>
      <c r="B29" s="181">
        <f>'Données projet'!D42</f>
        <v>14.6</v>
      </c>
      <c r="C29" s="193">
        <v>30</v>
      </c>
      <c r="D29" s="182">
        <f t="shared" si="2"/>
        <v>438</v>
      </c>
      <c r="E29" s="193">
        <f t="shared" si="3"/>
        <v>127.56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27</v>
      </c>
      <c r="B30" s="181">
        <f>'Données projet'!D43</f>
        <v>16.3</v>
      </c>
      <c r="C30" s="193">
        <v>35</v>
      </c>
      <c r="D30" s="182">
        <f t="shared" si="2"/>
        <v>570.5</v>
      </c>
      <c r="E30" s="193">
        <f t="shared" si="3"/>
        <v>143.45999999999998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29</v>
      </c>
      <c r="B31" s="181">
        <f>'Données projet'!D44</f>
        <v>12.7</v>
      </c>
      <c r="C31" s="193">
        <v>40</v>
      </c>
      <c r="D31" s="182">
        <f t="shared" si="2"/>
        <v>508</v>
      </c>
      <c r="E31" s="193">
        <f t="shared" si="3"/>
        <v>135.96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45</v>
      </c>
      <c r="B32" s="181">
        <f>'Données projet'!D45</f>
        <v>471</v>
      </c>
      <c r="C32" s="193">
        <v>45</v>
      </c>
      <c r="D32" s="182">
        <f t="shared" si="2"/>
        <v>21195</v>
      </c>
      <c r="E32" s="193">
        <f t="shared" si="3"/>
        <v>2618.4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8</v>
      </c>
      <c r="C54" s="191">
        <v>13</v>
      </c>
      <c r="D54" s="179">
        <f>B54*C54</f>
        <v>104</v>
      </c>
      <c r="E54" s="193">
        <f>75+(D54*12%)</f>
        <v>87.48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21</v>
      </c>
      <c r="C55" s="191">
        <v>13</v>
      </c>
      <c r="D55" s="179">
        <f t="shared" ref="D55:D73" si="5">B55*C55</f>
        <v>273</v>
      </c>
      <c r="E55" s="193">
        <f t="shared" ref="E55:E73" si="6">75+(D55*12%)</f>
        <v>107.75999999999999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35</v>
      </c>
      <c r="B56" s="181">
        <f>'Données projet'!D64</f>
        <v>21</v>
      </c>
      <c r="C56" s="191">
        <v>25</v>
      </c>
      <c r="D56" s="179">
        <f t="shared" si="5"/>
        <v>525</v>
      </c>
      <c r="E56" s="193">
        <f t="shared" si="6"/>
        <v>138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21</v>
      </c>
      <c r="C57" s="191">
        <v>25</v>
      </c>
      <c r="D57" s="179">
        <f t="shared" si="5"/>
        <v>525</v>
      </c>
      <c r="E57" s="193">
        <f t="shared" si="6"/>
        <v>138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45</v>
      </c>
      <c r="B58" s="181">
        <f>'Données projet'!D66</f>
        <v>21</v>
      </c>
      <c r="C58" s="191">
        <v>40</v>
      </c>
      <c r="D58" s="179">
        <f t="shared" si="5"/>
        <v>840</v>
      </c>
      <c r="E58" s="193">
        <f t="shared" si="6"/>
        <v>175.8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50</v>
      </c>
      <c r="B59" s="181">
        <f>'Données projet'!D67</f>
        <v>21</v>
      </c>
      <c r="C59" s="191">
        <v>40</v>
      </c>
      <c r="D59" s="179">
        <f t="shared" si="5"/>
        <v>840</v>
      </c>
      <c r="E59" s="193">
        <f t="shared" si="6"/>
        <v>175.8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55</v>
      </c>
      <c r="B60" s="181">
        <f>'Données projet'!D68</f>
        <v>21</v>
      </c>
      <c r="C60" s="191">
        <v>50</v>
      </c>
      <c r="D60" s="179">
        <f t="shared" si="5"/>
        <v>1050</v>
      </c>
      <c r="E60" s="193">
        <f t="shared" si="6"/>
        <v>201</v>
      </c>
      <c r="F60" s="232"/>
      <c r="G60" s="206"/>
      <c r="H60" s="190"/>
      <c r="I60" s="191"/>
      <c r="J60" s="23"/>
      <c r="K60" s="173"/>
      <c r="L60" s="4"/>
      <c r="M60" s="4"/>
      <c r="N60" s="4"/>
      <c r="O60" s="194" t="str">
        <f>IF(O59+1&lt;=MIN('Données projet'!$E$9:$E$18),O59+1,"STOP")</f>
        <v>STOP</v>
      </c>
      <c r="P60" s="185" t="e">
        <f t="shared" si="4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21</v>
      </c>
      <c r="C61" s="191">
        <v>50</v>
      </c>
      <c r="D61" s="179">
        <f t="shared" si="5"/>
        <v>1050</v>
      </c>
      <c r="E61" s="193">
        <f t="shared" si="6"/>
        <v>201</v>
      </c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4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65</v>
      </c>
      <c r="B62" s="181">
        <f>'Données projet'!D70</f>
        <v>21</v>
      </c>
      <c r="C62" s="191">
        <v>50</v>
      </c>
      <c r="D62" s="179">
        <f t="shared" si="5"/>
        <v>1050</v>
      </c>
      <c r="E62" s="193">
        <f t="shared" si="6"/>
        <v>201</v>
      </c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4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70</v>
      </c>
      <c r="B63" s="181">
        <f>'Données projet'!D71</f>
        <v>21</v>
      </c>
      <c r="C63" s="191">
        <v>60</v>
      </c>
      <c r="D63" s="179">
        <f t="shared" si="5"/>
        <v>1260</v>
      </c>
      <c r="E63" s="193">
        <f t="shared" si="6"/>
        <v>226.2</v>
      </c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4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75</v>
      </c>
      <c r="B64" s="181">
        <f>'Données projet'!D72</f>
        <v>21</v>
      </c>
      <c r="C64" s="191">
        <v>6</v>
      </c>
      <c r="D64" s="179">
        <f t="shared" si="5"/>
        <v>126</v>
      </c>
      <c r="E64" s="193">
        <f t="shared" si="6"/>
        <v>90.12</v>
      </c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4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80</v>
      </c>
      <c r="B65" s="181">
        <f>'Données projet'!D73</f>
        <v>21</v>
      </c>
      <c r="C65" s="191">
        <v>70</v>
      </c>
      <c r="D65" s="179">
        <f t="shared" si="5"/>
        <v>1470</v>
      </c>
      <c r="E65" s="193">
        <f t="shared" si="6"/>
        <v>251.4</v>
      </c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7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85</v>
      </c>
      <c r="B66" s="181">
        <f>'Données projet'!D74</f>
        <v>21</v>
      </c>
      <c r="C66" s="191">
        <v>70</v>
      </c>
      <c r="D66" s="179">
        <f t="shared" si="5"/>
        <v>1470</v>
      </c>
      <c r="E66" s="193">
        <f t="shared" si="6"/>
        <v>251.4</v>
      </c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7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90</v>
      </c>
      <c r="B67" s="181">
        <f>'Données projet'!D75</f>
        <v>21</v>
      </c>
      <c r="C67" s="191">
        <v>80</v>
      </c>
      <c r="D67" s="179">
        <f t="shared" si="5"/>
        <v>1680</v>
      </c>
      <c r="E67" s="193">
        <f t="shared" si="6"/>
        <v>276.60000000000002</v>
      </c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7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95</v>
      </c>
      <c r="B68" s="181">
        <f>'Données projet'!D76</f>
        <v>21</v>
      </c>
      <c r="C68" s="191">
        <v>80</v>
      </c>
      <c r="D68" s="179">
        <f t="shared" si="5"/>
        <v>1680</v>
      </c>
      <c r="E68" s="193">
        <f t="shared" si="6"/>
        <v>276.60000000000002</v>
      </c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7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100</v>
      </c>
      <c r="B69" s="181">
        <f>'Données projet'!D77</f>
        <v>21</v>
      </c>
      <c r="C69" s="191">
        <v>90</v>
      </c>
      <c r="D69" s="179">
        <f t="shared" si="5"/>
        <v>1890</v>
      </c>
      <c r="E69" s="193">
        <f t="shared" si="6"/>
        <v>301.79999999999995</v>
      </c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7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105</v>
      </c>
      <c r="B70" s="181">
        <f>'Données projet'!D78</f>
        <v>20</v>
      </c>
      <c r="C70" s="191">
        <v>120</v>
      </c>
      <c r="D70" s="179">
        <f t="shared" si="5"/>
        <v>2400</v>
      </c>
      <c r="E70" s="193">
        <f t="shared" si="6"/>
        <v>363</v>
      </c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7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110</v>
      </c>
      <c r="B71" s="181">
        <f>'Données projet'!D79</f>
        <v>19</v>
      </c>
      <c r="C71" s="191">
        <v>120</v>
      </c>
      <c r="D71" s="179">
        <f t="shared" si="5"/>
        <v>2280</v>
      </c>
      <c r="E71" s="193">
        <f t="shared" si="6"/>
        <v>348.59999999999997</v>
      </c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7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115</v>
      </c>
      <c r="B72" s="181">
        <f>'Données projet'!D80</f>
        <v>18</v>
      </c>
      <c r="C72" s="191">
        <v>130</v>
      </c>
      <c r="D72" s="179">
        <f t="shared" si="5"/>
        <v>2340</v>
      </c>
      <c r="E72" s="193">
        <f t="shared" si="6"/>
        <v>355.8</v>
      </c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7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120</v>
      </c>
      <c r="B73" s="181">
        <f>'Données projet'!D81</f>
        <v>17</v>
      </c>
      <c r="C73" s="191">
        <v>140</v>
      </c>
      <c r="D73" s="179">
        <f t="shared" si="5"/>
        <v>2380</v>
      </c>
      <c r="E73" s="193">
        <f t="shared" si="6"/>
        <v>360.59999999999997</v>
      </c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7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7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7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7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7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7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7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7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7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7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7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7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11</v>
      </c>
      <c r="C85" s="191">
        <v>12</v>
      </c>
      <c r="D85" s="179">
        <f>B85*C85</f>
        <v>132</v>
      </c>
      <c r="E85" s="193">
        <f>75+(D85*12%)</f>
        <v>90.84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7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15</v>
      </c>
      <c r="C86" s="191">
        <v>12</v>
      </c>
      <c r="D86" s="179">
        <f t="shared" ref="D86:D104" si="8">B86*C86</f>
        <v>180</v>
      </c>
      <c r="E86" s="193">
        <f t="shared" ref="E86:E99" si="9">75+(D86*12%)</f>
        <v>96.6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7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19</v>
      </c>
      <c r="C87" s="191">
        <v>20</v>
      </c>
      <c r="D87" s="179">
        <f t="shared" si="8"/>
        <v>380</v>
      </c>
      <c r="E87" s="193">
        <f t="shared" si="9"/>
        <v>120.6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7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21</v>
      </c>
      <c r="C88" s="191">
        <v>20</v>
      </c>
      <c r="D88" s="179">
        <f t="shared" si="8"/>
        <v>420</v>
      </c>
      <c r="E88" s="193">
        <f t="shared" si="9"/>
        <v>125.4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7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35</v>
      </c>
      <c r="B89" s="181">
        <f>'Données projet'!D92</f>
        <v>22</v>
      </c>
      <c r="C89" s="191">
        <v>20</v>
      </c>
      <c r="D89" s="179">
        <f t="shared" si="8"/>
        <v>440</v>
      </c>
      <c r="E89" s="193">
        <f t="shared" si="9"/>
        <v>127.8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7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23</v>
      </c>
      <c r="C90" s="191">
        <v>30</v>
      </c>
      <c r="D90" s="179">
        <f t="shared" si="8"/>
        <v>690</v>
      </c>
      <c r="E90" s="193">
        <f t="shared" si="9"/>
        <v>157.80000000000001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7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45</v>
      </c>
      <c r="B91" s="181">
        <f>'Données projet'!D94</f>
        <v>24</v>
      </c>
      <c r="C91" s="191">
        <v>30</v>
      </c>
      <c r="D91" s="179">
        <f t="shared" si="8"/>
        <v>720</v>
      </c>
      <c r="E91" s="193">
        <f t="shared" si="9"/>
        <v>161.39999999999998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7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24</v>
      </c>
      <c r="C92" s="191">
        <v>30</v>
      </c>
      <c r="D92" s="179">
        <f t="shared" si="8"/>
        <v>720</v>
      </c>
      <c r="E92" s="193">
        <f t="shared" si="9"/>
        <v>161.39999999999998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7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55</v>
      </c>
      <c r="B93" s="181">
        <f>'Données projet'!D96</f>
        <v>23</v>
      </c>
      <c r="C93" s="191">
        <v>40</v>
      </c>
      <c r="D93" s="179">
        <f t="shared" si="8"/>
        <v>920</v>
      </c>
      <c r="E93" s="193">
        <f t="shared" si="9"/>
        <v>185.39999999999998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7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60</v>
      </c>
      <c r="B94" s="181">
        <f>'Données projet'!D97</f>
        <v>23</v>
      </c>
      <c r="C94" s="191">
        <v>40</v>
      </c>
      <c r="D94" s="179">
        <f t="shared" si="8"/>
        <v>920</v>
      </c>
      <c r="E94" s="193">
        <f t="shared" si="9"/>
        <v>185.39999999999998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7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65</v>
      </c>
      <c r="B95" s="181">
        <f>'Données projet'!D98</f>
        <v>23</v>
      </c>
      <c r="C95" s="191">
        <v>40</v>
      </c>
      <c r="D95" s="179">
        <f t="shared" si="8"/>
        <v>920</v>
      </c>
      <c r="E95" s="193">
        <f t="shared" si="9"/>
        <v>185.39999999999998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7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70</v>
      </c>
      <c r="B96" s="181">
        <f>'Données projet'!D99</f>
        <v>22</v>
      </c>
      <c r="C96" s="191">
        <v>50</v>
      </c>
      <c r="D96" s="179">
        <f t="shared" si="8"/>
        <v>1100</v>
      </c>
      <c r="E96" s="193">
        <f t="shared" si="9"/>
        <v>207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7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75</v>
      </c>
      <c r="B97" s="181">
        <f>'Données projet'!D100</f>
        <v>22</v>
      </c>
      <c r="C97" s="191">
        <v>50</v>
      </c>
      <c r="D97" s="179">
        <f t="shared" si="8"/>
        <v>1100</v>
      </c>
      <c r="E97" s="193">
        <f t="shared" si="9"/>
        <v>207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0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80</v>
      </c>
      <c r="B98" s="181">
        <f>'Données projet'!D101</f>
        <v>21</v>
      </c>
      <c r="C98" s="191">
        <v>60</v>
      </c>
      <c r="D98" s="179">
        <f t="shared" si="8"/>
        <v>1260</v>
      </c>
      <c r="E98" s="193">
        <f t="shared" si="9"/>
        <v>226.2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0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85</v>
      </c>
      <c r="B99" s="181">
        <f>'Données projet'!D102</f>
        <v>20</v>
      </c>
      <c r="C99" s="191">
        <v>70</v>
      </c>
      <c r="D99" s="179">
        <f t="shared" si="8"/>
        <v>1400</v>
      </c>
      <c r="E99" s="193">
        <f t="shared" si="9"/>
        <v>243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0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0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0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0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0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0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0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0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Hêtre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0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0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0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0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0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0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0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0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0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30</v>
      </c>
      <c r="B116" s="181">
        <f>'Données projet'!D114</f>
        <v>12</v>
      </c>
      <c r="C116" s="191">
        <v>10</v>
      </c>
      <c r="D116" s="179">
        <f>B116*C116</f>
        <v>120</v>
      </c>
      <c r="E116" s="193">
        <f>75+(D116*12%)</f>
        <v>89.4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0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35</v>
      </c>
      <c r="B117" s="181">
        <f>'Données projet'!D115</f>
        <v>21</v>
      </c>
      <c r="C117" s="191">
        <v>15</v>
      </c>
      <c r="D117" s="179">
        <f t="shared" ref="D117:D135" si="11">B117*C117</f>
        <v>315</v>
      </c>
      <c r="E117" s="193">
        <f t="shared" ref="E117:E130" si="12">75+(D117*12%)</f>
        <v>112.8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0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21</v>
      </c>
      <c r="C118" s="191">
        <v>18</v>
      </c>
      <c r="D118" s="179">
        <f t="shared" si="11"/>
        <v>378</v>
      </c>
      <c r="E118" s="193">
        <f t="shared" si="12"/>
        <v>120.36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0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45</v>
      </c>
      <c r="B119" s="181">
        <f>'Données projet'!D117</f>
        <v>21</v>
      </c>
      <c r="C119" s="191">
        <v>30</v>
      </c>
      <c r="D119" s="179">
        <f t="shared" si="11"/>
        <v>630</v>
      </c>
      <c r="E119" s="193">
        <f t="shared" si="12"/>
        <v>150.6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0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50</v>
      </c>
      <c r="B120" s="181">
        <f>'Données projet'!D118</f>
        <v>21</v>
      </c>
      <c r="C120" s="191">
        <v>40</v>
      </c>
      <c r="D120" s="179">
        <f t="shared" si="11"/>
        <v>840</v>
      </c>
      <c r="E120" s="193">
        <f t="shared" si="12"/>
        <v>175.8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0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55</v>
      </c>
      <c r="B121" s="181">
        <f>'Données projet'!D119</f>
        <v>21</v>
      </c>
      <c r="C121" s="191">
        <v>40</v>
      </c>
      <c r="D121" s="179">
        <f t="shared" si="11"/>
        <v>840</v>
      </c>
      <c r="E121" s="193">
        <f t="shared" si="12"/>
        <v>175.8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0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60</v>
      </c>
      <c r="B122" s="181">
        <f>'Données projet'!D120</f>
        <v>21</v>
      </c>
      <c r="C122" s="191">
        <v>50</v>
      </c>
      <c r="D122" s="179">
        <f t="shared" si="11"/>
        <v>1050</v>
      </c>
      <c r="E122" s="193">
        <f t="shared" si="12"/>
        <v>201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0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65</v>
      </c>
      <c r="B123" s="181">
        <f>'Données projet'!D121</f>
        <v>21</v>
      </c>
      <c r="C123" s="191">
        <v>50</v>
      </c>
      <c r="D123" s="179">
        <f t="shared" si="11"/>
        <v>1050</v>
      </c>
      <c r="E123" s="193">
        <f t="shared" si="12"/>
        <v>201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0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70</v>
      </c>
      <c r="B124" s="181">
        <f>'Données projet'!D122</f>
        <v>21</v>
      </c>
      <c r="C124" s="191">
        <v>70</v>
      </c>
      <c r="D124" s="179">
        <f t="shared" si="11"/>
        <v>1470</v>
      </c>
      <c r="E124" s="193">
        <f t="shared" si="12"/>
        <v>251.4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0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75</v>
      </c>
      <c r="B125" s="181">
        <f>'Données projet'!D123</f>
        <v>21</v>
      </c>
      <c r="C125" s="191">
        <v>70</v>
      </c>
      <c r="D125" s="179">
        <f t="shared" si="11"/>
        <v>1470</v>
      </c>
      <c r="E125" s="193">
        <f t="shared" si="12"/>
        <v>251.4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0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80</v>
      </c>
      <c r="B126" s="181">
        <f>'Données projet'!D124</f>
        <v>21</v>
      </c>
      <c r="C126" s="191">
        <v>80</v>
      </c>
      <c r="D126" s="179">
        <f t="shared" si="11"/>
        <v>1680</v>
      </c>
      <c r="E126" s="193">
        <f t="shared" si="12"/>
        <v>276.60000000000002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0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85</v>
      </c>
      <c r="B127" s="181">
        <f>'Données projet'!D125</f>
        <v>21</v>
      </c>
      <c r="C127" s="191">
        <v>80</v>
      </c>
      <c r="D127" s="179">
        <f t="shared" si="11"/>
        <v>1680</v>
      </c>
      <c r="E127" s="193">
        <f t="shared" si="12"/>
        <v>276.60000000000002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0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90</v>
      </c>
      <c r="B128" s="181">
        <f>'Données projet'!D126</f>
        <v>21</v>
      </c>
      <c r="C128" s="191">
        <v>90</v>
      </c>
      <c r="D128" s="179">
        <f t="shared" si="11"/>
        <v>1890</v>
      </c>
      <c r="E128" s="193">
        <f t="shared" si="12"/>
        <v>301.79999999999995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0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95</v>
      </c>
      <c r="B129" s="181">
        <f>'Données projet'!D127</f>
        <v>20</v>
      </c>
      <c r="C129" s="191">
        <v>100</v>
      </c>
      <c r="D129" s="179">
        <f t="shared" si="11"/>
        <v>2000</v>
      </c>
      <c r="E129" s="193">
        <f t="shared" si="12"/>
        <v>315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3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100</v>
      </c>
      <c r="B130" s="181">
        <f>'Données projet'!D128</f>
        <v>19</v>
      </c>
      <c r="C130" s="191">
        <v>150</v>
      </c>
      <c r="D130" s="179">
        <f t="shared" si="11"/>
        <v>2850</v>
      </c>
      <c r="E130" s="193">
        <f t="shared" si="12"/>
        <v>417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3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1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3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1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3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1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1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1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Peuplier Koster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5">
        <f>'Données projet'!D141</f>
        <v>0</v>
      </c>
      <c r="C148" s="191"/>
      <c r="D148" s="182">
        <f t="shared" ref="D148:D166" si="14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5">
        <f>'Données projet'!D142</f>
        <v>0</v>
      </c>
      <c r="C149" s="191"/>
      <c r="D149" s="182">
        <f t="shared" si="14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22</v>
      </c>
      <c r="B150" s="175">
        <f>'Données projet'!D143</f>
        <v>0</v>
      </c>
      <c r="C150" s="191"/>
      <c r="D150" s="182">
        <f t="shared" si="14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24</v>
      </c>
      <c r="B151" s="175">
        <f>'Données projet'!D144</f>
        <v>0</v>
      </c>
      <c r="C151" s="191"/>
      <c r="D151" s="182">
        <f t="shared" si="14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26</v>
      </c>
      <c r="B152" s="175">
        <f>'Données projet'!D145</f>
        <v>449</v>
      </c>
      <c r="C152" s="191">
        <v>60</v>
      </c>
      <c r="D152" s="182">
        <f t="shared" si="14"/>
        <v>26940</v>
      </c>
      <c r="E152" s="193">
        <f t="shared" ref="E152" si="15">75+(D152*12%)</f>
        <v>3307.7999999999997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4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4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4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4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4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4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4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4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4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4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4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4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4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4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6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6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6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6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6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6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6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6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6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6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6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6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6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6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6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6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6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6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6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7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7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7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7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7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7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7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7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7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7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7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7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7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7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7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7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7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7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7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8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8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8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8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8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8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8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8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8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8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8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8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8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8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8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8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8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8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8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9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9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9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9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9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9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9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9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9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9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9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9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9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9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9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9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9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9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9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20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20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20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20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20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20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20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20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20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20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20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20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20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20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20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20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20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20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20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2024-10-25T16:34:30Z</dcterms:modified>
</cp:coreProperties>
</file>