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MAZAMET (81) - GF ROUCAN MONTAGNOL (Campsoleil)\Dossier déposé le 25 09 2024\"/>
    </mc:Choice>
  </mc:AlternateContent>
  <xr:revisionPtr revIDLastSave="0" documentId="13_ncr:1_{FC0B9C01-1D14-4158-ADBF-544A2932BCBF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D157" i="2" s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A161" i="2"/>
  <c r="ED160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A193" i="2" l="1"/>
  <c r="EX193" i="2"/>
  <c r="FQ193" i="2"/>
  <c r="EB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B201" i="2" l="1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47" i="2" a="1"/>
  <c r="BC47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84" i="2" a="1"/>
  <c r="BC84" i="2" s="1"/>
  <c r="BC31" i="2" a="1"/>
  <c r="BC31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AH62" i="2" l="1" a="1"/>
  <c r="AH62" i="2" s="1"/>
  <c r="AH90" i="2" a="1"/>
  <c r="AH90" i="2" s="1"/>
  <c r="BC32" i="2" a="1"/>
  <c r="BC32" i="2" s="1"/>
  <c r="BC181" i="2" a="1"/>
  <c r="BC181" i="2" s="1"/>
  <c r="BC164" i="2" a="1"/>
  <c r="BC164" i="2" s="1"/>
  <c r="BC65" i="2" a="1"/>
  <c r="BC65" i="2" s="1"/>
  <c r="BC192" i="2" a="1"/>
  <c r="BC192" i="2" s="1"/>
  <c r="BC18" i="2" a="1"/>
  <c r="BC18" i="2" s="1"/>
  <c r="BC55" i="2" a="1"/>
  <c r="BC55" i="2" s="1"/>
  <c r="BC126" i="2" a="1"/>
  <c r="BC126" i="2" s="1"/>
  <c r="BC114" i="2" a="1"/>
  <c r="BC114" i="2" s="1"/>
  <c r="BC38" i="2" a="1"/>
  <c r="BC38" i="2" s="1"/>
  <c r="BC130" i="2" a="1"/>
  <c r="BC130" i="2" s="1"/>
  <c r="BC82" i="2" a="1"/>
  <c r="BC82" i="2" s="1"/>
  <c r="BC7" i="2" a="1"/>
  <c r="BC7" i="2" s="1"/>
  <c r="BC185" i="2" a="1"/>
  <c r="BC185" i="2" s="1"/>
  <c r="BC151" i="2" a="1"/>
  <c r="BC151" i="2" s="1"/>
  <c r="BC68" i="2" a="1"/>
  <c r="BC68" i="2" s="1"/>
  <c r="BC58" i="2" a="1"/>
  <c r="BC58" i="2" s="1"/>
  <c r="BC143" i="2" a="1"/>
  <c r="BC143" i="2" s="1"/>
  <c r="BC34" i="2" a="1"/>
  <c r="BC34" i="2" s="1"/>
  <c r="BX107" i="2" a="1"/>
  <c r="BX107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ED203" i="2" s="1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<sst xmlns="http://schemas.openxmlformats.org/spreadsheetml/2006/main" count="1173" uniqueCount="325">
  <si>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</si>
  <si>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</si>
  <si>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</si>
  <si>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</si>
  <si>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</si>
  <si>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</si>
  <si>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</si>
  <si>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</si>
  <si>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</si>
  <si>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</si>
  <si>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</si>
  <si>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</si>
  <si>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</si>
  <si>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</si>
  <si>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</si>
  <si>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</si>
  <si>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</si>
  <si>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</si>
  <si>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</si>
  <si>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</si>
  <si>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</si>
  <si>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</si>
  <si>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</si>
  <si>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</si>
  <si>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</si>
  <si>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</si>
  <si>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</si>
  <si>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</si>
  <si>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</si>
  <si>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</si>
  <si>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</si>
  <si>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</si>
  <si>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</si>
  <si>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</si>
  <si>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</si>
  <si>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</si>
  <si>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</si>
  <si>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</si>
  <si>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</si>
  <si>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</si>
  <si>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</si>
  <si>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</si>
  <si>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</si>
  <si>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</si>
  <si>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</si>
  <si>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</si>
  <si>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</si>
  <si>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</si>
  <si>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</si>
  <si>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</si>
  <si>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</si>
  <si>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</si>
  <si>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</si>
  <si>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</si>
  <si>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</si>
  <si>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</si>
  <si>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</si>
  <si>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</si>
  <si>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</si>
  <si>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</si>
  <si>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</si>
  <si>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</si>
  <si>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</si>
  <si>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</si>
  <si>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</si>
  <si>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</si>
  <si>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</si>
  <si>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</si>
  <si>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</si>
  <si>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</si>
  <si>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</si>
  <si>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</si>
  <si>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</si>
  <si>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</si>
  <si>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</si>
  <si>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</si>
  <si>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</si>
  <si>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</si>
  <si>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</si>
  <si>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</si>
  <si>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</si>
  <si>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</si>
  <si>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</si>
  <si>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</si>
  <si>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</si>
  <si>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</si>
  <si>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</si>
  <si>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</si>
  <si>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</si>
  <si>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</si>
  <si>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</si>
  <si>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</si>
  <si>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</si>
  <si>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</si>
  <si>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</si>
  <si>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</si>
  <si>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</si>
  <si>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</si>
  <si>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</si>
  <si>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</si>
  <si>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</si>
  <si>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</si>
  <si>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</si>
  <si>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</si>
  <si>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</si>
  <si>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</si>
  <si>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</si>
  <si>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</si>
  <si>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</si>
  <si>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</si>
  <si>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</si>
  <si>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</si>
  <si>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</si>
  <si>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</si>
  <si>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</si>
  <si>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</si>
  <si>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</si>
  <si>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</si>
  <si>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</si>
  <si>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</si>
  <si>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</si>
  <si>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</si>
  <si>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</si>
  <si>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</si>
  <si>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</si>
  <si>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</si>
  <si>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</si>
  <si>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</si>
  <si>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</si>
  <si>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</si>
  <si>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</si>
  <si>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</si>
  <si>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</si>
  <si>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</si>
  <si>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</si>
  <si>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</si>
  <si>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</si>
  <si>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</si>
  <si>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</si>
  <si>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</si>
  <si>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</si>
  <si>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</si>
  <si>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</si>
  <si>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</si>
  <si>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</si>
  <si>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</si>
  <si>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</si>
  <si>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</si>
  <si>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</si>
  <si>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</si>
  <si>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</si>
  <si>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</si>
  <si>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</si>
  <si>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</si>
  <si>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</si>
  <si>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</si>
  <si>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</si>
  <si>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</si>
  <si>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</si>
  <si>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</si>
  <si>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</si>
  <si>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</si>
  <si>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</si>
  <si>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</si>
  <si>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</si>
  <si>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</si>
  <si>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</si>
  <si>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</si>
  <si>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</si>
  <si>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</si>
  <si>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</si>
  <si>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</si>
  <si>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</si>
  <si>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</si>
  <si>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</si>
  <si>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</si>
  <si>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</si>
  <si>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</si>
  <si>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</si>
  <si>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</si>
  <si>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</si>
  <si>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</si>
  <si>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</si>
  <si>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</si>
  <si>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</si>
  <si>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</si>
  <si>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</si>
  <si>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</si>
  <si>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</si>
  <si>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</si>
  <si>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</si>
  <si>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</si>
  <si>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</si>
  <si>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</si>
  <si>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</si>
  <si>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</si>
  <si>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</si>
  <si>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</si>
  <si>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</si>
  <si>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</si>
  <si>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</si>
  <si>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</si>
  <si>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</si>
  <si>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</si>
  <si>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</si>
  <si>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</si>
  <si>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</si>
  <si>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</si>
  <si>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</si>
  <si>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</si>
  <si>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</si>
  <si>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</si>
  <si>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</si>
  <si>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</si>
  <si>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</si>
  <si>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</si>
  <si>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</si>
  <si>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</si>
  <si>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</si>
  <si>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</si>
  <si>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</si>
  <si>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</si>
  <si>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</si>
  <si>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</si>
  <si>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</si>
  <si>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</si>
  <si>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</si>
  <si>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</si>
  <si>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</si>
  <si>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</si>
  <si>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</si>
  <si>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</si>
  <si>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</si>
  <si>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</si>
  <si>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</si>
  <si>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</si>
  <si>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</si>
  <si>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</si>
  <si>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</si>
  <si>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</si>
  <si>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</si>
  <si>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</si>
  <si>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</si>
  <si>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</si>
  <si>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</si>
  <si>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</si>
  <si>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</si>
  <si>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</si>
  <si>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</si>
  <si>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</si>
  <si>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</si>
  <si>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</si>
  <si>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</si>
  <si>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</si>
  <si>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</si>
  <si>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</si>
  <si>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</si>
  <si>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</si>
  <si>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</si>
  <si>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</si>
  <si>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</si>
  <si>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</si>
  <si>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</si>
  <si>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</si>
  <si>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</si>
  <si>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</si>
  <si>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</si>
  <si>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</si>
  <si>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</si>
  <si>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</si>
  <si>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</si>
  <si>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</si>
  <si>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</si>
  <si>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</si>
  <si>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</si>
  <si>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</si>
  <si>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</si>
  <si>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</si>
  <si>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</si>
  <si>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</si>
  <si>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</si>
  <si>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</si>
  <si>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</si>
  <si>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</si>
  <si>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</si>
  <si>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</si>
  <si>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</si>
  <si>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</si>
  <si>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</si>
  <si>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</si>
  <si>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</si>
  <si>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</si>
  <si>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</si>
  <si>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</si>
  <si>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</si>
  <si>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</si>
  <si>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</si>
  <si>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</si>
  <si>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</si>
  <si>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</si>
  <si>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</si>
  <si>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</si>
  <si>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</si>
  <si>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</si>
  <si>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</si>
  <si>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</si>
  <si>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</si>
  <si>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</si>
  <si>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</si>
  <si>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</si>
  <si>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</si>
  <si>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</si>
  <si>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</si>
  <si>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</si>
  <si>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</si>
  <si>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</si>
  <si>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</si>
  <si>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</si>
  <si>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</si>
  <si>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</si>
  <si>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</si>
  <si>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</si>
  <si>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</si>
  <si>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</si>
  <si>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Pin Laricio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</si>
</sst>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353.42725333031763</c:v>
                </c:pt>
                <c:pt idx="47">
                  <c:v>375.61724038320648</c:v>
                </c:pt>
                <c:pt idx="48">
                  <c:v>397.77868431648454</c:v>
                </c:pt>
                <c:pt idx="49">
                  <c:v>419.91339784568589</c:v>
                </c:pt>
                <c:pt idx="50">
                  <c:v>442.02298709837555</c:v>
                </c:pt>
                <c:pt idx="51">
                  <c:v>397.04677419414202</c:v>
                </c:pt>
                <c:pt idx="52">
                  <c:v>419.46841203373424</c:v>
                </c:pt>
                <c:pt idx="53">
                  <c:v>441.86423995233059</c:v>
                </c:pt>
                <c:pt idx="54">
                  <c:v>464.2357490458092</c:v>
                </c:pt>
                <c:pt idx="55">
                  <c:v>486.58427507999835</c:v>
                </c:pt>
                <c:pt idx="56">
                  <c:v>508.9110212072971</c:v>
                </c:pt>
                <c:pt idx="57">
                  <c:v>531.21707649038069</c:v>
                </c:pt>
                <c:pt idx="58">
                  <c:v>553.50343115388478</c:v>
                </c:pt>
                <c:pt idx="59">
                  <c:v>475.80905293653558</c:v>
                </c:pt>
                <c:pt idx="60">
                  <c:v>496.87938425766248</c:v>
                </c:pt>
                <c:pt idx="61">
                  <c:v>517.93079633437981</c:v>
                </c:pt>
                <c:pt idx="62">
                  <c:v>538.96416569474195</c:v>
                </c:pt>
                <c:pt idx="63">
                  <c:v>559.98029493096897</c:v>
                </c:pt>
                <c:pt idx="64">
                  <c:v>580.97992153281746</c:v>
                </c:pt>
                <c:pt idx="65">
                  <c:v>601.96372537813886</c:v>
                </c:pt>
                <c:pt idx="66">
                  <c:v>622.932335125348</c:v>
                </c:pt>
                <c:pt idx="67">
                  <c:v>557.13698805350487</c:v>
                </c:pt>
                <c:pt idx="68">
                  <c:v>573.40296810840198</c:v>
                </c:pt>
                <c:pt idx="69">
                  <c:v>589.65931608140193</c:v>
                </c:pt>
                <c:pt idx="70">
                  <c:v>605.90633475563175</c:v>
                </c:pt>
                <c:pt idx="71">
                  <c:v>622.14430936278279</c:v>
                </c:pt>
                <c:pt idx="72">
                  <c:v>638.37350904146251</c:v>
                </c:pt>
                <c:pt idx="73">
                  <c:v>654.59418813963009</c:v>
                </c:pt>
                <c:pt idx="74">
                  <c:v>670.80658738130876</c:v>
                </c:pt>
                <c:pt idx="75">
                  <c:v>635.38042145276233</c:v>
                </c:pt>
                <c:pt idx="76">
                  <c:v>646.56363932443753</c:v>
                </c:pt>
                <c:pt idx="77">
                  <c:v>657.74286732996552</c:v>
                </c:pt>
                <c:pt idx="78">
                  <c:v>668.91818281738085</c:v>
                </c:pt>
                <c:pt idx="79">
                  <c:v>680.08966034049365</c:v>
                </c:pt>
                <c:pt idx="80">
                  <c:v>691.25737180503893</c:v>
                </c:pt>
                <c:pt idx="81">
                  <c:v>702.42138660489547</c:v>
                </c:pt>
                <c:pt idx="82">
                  <c:v>713.58177174919865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G28" sqref="G28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6.2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0.4</v>
      </c>
      <c r="D9" s="36">
        <f t="shared" ref="D9:D18" si="0">C9*$C$5</f>
        <v>2.4800000000000004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324</v>
      </c>
      <c r="C10" s="35">
        <v>0.31</v>
      </c>
      <c r="D10" s="36">
        <f t="shared" si="0"/>
        <v>1.9219999999999999</v>
      </c>
      <c r="E10" s="37">
        <v>82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18</v>
      </c>
      <c r="C11" s="35">
        <v>0.23</v>
      </c>
      <c r="D11" s="36">
        <f t="shared" si="0"/>
        <v>1.4260000000000002</v>
      </c>
      <c r="E11" s="37">
        <v>60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36</v>
      </c>
      <c r="C12" s="35">
        <v>0.06</v>
      </c>
      <c r="D12" s="36">
        <f t="shared" si="0"/>
        <v>0.372</v>
      </c>
      <c r="E12" s="37">
        <v>34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6.2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158</v>
      </c>
      <c r="C36" s="63">
        <v>1</v>
      </c>
      <c r="D36" s="63">
        <v>0</v>
      </c>
      <c r="E36" s="54">
        <v>0.4</v>
      </c>
      <c r="F36" s="54">
        <v>0.45</v>
      </c>
      <c r="G36" s="54">
        <v>0.15</v>
      </c>
      <c r="H36" s="54"/>
      <c r="I36" s="52">
        <f>IFERROR(B36/A36,"")</f>
        <v>7.9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250</v>
      </c>
      <c r="C37" s="63">
        <v>2</v>
      </c>
      <c r="D37" s="63">
        <v>0</v>
      </c>
      <c r="E37" s="54">
        <v>0.7</v>
      </c>
      <c r="F37" s="54">
        <v>0.15</v>
      </c>
      <c r="G37" s="54">
        <v>0.15</v>
      </c>
      <c r="H37" s="54"/>
      <c r="I37" s="56">
        <f t="shared" ref="I37:I55" si="1">IF(A37&lt;&gt;0,(B37-(B36-D36))/(A37-A36),"")</f>
        <v>9.1999999999999993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40</v>
      </c>
      <c r="B38" s="63">
        <v>350</v>
      </c>
      <c r="C38" s="63">
        <v>3</v>
      </c>
      <c r="D38" s="63">
        <v>88</v>
      </c>
      <c r="E38" s="54"/>
      <c r="F38" s="54"/>
      <c r="G38" s="54"/>
      <c r="H38" s="54"/>
      <c r="I38" s="56">
        <f t="shared" si="1"/>
        <v>10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50</v>
      </c>
      <c r="B39" s="63">
        <v>377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11.5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60</v>
      </c>
      <c r="B40" s="63">
        <v>512</v>
      </c>
      <c r="C40" s="63">
        <v>5</v>
      </c>
      <c r="D40" s="63">
        <v>102</v>
      </c>
      <c r="E40" s="54"/>
      <c r="F40" s="54"/>
      <c r="G40" s="54"/>
      <c r="H40" s="54"/>
      <c r="I40" s="52">
        <f t="shared" si="1"/>
        <v>13.5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70</v>
      </c>
      <c r="B41" s="63">
        <v>565</v>
      </c>
      <c r="C41" s="63">
        <v>6</v>
      </c>
      <c r="D41" s="63">
        <v>113</v>
      </c>
      <c r="E41" s="54"/>
      <c r="F41" s="54"/>
      <c r="G41" s="54"/>
      <c r="H41" s="54"/>
      <c r="I41" s="56">
        <f t="shared" si="1"/>
        <v>15.5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80</v>
      </c>
      <c r="B42" s="63">
        <v>622</v>
      </c>
      <c r="C42" s="63">
        <v>7</v>
      </c>
      <c r="D42" s="63">
        <v>124</v>
      </c>
      <c r="E42" s="54"/>
      <c r="F42" s="54"/>
      <c r="G42" s="54"/>
      <c r="H42" s="54"/>
      <c r="I42" s="56">
        <f t="shared" si="1"/>
        <v>17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90</v>
      </c>
      <c r="B43" s="63">
        <v>673</v>
      </c>
      <c r="C43" s="63">
        <v>8</v>
      </c>
      <c r="D43" s="63">
        <v>135</v>
      </c>
      <c r="E43" s="54"/>
      <c r="F43" s="54"/>
      <c r="G43" s="54"/>
      <c r="H43" s="54"/>
      <c r="I43" s="52">
        <f t="shared" si="1"/>
        <v>17.5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100</v>
      </c>
      <c r="B44" s="63">
        <v>723</v>
      </c>
      <c r="C44" s="63">
        <v>9</v>
      </c>
      <c r="D44" s="63">
        <v>723</v>
      </c>
      <c r="E44" s="54"/>
      <c r="F44" s="54"/>
      <c r="G44" s="54"/>
      <c r="H44" s="54"/>
      <c r="I44" s="52">
        <f t="shared" si="1"/>
        <v>18.5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Laricio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22</v>
      </c>
      <c r="B62" s="63">
        <v>123</v>
      </c>
      <c r="C62" s="63">
        <v>1</v>
      </c>
      <c r="D62" s="63">
        <v>16</v>
      </c>
      <c r="E62" s="54"/>
      <c r="F62" s="54"/>
      <c r="G62" s="54">
        <v>1</v>
      </c>
      <c r="H62" s="54"/>
      <c r="I62" s="56">
        <f>IFERROR(B62/A62,"")</f>
        <v>5.5909090909090908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144</v>
      </c>
      <c r="C63" s="63">
        <v>2</v>
      </c>
      <c r="D63" s="63">
        <v>17</v>
      </c>
      <c r="E63" s="54">
        <v>0.2</v>
      </c>
      <c r="F63" s="54"/>
      <c r="G63" s="54">
        <v>0.8</v>
      </c>
      <c r="H63" s="54"/>
      <c r="I63" s="52">
        <f>IF(A63&lt;&gt;0,(B63-(B62-D62))/(A63-A62),"")</f>
        <v>12.333333333333334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194</v>
      </c>
      <c r="C64" s="63">
        <v>3</v>
      </c>
      <c r="D64" s="63">
        <v>34</v>
      </c>
      <c r="E64" s="54">
        <v>0.4</v>
      </c>
      <c r="F64" s="54"/>
      <c r="G64" s="54">
        <v>0.6</v>
      </c>
      <c r="H64" s="54"/>
      <c r="I64" s="52">
        <f>IF(A64&lt;&gt;0,(B64-(B63-D63))/(A64-A63),"")</f>
        <v>13.4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233</v>
      </c>
      <c r="C65" s="63">
        <v>4</v>
      </c>
      <c r="D65" s="63">
        <v>41</v>
      </c>
      <c r="E65" s="54">
        <v>0.45</v>
      </c>
      <c r="F65" s="54"/>
      <c r="G65" s="54">
        <v>0.55000000000000004</v>
      </c>
      <c r="H65" s="54"/>
      <c r="I65" s="52">
        <f>IF(A65&lt;&gt;0,(B65-(B64-D64))/(A65-A64),"")</f>
        <v>14.6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264</v>
      </c>
      <c r="C66" s="63">
        <v>5</v>
      </c>
      <c r="D66" s="63">
        <v>41</v>
      </c>
      <c r="E66" s="54"/>
      <c r="F66" s="54"/>
      <c r="G66" s="54"/>
      <c r="H66" s="54"/>
      <c r="I66" s="52">
        <f t="shared" ref="I66:I81" si="2">IF(A66&lt;&gt;0,(B66-(B65-D65))/(A66-A65),"")</f>
        <v>14.4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306</v>
      </c>
      <c r="C67" s="63">
        <v>6</v>
      </c>
      <c r="D67" s="63">
        <v>53</v>
      </c>
      <c r="E67" s="54"/>
      <c r="F67" s="54"/>
      <c r="G67" s="54"/>
      <c r="H67" s="54"/>
      <c r="I67" s="52">
        <f t="shared" si="2"/>
        <v>16.600000000000001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340</v>
      </c>
      <c r="C68" s="63">
        <v>7</v>
      </c>
      <c r="D68" s="63">
        <v>53</v>
      </c>
      <c r="E68" s="54"/>
      <c r="F68" s="54"/>
      <c r="G68" s="54"/>
      <c r="H68" s="54"/>
      <c r="I68" s="52">
        <f t="shared" si="2"/>
        <v>17.399999999999999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58</v>
      </c>
      <c r="B69" s="53">
        <v>428</v>
      </c>
      <c r="C69" s="53">
        <v>8</v>
      </c>
      <c r="D69" s="53">
        <v>78</v>
      </c>
      <c r="E69" s="54"/>
      <c r="F69" s="54"/>
      <c r="G69" s="54"/>
      <c r="H69" s="54"/>
      <c r="I69" s="52">
        <f t="shared" si="2"/>
        <v>17.625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66</v>
      </c>
      <c r="B70" s="53">
        <v>483</v>
      </c>
      <c r="C70" s="53">
        <v>9</v>
      </c>
      <c r="D70" s="53">
        <v>65</v>
      </c>
      <c r="E70" s="54"/>
      <c r="F70" s="54"/>
      <c r="G70" s="54"/>
      <c r="H70" s="54"/>
      <c r="I70" s="52">
        <f t="shared" si="2"/>
        <v>16.625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74</v>
      </c>
      <c r="B71" s="53">
        <v>521</v>
      </c>
      <c r="C71" s="53">
        <v>10</v>
      </c>
      <c r="D71" s="53">
        <v>37</v>
      </c>
      <c r="E71" s="54"/>
      <c r="F71" s="54"/>
      <c r="G71" s="54"/>
      <c r="H71" s="54"/>
      <c r="I71" s="52">
        <f t="shared" si="2"/>
        <v>12.875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82</v>
      </c>
      <c r="B72" s="53">
        <v>555</v>
      </c>
      <c r="C72" s="53">
        <v>11</v>
      </c>
      <c r="D72" s="53">
        <v>555</v>
      </c>
      <c r="E72" s="54"/>
      <c r="F72" s="54"/>
      <c r="G72" s="54"/>
      <c r="H72" s="54"/>
      <c r="I72" s="52">
        <f t="shared" si="2"/>
        <v>8.875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Douglas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19</v>
      </c>
      <c r="B88" s="63">
        <v>162</v>
      </c>
      <c r="C88" s="63">
        <v>1</v>
      </c>
      <c r="D88" s="63">
        <v>0</v>
      </c>
      <c r="E88" s="54">
        <v>0.15</v>
      </c>
      <c r="F88" s="54"/>
      <c r="G88" s="54">
        <v>0.85</v>
      </c>
      <c r="H88" s="93"/>
      <c r="I88" s="56">
        <f>IFERROR(B88/A88,"")</f>
        <v>8.526315789473685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335</v>
      </c>
      <c r="C89" s="63">
        <v>2</v>
      </c>
      <c r="D89" s="63">
        <v>54</v>
      </c>
      <c r="E89" s="54">
        <v>0.25</v>
      </c>
      <c r="F89" s="54"/>
      <c r="G89" s="54">
        <v>0.75</v>
      </c>
      <c r="H89" s="93"/>
      <c r="I89" s="56">
        <f t="shared" ref="I89:I107" si="3">IF(A89&lt;&gt;0,(B89-(B88-D88))/(A89-A88),"")</f>
        <v>28.833333333333332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421</v>
      </c>
      <c r="C90" s="63">
        <v>3</v>
      </c>
      <c r="D90" s="63">
        <v>54</v>
      </c>
      <c r="E90" s="93"/>
      <c r="F90" s="93"/>
      <c r="G90" s="93"/>
      <c r="H90" s="93"/>
      <c r="I90" s="56">
        <f t="shared" si="3"/>
        <v>28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505</v>
      </c>
      <c r="C91" s="63">
        <v>4</v>
      </c>
      <c r="D91" s="63">
        <v>69</v>
      </c>
      <c r="E91" s="93"/>
      <c r="F91" s="93"/>
      <c r="G91" s="93"/>
      <c r="H91" s="93"/>
      <c r="I91" s="56">
        <f t="shared" si="3"/>
        <v>27.6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564</v>
      </c>
      <c r="C92" s="63">
        <v>5</v>
      </c>
      <c r="D92" s="63">
        <v>72</v>
      </c>
      <c r="E92" s="93"/>
      <c r="F92" s="93"/>
      <c r="G92" s="93"/>
      <c r="H92" s="93"/>
      <c r="I92" s="56">
        <f t="shared" si="3"/>
        <v>25.6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606</v>
      </c>
      <c r="C93" s="63">
        <v>6</v>
      </c>
      <c r="D93" s="63">
        <v>66</v>
      </c>
      <c r="E93" s="93"/>
      <c r="F93" s="93"/>
      <c r="G93" s="93"/>
      <c r="H93" s="93"/>
      <c r="I93" s="56">
        <f t="shared" si="3"/>
        <v>22.8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629</v>
      </c>
      <c r="C94" s="63">
        <v>7</v>
      </c>
      <c r="D94" s="63">
        <v>48</v>
      </c>
      <c r="E94" s="93"/>
      <c r="F94" s="93"/>
      <c r="G94" s="93"/>
      <c r="H94" s="93"/>
      <c r="I94" s="56">
        <f t="shared" si="3"/>
        <v>17.8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650</v>
      </c>
      <c r="C95" s="63">
        <v>8</v>
      </c>
      <c r="D95" s="63">
        <v>35</v>
      </c>
      <c r="E95" s="93"/>
      <c r="F95" s="93"/>
      <c r="G95" s="93"/>
      <c r="H95" s="93"/>
      <c r="I95" s="56">
        <f t="shared" si="3"/>
        <v>13.8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666</v>
      </c>
      <c r="C96" s="63">
        <v>9</v>
      </c>
      <c r="D96" s="63">
        <v>666</v>
      </c>
      <c r="E96" s="93"/>
      <c r="F96" s="93"/>
      <c r="G96" s="93"/>
      <c r="H96" s="93"/>
      <c r="I96" s="56">
        <f t="shared" si="3"/>
        <v>10.199999999999999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Pin maritime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13</v>
      </c>
      <c r="B114" s="63">
        <v>101</v>
      </c>
      <c r="C114" s="63">
        <v>1</v>
      </c>
      <c r="D114" s="63">
        <v>28</v>
      </c>
      <c r="E114" s="54"/>
      <c r="F114" s="54"/>
      <c r="G114" s="54">
        <v>1</v>
      </c>
      <c r="H114" s="93"/>
      <c r="I114" s="56">
        <f>IFERROR(B114/A114,"")</f>
        <v>7.7692307692307692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18</v>
      </c>
      <c r="B115" s="63">
        <v>166</v>
      </c>
      <c r="C115" s="63">
        <v>2</v>
      </c>
      <c r="D115" s="63">
        <v>40</v>
      </c>
      <c r="E115" s="54">
        <v>0.25</v>
      </c>
      <c r="F115" s="54"/>
      <c r="G115" s="54">
        <v>0.75</v>
      </c>
      <c r="H115" s="93"/>
      <c r="I115" s="56">
        <f t="shared" ref="I115:I133" si="4">IF(A115&lt;&gt;0,(B115-(B114-D114))/(A115-A114),"")</f>
        <v>18.600000000000001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23</v>
      </c>
      <c r="B116" s="63">
        <v>215</v>
      </c>
      <c r="C116" s="63">
        <v>3</v>
      </c>
      <c r="D116" s="63">
        <v>52</v>
      </c>
      <c r="E116" s="93">
        <v>0.5</v>
      </c>
      <c r="F116" s="93"/>
      <c r="G116" s="93">
        <v>0.5</v>
      </c>
      <c r="H116" s="93"/>
      <c r="I116" s="56">
        <f t="shared" si="4"/>
        <v>17.8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30</v>
      </c>
      <c r="B117" s="63">
        <v>269</v>
      </c>
      <c r="C117" s="63">
        <v>4</v>
      </c>
      <c r="D117" s="63">
        <v>0</v>
      </c>
      <c r="E117" s="93">
        <v>0.5</v>
      </c>
      <c r="F117" s="93"/>
      <c r="G117" s="93">
        <v>0.5</v>
      </c>
      <c r="H117" s="93"/>
      <c r="I117" s="56">
        <f t="shared" si="4"/>
        <v>15.142857142857142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34</v>
      </c>
      <c r="B118" s="63">
        <v>325</v>
      </c>
      <c r="C118" s="63">
        <v>5</v>
      </c>
      <c r="D118" s="63">
        <v>325</v>
      </c>
      <c r="E118" s="93">
        <v>0.7</v>
      </c>
      <c r="F118" s="93"/>
      <c r="G118" s="93">
        <v>0.3</v>
      </c>
      <c r="H118" s="93"/>
      <c r="I118" s="56">
        <f t="shared" si="4"/>
        <v>14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0" t="s">
        <v>176</v>
      </c>
      <c r="C1" s="311"/>
      <c r="D1" s="311"/>
      <c r="E1" s="311"/>
      <c r="F1" s="311"/>
      <c r="G1" s="311"/>
      <c r="H1" s="312"/>
      <c r="I1" s="307" t="str">
        <f>IF('Données projet'!$B$9="","",'Données projet'!$B$9)</f>
        <v>Cèdre de l'Atlas</v>
      </c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9"/>
      <c r="AD1" s="308" t="str">
        <f>IF('Données projet'!$B$10="","",'Données projet'!$B$10)</f>
        <v>Pin Laricio</v>
      </c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  <c r="AP1" s="308"/>
      <c r="AQ1" s="308"/>
      <c r="AR1" s="308"/>
      <c r="AS1" s="308"/>
      <c r="AT1" s="308"/>
      <c r="AU1" s="308"/>
      <c r="AV1" s="308"/>
      <c r="AW1" s="308"/>
      <c r="AX1" s="309"/>
      <c r="AY1" s="307" t="str">
        <f>IF('Données projet'!$B$11="","",'Données projet'!$B$11)</f>
        <v>Douglas</v>
      </c>
      <c r="AZ1" s="308"/>
      <c r="BA1" s="308"/>
      <c r="BB1" s="308"/>
      <c r="BC1" s="308"/>
      <c r="BD1" s="308"/>
      <c r="BE1" s="308"/>
      <c r="BF1" s="308"/>
      <c r="BG1" s="308"/>
      <c r="BH1" s="308"/>
      <c r="BI1" s="308"/>
      <c r="BJ1" s="308"/>
      <c r="BK1" s="308"/>
      <c r="BL1" s="308"/>
      <c r="BM1" s="308"/>
      <c r="BN1" s="308"/>
      <c r="BO1" s="308"/>
      <c r="BP1" s="308"/>
      <c r="BQ1" s="308"/>
      <c r="BR1" s="308"/>
      <c r="BS1" s="309"/>
      <c r="BT1" s="307" t="str">
        <f>IF('Données projet'!$B$12="","",'Données projet'!$B$12)</f>
        <v>Pin maritime</v>
      </c>
      <c r="BU1" s="308"/>
      <c r="BV1" s="308"/>
      <c r="BW1" s="308"/>
      <c r="BX1" s="308"/>
      <c r="BY1" s="308"/>
      <c r="BZ1" s="308"/>
      <c r="CA1" s="308"/>
      <c r="CB1" s="308"/>
      <c r="CC1" s="308"/>
      <c r="CD1" s="308"/>
      <c r="CE1" s="308"/>
      <c r="CF1" s="308"/>
      <c r="CG1" s="308"/>
      <c r="CH1" s="308"/>
      <c r="CI1" s="308"/>
      <c r="CJ1" s="308"/>
      <c r="CK1" s="308"/>
      <c r="CL1" s="308"/>
      <c r="CM1" s="308"/>
      <c r="CN1" s="309"/>
      <c r="CO1" s="307" t="str">
        <f>IF('Données projet'!$B$13="","",'Données projet'!$B$13)</f>
        <v/>
      </c>
      <c r="CP1" s="308"/>
      <c r="CQ1" s="308"/>
      <c r="CR1" s="308"/>
      <c r="CS1" s="308"/>
      <c r="CT1" s="308"/>
      <c r="CU1" s="308"/>
      <c r="CV1" s="308"/>
      <c r="CW1" s="308"/>
      <c r="CX1" s="308"/>
      <c r="CY1" s="308"/>
      <c r="CZ1" s="308"/>
      <c r="DA1" s="308"/>
      <c r="DB1" s="308"/>
      <c r="DC1" s="308"/>
      <c r="DD1" s="308"/>
      <c r="DE1" s="308"/>
      <c r="DF1" s="308"/>
      <c r="DG1" s="308"/>
      <c r="DH1" s="308"/>
      <c r="DI1" s="309"/>
      <c r="DJ1" s="307" t="str">
        <f>IF('Données projet'!$B$14="","",'Données projet'!$B$14)</f>
        <v/>
      </c>
      <c r="DK1" s="308"/>
      <c r="DL1" s="308"/>
      <c r="DM1" s="308"/>
      <c r="DN1" s="308"/>
      <c r="DO1" s="308"/>
      <c r="DP1" s="308"/>
      <c r="DQ1" s="308"/>
      <c r="DR1" s="308"/>
      <c r="DS1" s="308"/>
      <c r="DT1" s="308"/>
      <c r="DU1" s="308"/>
      <c r="DV1" s="308"/>
      <c r="DW1" s="308"/>
      <c r="DX1" s="308"/>
      <c r="DY1" s="308"/>
      <c r="DZ1" s="308"/>
      <c r="EA1" s="308"/>
      <c r="EB1" s="308"/>
      <c r="EC1" s="308"/>
      <c r="ED1" s="309"/>
      <c r="EE1" s="307" t="str">
        <f>IF('Données projet'!$B$15="","",'Données projet'!$B$15)</f>
        <v/>
      </c>
      <c r="EF1" s="308"/>
      <c r="EG1" s="308"/>
      <c r="EH1" s="308"/>
      <c r="EI1" s="308"/>
      <c r="EJ1" s="308"/>
      <c r="EK1" s="308"/>
      <c r="EL1" s="308"/>
      <c r="EM1" s="308"/>
      <c r="EN1" s="308"/>
      <c r="EO1" s="308"/>
      <c r="EP1" s="308"/>
      <c r="EQ1" s="308"/>
      <c r="ER1" s="308"/>
      <c r="ES1" s="308"/>
      <c r="ET1" s="308"/>
      <c r="EU1" s="308"/>
      <c r="EV1" s="308"/>
      <c r="EW1" s="308"/>
      <c r="EX1" s="308"/>
      <c r="EY1" s="309"/>
      <c r="EZ1" s="307" t="str">
        <f>IF('Données projet'!$B$16="","",'Données projet'!$B$16)</f>
        <v/>
      </c>
      <c r="FA1" s="308"/>
      <c r="FB1" s="308"/>
      <c r="FC1" s="308"/>
      <c r="FD1" s="308"/>
      <c r="FE1" s="308"/>
      <c r="FF1" s="308"/>
      <c r="FG1" s="308"/>
      <c r="FH1" s="308"/>
      <c r="FI1" s="308"/>
      <c r="FJ1" s="308"/>
      <c r="FK1" s="308"/>
      <c r="FL1" s="308"/>
      <c r="FM1" s="308"/>
      <c r="FN1" s="308"/>
      <c r="FO1" s="308"/>
      <c r="FP1" s="308"/>
      <c r="FQ1" s="308"/>
      <c r="FR1" s="308"/>
      <c r="FS1" s="308"/>
      <c r="FT1" s="309"/>
      <c r="FU1" s="307" t="str">
        <f>IF('Données projet'!$B$17="","",'Données projet'!$B$17)</f>
        <v/>
      </c>
      <c r="FV1" s="308"/>
      <c r="FW1" s="308"/>
      <c r="FX1" s="308"/>
      <c r="FY1" s="308"/>
      <c r="FZ1" s="308"/>
      <c r="GA1" s="308"/>
      <c r="GB1" s="308"/>
      <c r="GC1" s="308"/>
      <c r="GD1" s="308"/>
      <c r="GE1" s="308"/>
      <c r="GF1" s="308"/>
      <c r="GG1" s="308"/>
      <c r="GH1" s="308"/>
      <c r="GI1" s="308"/>
      <c r="GJ1" s="308"/>
      <c r="GK1" s="308"/>
      <c r="GL1" s="308"/>
      <c r="GM1" s="308"/>
      <c r="GN1" s="308"/>
      <c r="GO1" s="309"/>
      <c r="GP1" s="307" t="str">
        <f>IF('Données projet'!$B$18="","",'Données projet'!$B$18)</f>
        <v/>
      </c>
      <c r="GQ1" s="308"/>
      <c r="GR1" s="308"/>
      <c r="GS1" s="308"/>
      <c r="GT1" s="308"/>
      <c r="GU1" s="308"/>
      <c r="GV1" s="308"/>
      <c r="GW1" s="308"/>
      <c r="GX1" s="308"/>
      <c r="GY1" s="308"/>
      <c r="GZ1" s="308"/>
      <c r="HA1" s="308"/>
      <c r="HB1" s="308"/>
      <c r="HC1" s="308"/>
      <c r="HD1" s="308"/>
      <c r="HE1" s="308"/>
      <c r="HF1" s="308"/>
      <c r="HG1" s="308"/>
      <c r="HH1" s="308"/>
      <c r="HI1" s="308"/>
      <c r="HJ1" s="309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300.81172286376216</v>
      </c>
      <c r="T3" s="62">
        <f>IF('Données projet'!E9&gt;30,$R$33-$H$33,LOOKUP('Données projet'!$E$9,$A$3:$A$203,R3:R203)-LOOKUP('Données projet'!$E$9,$A$3:$A$203,$H$3:$H$203))</f>
        <v>217.90654346456347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279.33945837918748</v>
      </c>
      <c r="AO3" s="62">
        <f>IF('Données projet'!E10&gt;30,$AM$33-$H$33,LOOKUP('Données projet'!$E$10,$A$3:$A$203,AM3:AM203)-LOOKUP('Données projet'!$E$10,$A$3:$A$203,$H$3:$H$203))</f>
        <v>215.78305328671854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376.38993452481719</v>
      </c>
      <c r="BJ3" s="62">
        <f>IF('Données projet'!E11&gt;30,$BH$33-$H$33,LOOKUP('Données projet'!$E$11,$A$3:$A$203,BH3:BH203)-LOOKUP('Données projet'!$E$11,$A$3:$A$203,$H$3:$H$203))</f>
        <v>470.10036612616727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152.56843845628913</v>
      </c>
      <c r="CE3" s="62">
        <f>IF('Données projet'!E12&gt;30,$CC$33-$H$33,LOOKUP('Données projet'!$E$12,$A$3:$A$203,CC3:CC203)-LOOKUP('Données projet'!$E$12,$A$3:$A$203,$H$3:$H$203))</f>
        <v>311.82523951987685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0.57252000000000003</v>
      </c>
      <c r="D4" s="12">
        <f>IFERROR(EXP(-1.0587+0.8836*LN(C4)+0.284),0)</f>
        <v>0.28153726954860292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6.5927227824804442</v>
      </c>
      <c r="H4" s="70">
        <f t="shared" ref="H4:H67" si="1">(B4+E4+F4)*44/12+(C4+D4)*0.475*44/12</f>
        <v>294.82081641113047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7.9</v>
      </c>
      <c r="N4" s="14">
        <f>IF('Données projet'!$A$36&gt;35,N3+M4-V3,IF(A4&lt;'Données projet'!$A$36,$K$205^A4,IF(A4='Données projet'!$A$36,'Données projet'!$B$36,N3+M4-V3)))</f>
        <v>1.2880503926580862</v>
      </c>
      <c r="O4" s="14">
        <f>N4*VLOOKUP('Données projet'!$B$9,Paramètres!$A$1:$I$89,3,0)*VLOOKUP('Données projet'!$B$9,Paramètres!$A$1:$I$89,5,0)</f>
        <v>0.60280758376398436</v>
      </c>
      <c r="P4" s="14">
        <f>EXP(-1.0587+0.8836*LN(O4)+0.284)</f>
        <v>0.29465781953181042</v>
      </c>
      <c r="Q4" s="22">
        <f t="shared" ref="Q4:Q34" si="2">(O4+P4)*0.475*44/12</f>
        <v>1.5630855774068424</v>
      </c>
      <c r="R4" s="62">
        <f t="shared" si="0"/>
        <v>294.89641891074018</v>
      </c>
      <c r="S4" s="62">
        <f ca="1">AVERAGE(OFFSET($R$3,0,0,'Données projet'!$E$9+1,1))-AVERAGE(OFFSET($H$3,0,0,'Données projet'!$E$9+1,1))</f>
        <v>300.81172286376216</v>
      </c>
      <c r="T4" s="62">
        <f>$T$3</f>
        <v>217.90654346456347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5.5909090909090908</v>
      </c>
      <c r="AI4" s="14">
        <f>IF('Données projet'!$A$62&gt;35,AI3+AH4-AQ3,IF(A4&lt;'Données projet'!$A$62,$AF$205^A4,IF(A4='Données projet'!$A$62,'Données projet'!$B$62,AI3+AH4-AQ3)))</f>
        <v>1.244502252163008</v>
      </c>
      <c r="AJ4" s="14">
        <f>AI4*VLOOKUP('Données projet'!$B$10,Paramètres!$A$1:$I$89,3,0)*VLOOKUP('Données projet'!$B$10,Paramètres!$A$1:$I$89,5,0)</f>
        <v>0.74421234679347892</v>
      </c>
      <c r="AK4" s="14">
        <f>EXP(-1.0587+0.8836*LN(AJ4)+0.284)</f>
        <v>0.3549632728022305</v>
      </c>
      <c r="AL4" s="22">
        <f t="shared" ref="AL4:AL67" si="4">(AJ4+AK4)*0.475*44/12</f>
        <v>1.9143975374625271</v>
      </c>
      <c r="AM4" s="62">
        <f t="shared" ref="AM4:AM67" si="5">AL4+(AD4+AE4)*44/12</f>
        <v>295.24773087079586</v>
      </c>
      <c r="AN4" s="62">
        <f ca="1">AVERAGE(OFFSET($AM$3,0,0,'Données projet'!$E$10+1,1))-AVERAGE(OFFSET($H$3,0,0,'Données projet'!$E$10+1,1))</f>
        <v>279.33945837918748</v>
      </c>
      <c r="AO4" s="62">
        <f>$AO$3</f>
        <v>215.78305328671854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8.526315789473685</v>
      </c>
      <c r="BD4" s="13">
        <f>IF('Données projet'!$A$88&gt;35,BD3+BC4-BL3,IF(A4&lt;'Données projet'!$A$88,$BA$205^A4,IF(A4='Données projet'!$A$88,'Données projet'!$B$88,BD3+BC4-BL3)))</f>
        <v>1.3070441688874561</v>
      </c>
      <c r="BE4" s="14">
        <f>BD4*VLOOKUP('Données projet'!$B$11,Paramètres!$A$1:$I$89,3,0)*VLOOKUP('Données projet'!$B$11,Paramètres!$A$1:$I$89,5,0)</f>
        <v>0.73063769040808801</v>
      </c>
      <c r="BF4" s="14">
        <f>EXP(-1.0587+0.8836*LN(BE4)+0.284)</f>
        <v>0.34923616900555043</v>
      </c>
      <c r="BG4" s="22">
        <f t="shared" ref="BG4:BG67" si="7">(BE4+BF4)*0.475*44/12</f>
        <v>1.8807803051454206</v>
      </c>
      <c r="BH4" s="62">
        <f t="shared" ref="BH4:BH67" si="8">BG4+(AY4+AZ4)*44/12</f>
        <v>295.21411363847875</v>
      </c>
      <c r="BI4" s="62">
        <f ca="1">AVERAGE(OFFSET($BH$3,0,0,'Données projet'!$E$11+1,1))-AVERAGE(OFFSET($H$3,0,0,'Données projet'!$E$11+1,1))</f>
        <v>376.38993452481719</v>
      </c>
      <c r="BJ4" s="62">
        <f>$BJ$3</f>
        <v>470.10036612616727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7.7692307692307692</v>
      </c>
      <c r="BY4" s="13">
        <f>IF('Données projet'!$A$114&gt;35,BY3+BX4-CG3,IF(A4&lt;'Données projet'!$A$114,$BV$205^A4,IF(A4='Données projet'!$A$114,'Données projet'!$B$114,BY3+BX4-CG3)))</f>
        <v>1.4261938757879591</v>
      </c>
      <c r="BZ4" s="14">
        <f>BY4*VLOOKUP('Données projet'!$B$12,Paramètres!$A$1:$I$89,3,0)*VLOOKUP('Données projet'!$B$12,Paramètres!$A$1:$I$89,5,0)</f>
        <v>0.85286393772119951</v>
      </c>
      <c r="CA4" s="14">
        <f>EXP(-1.0587+0.8836*LN(BZ4)+0.284)</f>
        <v>0.40038464441801103</v>
      </c>
      <c r="CB4" s="22">
        <f t="shared" ref="CB4:CB67" si="10">(BZ4+CA4)*0.475*44/12</f>
        <v>2.1827412805591249</v>
      </c>
      <c r="CC4" s="62">
        <f t="shared" ref="CC4:CC67" si="11">CB4+(BT4+BU4)*44/12</f>
        <v>295.51607461389244</v>
      </c>
      <c r="CD4" s="62">
        <f ca="1">AVERAGE(OFFSET($CC$3,0,0,'Données projet'!$E$12+1,1))-AVERAGE(OFFSET($H$3,0,0,'Données projet'!$E$12+1,1))</f>
        <v>152.56843845628913</v>
      </c>
      <c r="CE4" s="62">
        <f>$CE$3</f>
        <v>311.82523951987685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1.1450400000000001</v>
      </c>
      <c r="D5" s="12">
        <f t="shared" ref="D5:D68" si="32">IFERROR(EXP(-1.0587+0.8836*LN(C5)+0.284),0)</f>
        <v>0.51942876755541667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12.848530837269886</v>
      </c>
      <c r="H5" s="70">
        <f t="shared" si="1"/>
        <v>296.23228310349231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7.9</v>
      </c>
      <c r="N5" s="14">
        <f>IF('Données projet'!$A$36&gt;35,N4+M5-V4,IF(A5&lt;'Données projet'!$A$36,$K$205^A5,IF(A5='Données projet'!$A$36,'Données projet'!$B$36,N4+M5-V4)))</f>
        <v>1.6590738140266501</v>
      </c>
      <c r="O5" s="14">
        <f>N5*VLOOKUP('Données projet'!$B$9,Paramètres!$A$1:$I$89,3,0)*VLOOKUP('Données projet'!$B$9,Paramètres!$A$1:$I$89,5,0)</f>
        <v>0.77644654496447219</v>
      </c>
      <c r="P5" s="14">
        <f t="shared" ref="P5:P68" si="33">EXP(-1.0587+0.8836*LN(O5)+0.284)</f>
        <v>0.36851455096495994</v>
      </c>
      <c r="Q5" s="22">
        <f t="shared" si="2"/>
        <v>1.9941405754104276</v>
      </c>
      <c r="R5" s="62">
        <f t="shared" si="0"/>
        <v>295.32747390874374</v>
      </c>
      <c r="S5" s="62">
        <f ca="1">AVERAGE(OFFSET($R$3,0,0,'Données projet'!$E$9+1,1))-AVERAGE(OFFSET($H$3,0,0,'Données projet'!$E$9+1,1))</f>
        <v>300.81172286376216</v>
      </c>
      <c r="T5" s="62">
        <f t="shared" ref="T5:T68" si="34">$T$3</f>
        <v>217.90654346456347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5.5909090909090908</v>
      </c>
      <c r="AI5" s="14">
        <f>IF('Données projet'!$A$62&gt;35,AI4+AH5-AQ4,IF(A5&lt;'Données projet'!$A$62,$AF$205^A5,IF(A5='Données projet'!$A$62,'Données projet'!$B$62,AI4+AH5-AQ4)))</f>
        <v>1.5487858556387992</v>
      </c>
      <c r="AJ5" s="14">
        <f>AI5*VLOOKUP('Données projet'!$B$10,Paramètres!$A$1:$I$89,3,0)*VLOOKUP('Données projet'!$B$10,Paramètres!$A$1:$I$89,5,0)</f>
        <v>0.92617394167200195</v>
      </c>
      <c r="AK5" s="14">
        <f t="shared" ref="AK5:AK68" si="35">EXP(-1.0587+0.8836*LN(AJ5)+0.284)</f>
        <v>0.43064718121421069</v>
      </c>
      <c r="AL5" s="22">
        <f t="shared" si="4"/>
        <v>2.3631301223601535</v>
      </c>
      <c r="AM5" s="62">
        <f t="shared" si="5"/>
        <v>295.69646345569345</v>
      </c>
      <c r="AN5" s="62">
        <f ca="1">AVERAGE(OFFSET($AM$3,0,0,'Données projet'!$E$10+1,1))-AVERAGE(OFFSET($H$3,0,0,'Données projet'!$E$10+1,1))</f>
        <v>279.33945837918748</v>
      </c>
      <c r="AO5" s="62">
        <f t="shared" ref="AO5:AO68" si="36">$AO$3</f>
        <v>215.78305328671854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8.526315789473685</v>
      </c>
      <c r="BD5" s="13">
        <f>IF('Données projet'!$A$88&gt;35,BD4+BC5-BL4,IF(A5&lt;'Données projet'!$A$88,$BA$205^A5,IF(A5='Données projet'!$A$88,'Données projet'!$B$88,BD4+BC5-BL4)))</f>
        <v>1.708364459422701</v>
      </c>
      <c r="BE5" s="14">
        <f>BD5*VLOOKUP('Données projet'!$B$11,Paramètres!$A$1:$I$89,3,0)*VLOOKUP('Données projet'!$B$11,Paramètres!$A$1:$I$89,5,0)</f>
        <v>0.95497573281728976</v>
      </c>
      <c r="BF5" s="14">
        <f t="shared" ref="BF5:BF68" si="37">EXP(-1.0587+0.8836*LN(BE5)+0.284)</f>
        <v>0.44245926414263009</v>
      </c>
      <c r="BG5" s="22">
        <f t="shared" si="7"/>
        <v>2.4338659530385267</v>
      </c>
      <c r="BH5" s="62">
        <f t="shared" si="8"/>
        <v>295.76719928637186</v>
      </c>
      <c r="BI5" s="62">
        <f ca="1">AVERAGE(OFFSET($BH$3,0,0,'Données projet'!$E$11+1,1))-AVERAGE(OFFSET($H$3,0,0,'Données projet'!$E$11+1,1))</f>
        <v>376.38993452481719</v>
      </c>
      <c r="BJ5" s="62">
        <f t="shared" ref="BJ5:BJ68" si="38">$BJ$3</f>
        <v>470.10036612616727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7.7692307692307692</v>
      </c>
      <c r="BY5" s="13">
        <f>IF('Données projet'!$A$114&gt;35,BY4+BX5-CG4,IF(A5&lt;'Données projet'!$A$114,$BV$205^A5,IF(A5='Données projet'!$A$114,'Données projet'!$B$114,BY4+BX5-CG4)))</f>
        <v>2.0340289713350805</v>
      </c>
      <c r="BZ5" s="14">
        <f>BY5*VLOOKUP('Données projet'!$B$12,Paramètres!$A$1:$I$89,3,0)*VLOOKUP('Données projet'!$B$12,Paramètres!$A$1:$I$89,5,0)</f>
        <v>1.2163493248583781</v>
      </c>
      <c r="CA5" s="14">
        <f t="shared" ref="CA5:CA68" si="39">EXP(-1.0587+0.8836*LN(BZ5)+0.284)</f>
        <v>0.54791046443869817</v>
      </c>
      <c r="CB5" s="22">
        <f t="shared" si="10"/>
        <v>3.072752466359074</v>
      </c>
      <c r="CC5" s="62">
        <f t="shared" si="11"/>
        <v>296.40608579969239</v>
      </c>
      <c r="CD5" s="62">
        <f ca="1">AVERAGE(OFFSET($CC$3,0,0,'Données projet'!$E$12+1,1))-AVERAGE(OFFSET($H$3,0,0,'Données projet'!$E$12+1,1))</f>
        <v>152.56843845628913</v>
      </c>
      <c r="CE5" s="62">
        <f t="shared" ref="CE5:CE68" si="40">$CE$3</f>
        <v>311.82523951987685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1.7175600000000002</v>
      </c>
      <c r="D6" s="12">
        <f t="shared" si="32"/>
        <v>0.74322487223491107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18.995532347076509</v>
      </c>
      <c r="H6" s="70">
        <f t="shared" si="1"/>
        <v>297.61920031914246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7.9</v>
      </c>
      <c r="N6" s="14">
        <f>IF('Données projet'!$A$36&gt;35,N5+M6-V5,IF(A6&lt;'Données projet'!$A$36,$K$205^A6,IF(A6='Données projet'!$A$36,'Données projet'!$B$36,N5+M6-V5)))</f>
        <v>2.1369706776057753</v>
      </c>
      <c r="O6" s="14">
        <f>N6*VLOOKUP('Données projet'!$B$9,Paramètres!$A$1:$I$89,3,0)*VLOOKUP('Données projet'!$B$9,Paramètres!$A$1:$I$89,5,0)</f>
        <v>1.0001022771195029</v>
      </c>
      <c r="P6" s="14">
        <f t="shared" si="33"/>
        <v>0.46088365986243646</v>
      </c>
      <c r="Q6" s="22">
        <f t="shared" si="2"/>
        <v>2.5445505069102112</v>
      </c>
      <c r="R6" s="62">
        <f t="shared" si="0"/>
        <v>295.8778838402435</v>
      </c>
      <c r="S6" s="62">
        <f ca="1">AVERAGE(OFFSET($R$3,0,0,'Données projet'!$E$9+1,1))-AVERAGE(OFFSET($H$3,0,0,'Données projet'!$E$9+1,1))</f>
        <v>300.81172286376216</v>
      </c>
      <c r="T6" s="62">
        <f t="shared" si="34"/>
        <v>217.90654346456347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5.5909090909090908</v>
      </c>
      <c r="AI6" s="14">
        <f>IF('Données projet'!$A$62&gt;35,AI5+AH6-AQ5,IF(A6&lt;'Données projet'!$A$62,$AF$205^A6,IF(A6='Données projet'!$A$62,'Données projet'!$B$62,AI5+AH6-AQ5)))</f>
        <v>1.927467485460697</v>
      </c>
      <c r="AJ6" s="14">
        <f>AI6*VLOOKUP('Données projet'!$B$10,Paramètres!$A$1:$I$89,3,0)*VLOOKUP('Données projet'!$B$10,Paramètres!$A$1:$I$89,5,0)</f>
        <v>1.152625556305497</v>
      </c>
      <c r="AK6" s="14">
        <f t="shared" si="35"/>
        <v>0.52246812247269758</v>
      </c>
      <c r="AL6" s="22">
        <f t="shared" si="4"/>
        <v>2.9174548238720219</v>
      </c>
      <c r="AM6" s="62">
        <f t="shared" si="5"/>
        <v>296.25078815720536</v>
      </c>
      <c r="AN6" s="62">
        <f ca="1">AVERAGE(OFFSET($AM$3,0,0,'Données projet'!$E$10+1,1))-AVERAGE(OFFSET($H$3,0,0,'Données projet'!$E$10+1,1))</f>
        <v>279.33945837918748</v>
      </c>
      <c r="AO6" s="62">
        <f t="shared" si="36"/>
        <v>215.78305328671854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8.526315789473685</v>
      </c>
      <c r="BD6" s="13">
        <f>IF('Données projet'!$A$88&gt;35,BD5+BC6-BL5,IF(A6&lt;'Données projet'!$A$88,$BA$205^A6,IF(A6='Données projet'!$A$88,'Données projet'!$B$88,BD5+BC6-BL5)))</f>
        <v>2.2329078050230127</v>
      </c>
      <c r="BE6" s="14">
        <f>BD6*VLOOKUP('Données projet'!$B$11,Paramètres!$A$1:$I$89,3,0)*VLOOKUP('Données projet'!$B$11,Paramètres!$A$1:$I$89,5,0)</f>
        <v>1.248195463007864</v>
      </c>
      <c r="BF6" s="14">
        <f t="shared" si="37"/>
        <v>0.56056679634040518</v>
      </c>
      <c r="BG6" s="22">
        <f t="shared" si="7"/>
        <v>3.1502609350315693</v>
      </c>
      <c r="BH6" s="62">
        <f t="shared" si="8"/>
        <v>296.48359426836487</v>
      </c>
      <c r="BI6" s="62">
        <f ca="1">AVERAGE(OFFSET($BH$3,0,0,'Données projet'!$E$11+1,1))-AVERAGE(OFFSET($H$3,0,0,'Données projet'!$E$11+1,1))</f>
        <v>376.38993452481719</v>
      </c>
      <c r="BJ6" s="62">
        <f t="shared" si="38"/>
        <v>470.10036612616727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7.7692307692307692</v>
      </c>
      <c r="BY6" s="13">
        <f>IF('Données projet'!$A$114&gt;35,BY5+BX6-CG5,IF(A6&lt;'Données projet'!$A$114,$BV$205^A6,IF(A6='Données projet'!$A$114,'Données projet'!$B$114,BY5+BX6-CG5)))</f>
        <v>2.9009196620933739</v>
      </c>
      <c r="BZ6" s="14">
        <f>BY6*VLOOKUP('Données projet'!$B$12,Paramètres!$A$1:$I$89,3,0)*VLOOKUP('Données projet'!$B$12,Paramètres!$A$1:$I$89,5,0)</f>
        <v>1.7347499579318377</v>
      </c>
      <c r="CA6" s="14">
        <f t="shared" si="39"/>
        <v>0.74979368271678282</v>
      </c>
      <c r="CB6" s="22">
        <f t="shared" si="10"/>
        <v>4.3272468407963478</v>
      </c>
      <c r="CC6" s="62">
        <f t="shared" si="11"/>
        <v>297.66058017412968</v>
      </c>
      <c r="CD6" s="62">
        <f ca="1">AVERAGE(OFFSET($CC$3,0,0,'Données projet'!$E$12+1,1))-AVERAGE(OFFSET($H$3,0,0,'Données projet'!$E$12+1,1))</f>
        <v>152.56843845628913</v>
      </c>
      <c r="CE6" s="62">
        <f t="shared" si="40"/>
        <v>311.82523951987685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2.2900800000000001</v>
      </c>
      <c r="D7" s="12">
        <f t="shared" si="32"/>
        <v>0.95833224850382137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25.075462970906695</v>
      </c>
      <c r="H7" s="70">
        <f t="shared" si="1"/>
        <v>298.99098466614413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7.9</v>
      </c>
      <c r="N7" s="14">
        <f>IF('Données projet'!$A$36&gt;35,N6+M7-V6,IF(A7&lt;'Données projet'!$A$36,$K$205^A7,IF(A7='Données projet'!$A$36,'Données projet'!$B$36,N6+M7-V6)))</f>
        <v>2.7525259203889356</v>
      </c>
      <c r="O7" s="14">
        <f>N7*VLOOKUP('Données projet'!$B$9,Paramètres!$A$1:$I$89,3,0)*VLOOKUP('Données projet'!$B$9,Paramètres!$A$1:$I$89,5,0)</f>
        <v>1.2881821307420218</v>
      </c>
      <c r="P7" s="14">
        <f t="shared" si="33"/>
        <v>0.57640532069082717</v>
      </c>
      <c r="Q7" s="22">
        <f t="shared" si="2"/>
        <v>3.2474898112455457</v>
      </c>
      <c r="R7" s="62">
        <f t="shared" si="0"/>
        <v>296.58082314457886</v>
      </c>
      <c r="S7" s="62">
        <f ca="1">AVERAGE(OFFSET($R$3,0,0,'Données projet'!$E$9+1,1))-AVERAGE(OFFSET($H$3,0,0,'Données projet'!$E$9+1,1))</f>
        <v>300.81172286376216</v>
      </c>
      <c r="T7" s="62">
        <f t="shared" si="34"/>
        <v>217.90654346456347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5.5909090909090908</v>
      </c>
      <c r="AI7" s="14">
        <f>IF('Données projet'!$A$62&gt;35,AI6+AH7-AQ6,IF(A7&lt;'Données projet'!$A$62,$AF$205^A7,IF(A7='Données projet'!$A$62,'Données projet'!$B$62,AI6+AH7-AQ6)))</f>
        <v>2.3987376266268075</v>
      </c>
      <c r="AJ7" s="14">
        <f>AI7*VLOOKUP('Données projet'!$B$10,Paramètres!$A$1:$I$89,3,0)*VLOOKUP('Données projet'!$B$10,Paramètres!$A$1:$I$89,5,0)</f>
        <v>1.4344451007228309</v>
      </c>
      <c r="AK7" s="14">
        <f t="shared" si="35"/>
        <v>0.63386677286612625</v>
      </c>
      <c r="AL7" s="22">
        <f t="shared" si="4"/>
        <v>3.6023098465007668</v>
      </c>
      <c r="AM7" s="62">
        <f t="shared" si="5"/>
        <v>296.93564317983407</v>
      </c>
      <c r="AN7" s="62">
        <f ca="1">AVERAGE(OFFSET($AM$3,0,0,'Données projet'!$E$10+1,1))-AVERAGE(OFFSET($H$3,0,0,'Données projet'!$E$10+1,1))</f>
        <v>279.33945837918748</v>
      </c>
      <c r="AO7" s="62">
        <f t="shared" si="36"/>
        <v>215.78305328671854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8.526315789473685</v>
      </c>
      <c r="BD7" s="13">
        <f>IF('Données projet'!$A$88&gt;35,BD6+BC7-BL6,IF(A7&lt;'Données projet'!$A$88,$BA$205^A7,IF(A7='Données projet'!$A$88,'Données projet'!$B$88,BD6+BC7-BL6)))</f>
        <v>2.9185091262186176</v>
      </c>
      <c r="BE7" s="14">
        <f>BD7*VLOOKUP('Données projet'!$B$11,Paramètres!$A$1:$I$89,3,0)*VLOOKUP('Données projet'!$B$11,Paramètres!$A$1:$I$89,5,0)</f>
        <v>1.6314466015562072</v>
      </c>
      <c r="BF7" s="14">
        <f t="shared" si="37"/>
        <v>0.71020127416305878</v>
      </c>
      <c r="BG7" s="22">
        <f t="shared" si="7"/>
        <v>4.0783700502110554</v>
      </c>
      <c r="BH7" s="62">
        <f t="shared" si="8"/>
        <v>297.41170338354436</v>
      </c>
      <c r="BI7" s="62">
        <f ca="1">AVERAGE(OFFSET($BH$3,0,0,'Données projet'!$E$11+1,1))-AVERAGE(OFFSET($H$3,0,0,'Données projet'!$E$11+1,1))</f>
        <v>376.38993452481719</v>
      </c>
      <c r="BJ7" s="62">
        <f t="shared" si="38"/>
        <v>470.10036612616727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7.7692307692307692</v>
      </c>
      <c r="BY7" s="13">
        <f>IF('Données projet'!$A$114&gt;35,BY6+BX7-CG6,IF(A7&lt;'Données projet'!$A$114,$BV$205^A7,IF(A7='Données projet'!$A$114,'Données projet'!$B$114,BY6+BX7-CG6)))</f>
        <v>4.1372738562304461</v>
      </c>
      <c r="BZ7" s="14">
        <f>BY7*VLOOKUP('Données projet'!$B$12,Paramètres!$A$1:$I$89,3,0)*VLOOKUP('Données projet'!$B$12,Paramètres!$A$1:$I$89,5,0)</f>
        <v>2.474089766025807</v>
      </c>
      <c r="CA7" s="14">
        <f t="shared" si="39"/>
        <v>1.0260628389675426</v>
      </c>
      <c r="CB7" s="22">
        <f t="shared" si="10"/>
        <v>6.0960991203634167</v>
      </c>
      <c r="CC7" s="62">
        <f t="shared" si="11"/>
        <v>299.42943245369673</v>
      </c>
      <c r="CD7" s="62">
        <f ca="1">AVERAGE(OFFSET($CC$3,0,0,'Données projet'!$E$12+1,1))-AVERAGE(OFFSET($H$3,0,0,'Données projet'!$E$12+1,1))</f>
        <v>152.56843845628913</v>
      </c>
      <c r="CE7" s="62">
        <f t="shared" si="40"/>
        <v>311.82523951987685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2.8626</v>
      </c>
      <c r="D8" s="12">
        <f t="shared" si="32"/>
        <v>1.1672013741446075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31.107238677607498</v>
      </c>
      <c r="H8" s="70">
        <f t="shared" si="1"/>
        <v>300.35190405996849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7.9</v>
      </c>
      <c r="N8" s="14">
        <f>IF('Données projet'!$A$36&gt;35,N7+M8-V7,IF(A8&lt;'Données projet'!$A$36,$K$205^A8,IF(A8='Données projet'!$A$36,'Données projet'!$B$36,N7+M8-V7)))</f>
        <v>3.5453920925585285</v>
      </c>
      <c r="O8" s="14">
        <f>N8*VLOOKUP('Données projet'!$B$9,Paramètres!$A$1:$I$89,3,0)*VLOOKUP('Données projet'!$B$9,Paramètres!$A$1:$I$89,5,0)</f>
        <v>1.6592434993173915</v>
      </c>
      <c r="P8" s="14">
        <f t="shared" si="33"/>
        <v>0.72088277944126433</v>
      </c>
      <c r="Q8" s="22">
        <f t="shared" si="2"/>
        <v>4.1453866021713255</v>
      </c>
      <c r="R8" s="62">
        <f t="shared" si="0"/>
        <v>297.47871993550461</v>
      </c>
      <c r="S8" s="62">
        <f ca="1">AVERAGE(OFFSET($R$3,0,0,'Données projet'!$E$9+1,1))-AVERAGE(OFFSET($H$3,0,0,'Données projet'!$E$9+1,1))</f>
        <v>300.81172286376216</v>
      </c>
      <c r="T8" s="62">
        <f t="shared" si="34"/>
        <v>217.90654346456347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5.5909090909090908</v>
      </c>
      <c r="AI8" s="14">
        <f>IF('Données projet'!$A$62&gt;35,AI7+AH8-AQ7,IF(A8&lt;'Données projet'!$A$62,$AF$205^A8,IF(A8='Données projet'!$A$62,'Données projet'!$B$62,AI7+AH8-AQ7)))</f>
        <v>2.9852343786852105</v>
      </c>
      <c r="AJ8" s="14">
        <f>AI8*VLOOKUP('Données projet'!$B$10,Paramètres!$A$1:$I$89,3,0)*VLOOKUP('Données projet'!$B$10,Paramètres!$A$1:$I$89,5,0)</f>
        <v>1.785170158453756</v>
      </c>
      <c r="AK8" s="14">
        <f t="shared" si="35"/>
        <v>0.7690174164926461</v>
      </c>
      <c r="AL8" s="22">
        <f t="shared" si="4"/>
        <v>4.4485433596983173</v>
      </c>
      <c r="AM8" s="62">
        <f t="shared" si="5"/>
        <v>297.78187669303162</v>
      </c>
      <c r="AN8" s="62">
        <f ca="1">AVERAGE(OFFSET($AM$3,0,0,'Données projet'!$E$10+1,1))-AVERAGE(OFFSET($H$3,0,0,'Données projet'!$E$10+1,1))</f>
        <v>279.33945837918748</v>
      </c>
      <c r="AO8" s="62">
        <f t="shared" si="36"/>
        <v>215.78305328671854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8.526315789473685</v>
      </c>
      <c r="BD8" s="13">
        <f>IF('Données projet'!$A$88&gt;35,BD7+BC8-BL7,IF(A8&lt;'Données projet'!$A$88,$BA$205^A8,IF(A8='Données projet'!$A$88,'Données projet'!$B$88,BD7+BC8-BL7)))</f>
        <v>3.8146203352688688</v>
      </c>
      <c r="BE8" s="14">
        <f>BD8*VLOOKUP('Données projet'!$B$11,Paramètres!$A$1:$I$89,3,0)*VLOOKUP('Données projet'!$B$11,Paramètres!$A$1:$I$89,5,0)</f>
        <v>2.1323727674152977</v>
      </c>
      <c r="BF8" s="14">
        <f t="shared" si="37"/>
        <v>0.89977831922200224</v>
      </c>
      <c r="BG8" s="22">
        <f t="shared" si="7"/>
        <v>5.2809964758932972</v>
      </c>
      <c r="BH8" s="62">
        <f t="shared" si="8"/>
        <v>298.6143298092266</v>
      </c>
      <c r="BI8" s="62">
        <f ca="1">AVERAGE(OFFSET($BH$3,0,0,'Données projet'!$E$11+1,1))-AVERAGE(OFFSET($H$3,0,0,'Données projet'!$E$11+1,1))</f>
        <v>376.38993452481719</v>
      </c>
      <c r="BJ8" s="62">
        <f t="shared" si="38"/>
        <v>470.10036612616727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7.7692307692307692</v>
      </c>
      <c r="BY8" s="13">
        <f>IF('Données projet'!$A$114&gt;35,BY7+BX8-CG7,IF(A8&lt;'Données projet'!$A$114,$BV$205^A8,IF(A8='Données projet'!$A$114,'Données projet'!$B$114,BY7+BX8-CG7)))</f>
        <v>5.9005546362134957</v>
      </c>
      <c r="BZ8" s="14">
        <f>BY8*VLOOKUP('Données projet'!$B$12,Paramètres!$A$1:$I$89,3,0)*VLOOKUP('Données projet'!$B$12,Paramètres!$A$1:$I$89,5,0)</f>
        <v>3.5285316724556708</v>
      </c>
      <c r="CA8" s="14">
        <f t="shared" si="39"/>
        <v>1.404126193348852</v>
      </c>
      <c r="CB8" s="22">
        <f t="shared" si="10"/>
        <v>8.5910457829428761</v>
      </c>
      <c r="CC8" s="62">
        <f t="shared" si="11"/>
        <v>301.92437911627621</v>
      </c>
      <c r="CD8" s="62">
        <f ca="1">AVERAGE(OFFSET($CC$3,0,0,'Données projet'!$E$12+1,1))-AVERAGE(OFFSET($H$3,0,0,'Données projet'!$E$12+1,1))</f>
        <v>152.56843845628913</v>
      </c>
      <c r="CE8" s="62">
        <f t="shared" si="40"/>
        <v>311.82523951987685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3.43512</v>
      </c>
      <c r="D9" s="12">
        <f t="shared" si="32"/>
        <v>1.3712301039946899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37.101649925573049</v>
      </c>
      <c r="H9" s="70">
        <f t="shared" si="1"/>
        <v>301.70439309779073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7.9</v>
      </c>
      <c r="N9" s="14">
        <f>IF('Données projet'!$A$36&gt;35,N8+M9-V8,IF(A9&lt;'Données projet'!$A$36,$K$205^A9,IF(A9='Données projet'!$A$36,'Données projet'!$B$36,N8+M9-V8)))</f>
        <v>4.566643676946887</v>
      </c>
      <c r="O9" s="14">
        <f>N9*VLOOKUP('Données projet'!$B$9,Paramètres!$A$1:$I$89,3,0)*VLOOKUP('Données projet'!$B$9,Paramètres!$A$1:$I$89,5,0)</f>
        <v>2.1371892408111433</v>
      </c>
      <c r="P9" s="14">
        <f t="shared" si="33"/>
        <v>0.9015738804633705</v>
      </c>
      <c r="Q9" s="22">
        <f t="shared" si="2"/>
        <v>5.292512436219778</v>
      </c>
      <c r="R9" s="62">
        <f t="shared" si="0"/>
        <v>298.62584576955311</v>
      </c>
      <c r="S9" s="62">
        <f ca="1">AVERAGE(OFFSET($R$3,0,0,'Données projet'!$E$9+1,1))-AVERAGE(OFFSET($H$3,0,0,'Données projet'!$E$9+1,1))</f>
        <v>300.81172286376216</v>
      </c>
      <c r="T9" s="62">
        <f t="shared" si="34"/>
        <v>217.90654346456347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5.5909090909090908</v>
      </c>
      <c r="AI9" s="14">
        <f>IF('Données projet'!$A$62&gt;35,AI8+AH9-AQ8,IF(A9&lt;'Données projet'!$A$62,$AF$205^A9,IF(A9='Données projet'!$A$62,'Données projet'!$B$62,AI8+AH9-AQ8)))</f>
        <v>3.7151309075081826</v>
      </c>
      <c r="AJ9" s="14">
        <f>AI9*VLOOKUP('Données projet'!$B$10,Paramètres!$A$1:$I$89,3,0)*VLOOKUP('Données projet'!$B$10,Paramètres!$A$1:$I$89,5,0)</f>
        <v>2.2216482826898933</v>
      </c>
      <c r="AK9" s="14">
        <f t="shared" si="35"/>
        <v>0.93298436230530435</v>
      </c>
      <c r="AL9" s="22">
        <f t="shared" si="4"/>
        <v>5.4943185233666361</v>
      </c>
      <c r="AM9" s="62">
        <f t="shared" si="5"/>
        <v>298.82765185669996</v>
      </c>
      <c r="AN9" s="62">
        <f ca="1">AVERAGE(OFFSET($AM$3,0,0,'Données projet'!$E$10+1,1))-AVERAGE(OFFSET($H$3,0,0,'Données projet'!$E$10+1,1))</f>
        <v>279.33945837918748</v>
      </c>
      <c r="AO9" s="62">
        <f t="shared" si="36"/>
        <v>215.78305328671854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8.526315789473685</v>
      </c>
      <c r="BD9" s="13">
        <f>IF('Données projet'!$A$88&gt;35,BD8+BC9-BL8,IF(A9&lt;'Données projet'!$A$88,$BA$205^A9,IF(A9='Données projet'!$A$88,'Données projet'!$B$88,BD8+BC9-BL8)))</f>
        <v>4.9858772657326877</v>
      </c>
      <c r="BE9" s="14">
        <f>BD9*VLOOKUP('Données projet'!$B$11,Paramètres!$A$1:$I$89,3,0)*VLOOKUP('Données projet'!$B$11,Paramètres!$A$1:$I$89,5,0)</f>
        <v>2.7871053915445723</v>
      </c>
      <c r="BF9" s="14">
        <f t="shared" si="37"/>
        <v>1.1399599707787778</v>
      </c>
      <c r="BG9" s="22">
        <f t="shared" si="7"/>
        <v>6.839638839379834</v>
      </c>
      <c r="BH9" s="62">
        <f t="shared" si="8"/>
        <v>300.17297217271317</v>
      </c>
      <c r="BI9" s="62">
        <f ca="1">AVERAGE(OFFSET($BH$3,0,0,'Données projet'!$E$11+1,1))-AVERAGE(OFFSET($H$3,0,0,'Données projet'!$E$11+1,1))</f>
        <v>376.38993452481719</v>
      </c>
      <c r="BJ9" s="62">
        <f t="shared" si="38"/>
        <v>470.10036612616727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7.7692307692307692</v>
      </c>
      <c r="BY9" s="13">
        <f>IF('Données projet'!$A$114&gt;35,BY8+BX9-CG8,IF(A9&lt;'Données projet'!$A$114,$BV$205^A9,IF(A9='Données projet'!$A$114,'Données projet'!$B$114,BY8+BX9-CG8)))</f>
        <v>8.4153348859199362</v>
      </c>
      <c r="BZ9" s="14">
        <f>BY9*VLOOKUP('Données projet'!$B$12,Paramètres!$A$1:$I$89,3,0)*VLOOKUP('Données projet'!$B$12,Paramètres!$A$1:$I$89,5,0)</f>
        <v>5.0323702617801223</v>
      </c>
      <c r="CA9" s="14">
        <f t="shared" si="39"/>
        <v>1.9214908599868947</v>
      </c>
      <c r="CB9" s="22">
        <f t="shared" si="10"/>
        <v>12.111308120410888</v>
      </c>
      <c r="CC9" s="62">
        <f t="shared" si="11"/>
        <v>305.44464145374423</v>
      </c>
      <c r="CD9" s="62">
        <f ca="1">AVERAGE(OFFSET($CC$3,0,0,'Données projet'!$E$12+1,1))-AVERAGE(OFFSET($H$3,0,0,'Données projet'!$E$12+1,1))</f>
        <v>152.56843845628913</v>
      </c>
      <c r="CE9" s="62">
        <f t="shared" si="40"/>
        <v>311.82523951987685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4.0076400000000003</v>
      </c>
      <c r="D10" s="12">
        <f t="shared" si="32"/>
        <v>1.5713195810189087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43.06565290611087</v>
      </c>
      <c r="H10" s="70">
        <f t="shared" si="1"/>
        <v>303.05002127027456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7.9</v>
      </c>
      <c r="N10" s="14">
        <f>IF('Données projet'!$A$36&gt;35,N9+M10-V9,IF(A10&lt;'Données projet'!$A$36,$K$205^A10,IF(A10='Données projet'!$A$36,'Données projet'!$B$36,N9+M10-V9)))</f>
        <v>5.8820671812210037</v>
      </c>
      <c r="O10" s="14">
        <f>N10*VLOOKUP('Données projet'!$B$9,Paramètres!$A$1:$I$89,3,0)*VLOOKUP('Données projet'!$B$9,Paramètres!$A$1:$I$89,5,0)</f>
        <v>2.7528074408114294</v>
      </c>
      <c r="P10" s="14">
        <f t="shared" si="33"/>
        <v>1.1275556652411438</v>
      </c>
      <c r="Q10" s="22">
        <f t="shared" si="2"/>
        <v>6.7582990763748976</v>
      </c>
      <c r="R10" s="62">
        <f t="shared" si="0"/>
        <v>300.09163240970821</v>
      </c>
      <c r="S10" s="62">
        <f ca="1">AVERAGE(OFFSET($R$3,0,0,'Données projet'!$E$9+1,1))-AVERAGE(OFFSET($H$3,0,0,'Données projet'!$E$9+1,1))</f>
        <v>300.81172286376216</v>
      </c>
      <c r="T10" s="62">
        <f t="shared" si="34"/>
        <v>217.90654346456347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5.5909090909090908</v>
      </c>
      <c r="AI10" s="14">
        <f>IF('Données projet'!$A$62&gt;35,AI9+AH10-AQ9,IF(A10&lt;'Données projet'!$A$62,$AF$205^A10,IF(A10='Données projet'!$A$62,'Données projet'!$B$62,AI9+AH10-AQ9)))</f>
        <v>4.6234887814743333</v>
      </c>
      <c r="AJ10" s="14">
        <f>AI10*VLOOKUP('Données projet'!$B$10,Paramètres!$A$1:$I$89,3,0)*VLOOKUP('Données projet'!$B$10,Paramètres!$A$1:$I$89,5,0)</f>
        <v>2.7648462913216516</v>
      </c>
      <c r="AK10" s="14">
        <f t="shared" si="35"/>
        <v>1.1319117118000401</v>
      </c>
      <c r="AL10" s="22">
        <f t="shared" si="4"/>
        <v>6.7868535221036126</v>
      </c>
      <c r="AM10" s="62">
        <f t="shared" si="5"/>
        <v>300.12018685543694</v>
      </c>
      <c r="AN10" s="62">
        <f ca="1">AVERAGE(OFFSET($AM$3,0,0,'Données projet'!$E$10+1,1))-AVERAGE(OFFSET($H$3,0,0,'Données projet'!$E$10+1,1))</f>
        <v>279.33945837918748</v>
      </c>
      <c r="AO10" s="62">
        <f t="shared" si="36"/>
        <v>215.78305328671854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8.526315789473685</v>
      </c>
      <c r="BD10" s="13">
        <f>IF('Données projet'!$A$88&gt;35,BD9+BC10-BL9,IF(A10&lt;'Données projet'!$A$88,$BA$205^A10,IF(A10='Données projet'!$A$88,'Données projet'!$B$88,BD9+BC10-BL9)))</f>
        <v>6.5167618069644444</v>
      </c>
      <c r="BE10" s="14">
        <f>BD10*VLOOKUP('Données projet'!$B$11,Paramètres!$A$1:$I$89,3,0)*VLOOKUP('Données projet'!$B$11,Paramètres!$A$1:$I$89,5,0)</f>
        <v>3.6428698500931249</v>
      </c>
      <c r="BF10" s="14">
        <f t="shared" si="37"/>
        <v>1.4442543315575544</v>
      </c>
      <c r="BG10" s="22">
        <f t="shared" si="7"/>
        <v>8.8600746163749324</v>
      </c>
      <c r="BH10" s="62">
        <f t="shared" si="8"/>
        <v>302.19340794970827</v>
      </c>
      <c r="BI10" s="62">
        <f ca="1">AVERAGE(OFFSET($BH$3,0,0,'Données projet'!$E$11+1,1))-AVERAGE(OFFSET($H$3,0,0,'Données projet'!$E$11+1,1))</f>
        <v>376.38993452481719</v>
      </c>
      <c r="BJ10" s="62">
        <f t="shared" si="38"/>
        <v>470.10036612616727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7.7692307692307692</v>
      </c>
      <c r="BY10" s="13">
        <f>IF('Données projet'!$A$114&gt;35,BY9+BX10-CG9,IF(A10&lt;'Données projet'!$A$114,$BV$205^A10,IF(A10='Données projet'!$A$114,'Données projet'!$B$114,BY9+BX10-CG9)))</f>
        <v>12.001899077003776</v>
      </c>
      <c r="BZ10" s="14">
        <f>BY10*VLOOKUP('Données projet'!$B$12,Paramètres!$A$1:$I$89,3,0)*VLOOKUP('Données projet'!$B$12,Paramètres!$A$1:$I$89,5,0)</f>
        <v>7.1771356480482584</v>
      </c>
      <c r="CA10" s="14">
        <f t="shared" si="39"/>
        <v>2.6294838330787229</v>
      </c>
      <c r="CB10" s="22">
        <f t="shared" si="10"/>
        <v>17.079862262962827</v>
      </c>
      <c r="CC10" s="62">
        <f t="shared" si="11"/>
        <v>310.41319559629613</v>
      </c>
      <c r="CD10" s="62">
        <f ca="1">AVERAGE(OFFSET($CC$3,0,0,'Données projet'!$E$12+1,1))-AVERAGE(OFFSET($H$3,0,0,'Données projet'!$E$12+1,1))</f>
        <v>152.56843845628913</v>
      </c>
      <c r="CE10" s="62">
        <f t="shared" si="40"/>
        <v>311.82523951987685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4.5801600000000002</v>
      </c>
      <c r="D11" s="12">
        <f t="shared" si="32"/>
        <v>1.7680974868693768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49.004092881096945</v>
      </c>
      <c r="H11" s="70">
        <f t="shared" si="1"/>
        <v>304.38988178963081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7.9</v>
      </c>
      <c r="N11" s="14">
        <f>IF('Données projet'!$A$36&gt;35,N10+M11-V10,IF(A11&lt;'Données projet'!$A$36,$K$205^A11,IF(A11='Données projet'!$A$36,'Données projet'!$B$36,N10+M11-V10)))</f>
        <v>7.5763989424129567</v>
      </c>
      <c r="O11" s="14">
        <f>N11*VLOOKUP('Données projet'!$B$9,Paramètres!$A$1:$I$89,3,0)*VLOOKUP('Données projet'!$B$9,Paramètres!$A$1:$I$89,5,0)</f>
        <v>3.5457547050492639</v>
      </c>
      <c r="P11" s="14">
        <f t="shared" si="33"/>
        <v>1.4101803587787649</v>
      </c>
      <c r="Q11" s="22">
        <f t="shared" si="2"/>
        <v>8.631586902833817</v>
      </c>
      <c r="R11" s="62">
        <f t="shared" si="0"/>
        <v>301.96492023616713</v>
      </c>
      <c r="S11" s="62">
        <f ca="1">AVERAGE(OFFSET($R$3,0,0,'Données projet'!$E$9+1,1))-AVERAGE(OFFSET($H$3,0,0,'Données projet'!$E$9+1,1))</f>
        <v>300.81172286376216</v>
      </c>
      <c r="T11" s="62">
        <f t="shared" si="34"/>
        <v>217.90654346456347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5.5909090909090908</v>
      </c>
      <c r="AI11" s="14">
        <f>IF('Données projet'!$A$62&gt;35,AI10+AH11-AQ10,IF(A11&lt;'Données projet'!$A$62,$AF$205^A11,IF(A11='Données projet'!$A$62,'Données projet'!$B$62,AI10+AH11-AQ10)))</f>
        <v>5.7539422013952093</v>
      </c>
      <c r="AJ11" s="14">
        <f>AI11*VLOOKUP('Données projet'!$B$10,Paramètres!$A$1:$I$89,3,0)*VLOOKUP('Données projet'!$B$10,Paramètres!$A$1:$I$89,5,0)</f>
        <v>3.4408574364343356</v>
      </c>
      <c r="AK11" s="14">
        <f t="shared" si="35"/>
        <v>1.3732535882427113</v>
      </c>
      <c r="AL11" s="22">
        <f t="shared" si="4"/>
        <v>8.3845767013125236</v>
      </c>
      <c r="AM11" s="62">
        <f t="shared" si="5"/>
        <v>301.71791003464585</v>
      </c>
      <c r="AN11" s="62">
        <f ca="1">AVERAGE(OFFSET($AM$3,0,0,'Données projet'!$E$10+1,1))-AVERAGE(OFFSET($H$3,0,0,'Données projet'!$E$10+1,1))</f>
        <v>279.33945837918748</v>
      </c>
      <c r="AO11" s="62">
        <f t="shared" si="36"/>
        <v>215.78305328671854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8.526315789473685</v>
      </c>
      <c r="BD11" s="13">
        <f>IF('Données projet'!$A$88&gt;35,BD10+BC11-BL10,IF(A11&lt;'Données projet'!$A$88,$BA$205^A11,IF(A11='Données projet'!$A$88,'Données projet'!$B$88,BD10+BC11-BL10)))</f>
        <v>8.5176955198213591</v>
      </c>
      <c r="BE11" s="14">
        <f>BD11*VLOOKUP('Données projet'!$B$11,Paramètres!$A$1:$I$89,3,0)*VLOOKUP('Données projet'!$B$11,Paramètres!$A$1:$I$89,5,0)</f>
        <v>4.7613917955801393</v>
      </c>
      <c r="BF11" s="14">
        <f t="shared" si="37"/>
        <v>1.8297752795633417</v>
      </c>
      <c r="BG11" s="22">
        <f t="shared" si="7"/>
        <v>11.479615989208229</v>
      </c>
      <c r="BH11" s="62">
        <f t="shared" si="8"/>
        <v>304.81294932254156</v>
      </c>
      <c r="BI11" s="62">
        <f ca="1">AVERAGE(OFFSET($BH$3,0,0,'Données projet'!$E$11+1,1))-AVERAGE(OFFSET($H$3,0,0,'Données projet'!$E$11+1,1))</f>
        <v>376.38993452481719</v>
      </c>
      <c r="BJ11" s="62">
        <f t="shared" si="38"/>
        <v>470.10036612616727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7.7692307692307692</v>
      </c>
      <c r="BY11" s="13">
        <f>IF('Données projet'!$A$114&gt;35,BY10+BX11-CG10,IF(A11&lt;'Données projet'!$A$114,$BV$205^A11,IF(A11='Données projet'!$A$114,'Données projet'!$B$114,BY10+BX11-CG10)))</f>
        <v>17.117034961447946</v>
      </c>
      <c r="BZ11" s="14">
        <f>BY11*VLOOKUP('Données projet'!$B$12,Paramètres!$A$1:$I$89,3,0)*VLOOKUP('Données projet'!$B$12,Paramètres!$A$1:$I$89,5,0)</f>
        <v>10.235986906945872</v>
      </c>
      <c r="CA11" s="14">
        <f t="shared" si="39"/>
        <v>3.5983440631455994</v>
      </c>
      <c r="CB11" s="22">
        <f t="shared" si="10"/>
        <v>24.094793106242644</v>
      </c>
      <c r="CC11" s="62">
        <f t="shared" si="11"/>
        <v>317.42812643957598</v>
      </c>
      <c r="CD11" s="62">
        <f ca="1">AVERAGE(OFFSET($CC$3,0,0,'Données projet'!$E$12+1,1))-AVERAGE(OFFSET($H$3,0,0,'Données projet'!$E$12+1,1))</f>
        <v>152.56843845628913</v>
      </c>
      <c r="CE11" s="62">
        <f t="shared" si="40"/>
        <v>311.82523951987685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5.1526800000000001</v>
      </c>
      <c r="D12" s="12">
        <f t="shared" si="32"/>
        <v>1.9620251755451499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54.920531179646765</v>
      </c>
      <c r="H12" s="70">
        <f t="shared" si="1"/>
        <v>305.72477818074111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7.9</v>
      </c>
      <c r="N12" s="14">
        <f>IF('Données projet'!$A$36&gt;35,N11+M12-V11,IF(A12&lt;'Données projet'!$A$36,$K$205^A12,IF(A12='Données projet'!$A$36,'Données projet'!$B$36,N11+M12-V11)))</f>
        <v>9.7587836327093171</v>
      </c>
      <c r="O12" s="14">
        <f>N12*VLOOKUP('Données projet'!$B$9,Paramètres!$A$1:$I$89,3,0)*VLOOKUP('Données projet'!$B$9,Paramètres!$A$1:$I$89,5,0)</f>
        <v>4.5671107401079603</v>
      </c>
      <c r="P12" s="14">
        <f t="shared" si="33"/>
        <v>1.763645650133036</v>
      </c>
      <c r="Q12" s="22">
        <f t="shared" si="2"/>
        <v>11.026067379669733</v>
      </c>
      <c r="R12" s="62">
        <f t="shared" si="0"/>
        <v>304.35940071300303</v>
      </c>
      <c r="S12" s="62">
        <f ca="1">AVERAGE(OFFSET($R$3,0,0,'Données projet'!$E$9+1,1))-AVERAGE(OFFSET($H$3,0,0,'Données projet'!$E$9+1,1))</f>
        <v>300.81172286376216</v>
      </c>
      <c r="T12" s="62">
        <f t="shared" si="34"/>
        <v>217.90654346456347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5.5909090909090908</v>
      </c>
      <c r="AI12" s="14">
        <f>IF('Données projet'!$A$62&gt;35,AI11+AH12-AQ11,IF(A12&lt;'Données projet'!$A$62,$AF$205^A12,IF(A12='Données projet'!$A$62,'Données projet'!$B$62,AI11+AH12-AQ11)))</f>
        <v>7.1607940284521145</v>
      </c>
      <c r="AJ12" s="14">
        <f>AI12*VLOOKUP('Données projet'!$B$10,Paramètres!$A$1:$I$89,3,0)*VLOOKUP('Données projet'!$B$10,Paramètres!$A$1:$I$89,5,0)</f>
        <v>4.2821548290143649</v>
      </c>
      <c r="AK12" s="14">
        <f t="shared" si="35"/>
        <v>1.6660534544894132</v>
      </c>
      <c r="AL12" s="22">
        <f t="shared" si="4"/>
        <v>10.359796093769079</v>
      </c>
      <c r="AM12" s="62">
        <f t="shared" si="5"/>
        <v>303.69312942710241</v>
      </c>
      <c r="AN12" s="62">
        <f ca="1">AVERAGE(OFFSET($AM$3,0,0,'Données projet'!$E$10+1,1))-AVERAGE(OFFSET($H$3,0,0,'Données projet'!$E$10+1,1))</f>
        <v>279.33945837918748</v>
      </c>
      <c r="AO12" s="62">
        <f t="shared" si="36"/>
        <v>215.78305328671854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8.526315789473685</v>
      </c>
      <c r="BD12" s="13">
        <f>IF('Données projet'!$A$88&gt;35,BD11+BC12-BL11,IF(A12&lt;'Données projet'!$A$88,$BA$205^A12,IF(A12='Données projet'!$A$88,'Données projet'!$B$88,BD11+BC12-BL11)))</f>
        <v>11.133004261541316</v>
      </c>
      <c r="BE12" s="14">
        <f>BD12*VLOOKUP('Données projet'!$B$11,Paramètres!$A$1:$I$89,3,0)*VLOOKUP('Données projet'!$B$11,Paramètres!$A$1:$I$89,5,0)</f>
        <v>6.2233493822015964</v>
      </c>
      <c r="BF12" s="14">
        <f t="shared" si="37"/>
        <v>2.3182049730052579</v>
      </c>
      <c r="BG12" s="22">
        <f t="shared" si="7"/>
        <v>14.87654050198527</v>
      </c>
      <c r="BH12" s="62">
        <f t="shared" si="8"/>
        <v>308.2098738353186</v>
      </c>
      <c r="BI12" s="62">
        <f ca="1">AVERAGE(OFFSET($BH$3,0,0,'Données projet'!$E$11+1,1))-AVERAGE(OFFSET($H$3,0,0,'Données projet'!$E$11+1,1))</f>
        <v>376.38993452481719</v>
      </c>
      <c r="BJ12" s="62">
        <f t="shared" si="38"/>
        <v>470.10036612616727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7.7692307692307692</v>
      </c>
      <c r="BY12" s="13">
        <f>IF('Données projet'!$A$114&gt;35,BY11+BX12-CG11,IF(A12&lt;'Données projet'!$A$114,$BV$205^A12,IF(A12='Données projet'!$A$114,'Données projet'!$B$114,BY11+BX12-CG11)))</f>
        <v>24.412210433665443</v>
      </c>
      <c r="BZ12" s="14">
        <f>BY12*VLOOKUP('Données projet'!$B$12,Paramètres!$A$1:$I$89,3,0)*VLOOKUP('Données projet'!$B$12,Paramètres!$A$1:$I$89,5,0)</f>
        <v>14.598501839331936</v>
      </c>
      <c r="CA12" s="14">
        <f t="shared" si="39"/>
        <v>4.9241907608973428</v>
      </c>
      <c r="CB12" s="22">
        <f t="shared" si="10"/>
        <v>34.002022945399325</v>
      </c>
      <c r="CC12" s="62">
        <f t="shared" si="11"/>
        <v>327.33535627873266</v>
      </c>
      <c r="CD12" s="62">
        <f ca="1">AVERAGE(OFFSET($CC$3,0,0,'Données projet'!$E$12+1,1))-AVERAGE(OFFSET($H$3,0,0,'Données projet'!$E$12+1,1))</f>
        <v>152.56843845628913</v>
      </c>
      <c r="CE12" s="62">
        <f t="shared" si="40"/>
        <v>311.82523951987685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5.7252000000000001</v>
      </c>
      <c r="D13" s="12">
        <f t="shared" si="32"/>
        <v>2.1534554634027163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60.817691296442028</v>
      </c>
      <c r="H13" s="70">
        <f t="shared" si="1"/>
        <v>307.05532493209307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7.9</v>
      </c>
      <c r="N13" s="14">
        <f>IF('Données projet'!$A$36&gt;35,N12+M13-V12,IF(A13&lt;'Données projet'!$A$36,$K$205^A13,IF(A13='Données projet'!$A$36,'Données projet'!$B$36,N12+M13-V12)))</f>
        <v>12.569805089976542</v>
      </c>
      <c r="O13" s="14">
        <f>N13*VLOOKUP('Données projet'!$B$9,Paramètres!$A$1:$I$89,3,0)*VLOOKUP('Données projet'!$B$9,Paramètres!$A$1:$I$89,5,0)</f>
        <v>5.8826687821090227</v>
      </c>
      <c r="P13" s="14">
        <f t="shared" si="33"/>
        <v>2.2057079152108381</v>
      </c>
      <c r="Q13" s="22">
        <f t="shared" si="2"/>
        <v>14.087256081165423</v>
      </c>
      <c r="R13" s="62">
        <f t="shared" si="0"/>
        <v>307.42058941449875</v>
      </c>
      <c r="S13" s="62">
        <f ca="1">AVERAGE(OFFSET($R$3,0,0,'Données projet'!$E$9+1,1))-AVERAGE(OFFSET($H$3,0,0,'Données projet'!$E$9+1,1))</f>
        <v>300.81172286376216</v>
      </c>
      <c r="T13" s="62">
        <f t="shared" si="34"/>
        <v>217.90654346456347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5.5909090909090908</v>
      </c>
      <c r="AI13" s="14">
        <f>IF('Données projet'!$A$62&gt;35,AI12+AH13-AQ12,IF(A13&lt;'Données projet'!$A$62,$AF$205^A13,IF(A13='Données projet'!$A$62,'Données projet'!$B$62,AI12+AH13-AQ12)))</f>
        <v>8.9116242956840761</v>
      </c>
      <c r="AJ13" s="14">
        <f>AI13*VLOOKUP('Données projet'!$B$10,Paramètres!$A$1:$I$89,3,0)*VLOOKUP('Données projet'!$B$10,Paramètres!$A$1:$I$89,5,0)</f>
        <v>5.3291513288190782</v>
      </c>
      <c r="AK13" s="14">
        <f t="shared" si="35"/>
        <v>2.0212829858817885</v>
      </c>
      <c r="AL13" s="22">
        <f t="shared" si="4"/>
        <v>12.802006431437341</v>
      </c>
      <c r="AM13" s="62">
        <f t="shared" si="5"/>
        <v>306.13533976477066</v>
      </c>
      <c r="AN13" s="62">
        <f ca="1">AVERAGE(OFFSET($AM$3,0,0,'Données projet'!$E$10+1,1))-AVERAGE(OFFSET($H$3,0,0,'Données projet'!$E$10+1,1))</f>
        <v>279.33945837918748</v>
      </c>
      <c r="AO13" s="62">
        <f t="shared" si="36"/>
        <v>215.78305328671854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8.526315789473685</v>
      </c>
      <c r="BD13" s="13">
        <f>IF('Données projet'!$A$88&gt;35,BD12+BC13-BL12,IF(A13&lt;'Données projet'!$A$88,$BA$205^A13,IF(A13='Données projet'!$A$88,'Données projet'!$B$88,BD12+BC13-BL12)))</f>
        <v>14.551328302246779</v>
      </c>
      <c r="BE13" s="14">
        <f>BD13*VLOOKUP('Données projet'!$B$11,Paramètres!$A$1:$I$89,3,0)*VLOOKUP('Données projet'!$B$11,Paramètres!$A$1:$I$89,5,0)</f>
        <v>8.1341925209559491</v>
      </c>
      <c r="BF13" s="14">
        <f t="shared" si="37"/>
        <v>2.9370132807503975</v>
      </c>
      <c r="BG13" s="22">
        <f t="shared" si="7"/>
        <v>19.282350104638549</v>
      </c>
      <c r="BH13" s="62">
        <f t="shared" si="8"/>
        <v>312.61568343797188</v>
      </c>
      <c r="BI13" s="62">
        <f ca="1">AVERAGE(OFFSET($BH$3,0,0,'Données projet'!$E$11+1,1))-AVERAGE(OFFSET($H$3,0,0,'Données projet'!$E$11+1,1))</f>
        <v>376.38993452481719</v>
      </c>
      <c r="BJ13" s="62">
        <f t="shared" si="38"/>
        <v>470.10036612616727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7.7692307692307692</v>
      </c>
      <c r="BY13" s="13">
        <f>IF('Données projet'!$A$114&gt;35,BY12+BX13-CG12,IF(A13&lt;'Données projet'!$A$114,$BV$205^A13,IF(A13='Données projet'!$A$114,'Données projet'!$B$114,BY12+BX13-CG12)))</f>
        <v>34.816545014940573</v>
      </c>
      <c r="BZ13" s="14">
        <f>BY13*VLOOKUP('Données projet'!$B$12,Paramètres!$A$1:$I$89,3,0)*VLOOKUP('Données projet'!$B$12,Paramètres!$A$1:$I$89,5,0)</f>
        <v>20.820293918934464</v>
      </c>
      <c r="CA13" s="14">
        <f t="shared" si="39"/>
        <v>6.7385592439734481</v>
      </c>
      <c r="CB13" s="22">
        <f t="shared" si="10"/>
        <v>47.998335925397946</v>
      </c>
      <c r="CC13" s="62">
        <f t="shared" si="11"/>
        <v>341.33166925873127</v>
      </c>
      <c r="CD13" s="62">
        <f ca="1">AVERAGE(OFFSET($CC$3,0,0,'Données projet'!$E$12+1,1))-AVERAGE(OFFSET($H$3,0,0,'Données projet'!$E$12+1,1))</f>
        <v>152.56843845628913</v>
      </c>
      <c r="CE13" s="62">
        <f t="shared" si="40"/>
        <v>311.82523951987685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6.29772</v>
      </c>
      <c r="D14" s="12">
        <f t="shared" si="32"/>
        <v>2.3426665202193502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66.697720506956387</v>
      </c>
      <c r="H14" s="70">
        <f t="shared" si="1"/>
        <v>308.38200652271536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7.9</v>
      </c>
      <c r="N14" s="14">
        <f>IF('Données projet'!$A$36&gt;35,N13+M14-V13,IF(A14&lt;'Données projet'!$A$36,$K$205^A14,IF(A14='Données projet'!$A$36,'Données projet'!$B$36,N13+M14-V13)))</f>
        <v>16.190542381779895</v>
      </c>
      <c r="O14" s="14">
        <f>N14*VLOOKUP('Données projet'!$B$9,Paramètres!$A$1:$I$89,3,0)*VLOOKUP('Données projet'!$B$9,Paramètres!$A$1:$I$89,5,0)</f>
        <v>7.5771738346729904</v>
      </c>
      <c r="P14" s="14">
        <f t="shared" si="33"/>
        <v>2.7585742106736397</v>
      </c>
      <c r="Q14" s="22">
        <f t="shared" si="2"/>
        <v>18.001427845645381</v>
      </c>
      <c r="R14" s="62">
        <f t="shared" si="0"/>
        <v>311.33476117897868</v>
      </c>
      <c r="S14" s="62">
        <f ca="1">AVERAGE(OFFSET($R$3,0,0,'Données projet'!$E$9+1,1))-AVERAGE(OFFSET($H$3,0,0,'Données projet'!$E$9+1,1))</f>
        <v>300.81172286376216</v>
      </c>
      <c r="T14" s="62">
        <f t="shared" si="34"/>
        <v>217.90654346456347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5.5909090909090908</v>
      </c>
      <c r="AI14" s="14">
        <f>IF('Données projet'!$A$62&gt;35,AI13+AH14-AQ13,IF(A14&lt;'Données projet'!$A$62,$AF$205^A14,IF(A14='Données projet'!$A$62,'Données projet'!$B$62,AI13+AH14-AQ13)))</f>
        <v>11.090536506409412</v>
      </c>
      <c r="AJ14" s="14">
        <f>AI14*VLOOKUP('Données projet'!$B$10,Paramètres!$A$1:$I$89,3,0)*VLOOKUP('Données projet'!$B$10,Paramètres!$A$1:$I$89,5,0)</f>
        <v>6.6321408308328289</v>
      </c>
      <c r="AK14" s="14">
        <f t="shared" si="35"/>
        <v>2.4522531963221348</v>
      </c>
      <c r="AL14" s="22">
        <f t="shared" si="4"/>
        <v>15.821986263961561</v>
      </c>
      <c r="AM14" s="62">
        <f t="shared" si="5"/>
        <v>309.15531959729486</v>
      </c>
      <c r="AN14" s="62">
        <f ca="1">AVERAGE(OFFSET($AM$3,0,0,'Données projet'!$E$10+1,1))-AVERAGE(OFFSET($H$3,0,0,'Données projet'!$E$10+1,1))</f>
        <v>279.33945837918748</v>
      </c>
      <c r="AO14" s="62">
        <f t="shared" si="36"/>
        <v>215.78305328671854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8.526315789473685</v>
      </c>
      <c r="BD14" s="13">
        <f>IF('Données projet'!$A$88&gt;35,BD13+BC14-BL13,IF(A14&lt;'Données projet'!$A$88,$BA$205^A14,IF(A14='Données projet'!$A$88,'Données projet'!$B$88,BD13+BC14-BL13)))</f>
        <v>19.01922880701866</v>
      </c>
      <c r="BE14" s="14">
        <f>BD14*VLOOKUP('Données projet'!$B$11,Paramètres!$A$1:$I$89,3,0)*VLOOKUP('Données projet'!$B$11,Paramètres!$A$1:$I$89,5,0)</f>
        <v>10.631748903123432</v>
      </c>
      <c r="BF14" s="14">
        <f t="shared" si="37"/>
        <v>3.7210027205323613</v>
      </c>
      <c r="BG14" s="22">
        <f t="shared" si="7"/>
        <v>24.997709077867171</v>
      </c>
      <c r="BH14" s="62">
        <f t="shared" si="8"/>
        <v>318.33104241120049</v>
      </c>
      <c r="BI14" s="62">
        <f ca="1">AVERAGE(OFFSET($BH$3,0,0,'Données projet'!$E$11+1,1))-AVERAGE(OFFSET($H$3,0,0,'Données projet'!$E$11+1,1))</f>
        <v>376.38993452481719</v>
      </c>
      <c r="BJ14" s="62">
        <f t="shared" si="38"/>
        <v>470.10036612616727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7.7692307692307692</v>
      </c>
      <c r="BY14" s="13">
        <f>IF('Données projet'!$A$114&gt;35,BY13+BX14-CG13,IF(A14&lt;'Données projet'!$A$114,$BV$205^A14,IF(A14='Données projet'!$A$114,'Données projet'!$B$114,BY13+BX14-CG13)))</f>
        <v>49.65514327640404</v>
      </c>
      <c r="BZ14" s="14">
        <f>BY14*VLOOKUP('Données projet'!$B$12,Paramètres!$A$1:$I$89,3,0)*VLOOKUP('Données projet'!$B$12,Paramètres!$A$1:$I$89,5,0)</f>
        <v>29.693775679289619</v>
      </c>
      <c r="CA14" s="14">
        <f t="shared" si="39"/>
        <v>9.2214503640117265</v>
      </c>
      <c r="CB14" s="22">
        <f t="shared" si="10"/>
        <v>67.777352025416505</v>
      </c>
      <c r="CC14" s="62">
        <f t="shared" si="11"/>
        <v>361.11068535874983</v>
      </c>
      <c r="CD14" s="62">
        <f ca="1">AVERAGE(OFFSET($CC$3,0,0,'Données projet'!$E$12+1,1))-AVERAGE(OFFSET($H$3,0,0,'Données projet'!$E$12+1,1))</f>
        <v>152.56843845628913</v>
      </c>
      <c r="CE14" s="62">
        <f t="shared" si="40"/>
        <v>311.82523951987685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6.8702399999999999</v>
      </c>
      <c r="D15" s="12">
        <f t="shared" si="32"/>
        <v>2.5298830385576641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72.562353280094257</v>
      </c>
      <c r="H15" s="70">
        <f t="shared" si="1"/>
        <v>309.70521429215455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7.9</v>
      </c>
      <c r="N15" s="14">
        <f>IF('Données projet'!$A$36&gt;35,N14+M15-V14,IF(A15&lt;'Données projet'!$A$36,$K$205^A15,IF(A15='Données projet'!$A$36,'Données projet'!$B$36,N14+M15-V14)))</f>
        <v>20.854234472198982</v>
      </c>
      <c r="O15" s="14">
        <f>N15*VLOOKUP('Données projet'!$B$9,Paramètres!$A$1:$I$89,3,0)*VLOOKUP('Données projet'!$B$9,Paramètres!$A$1:$I$89,5,0)</f>
        <v>9.7597817329891239</v>
      </c>
      <c r="P15" s="14">
        <f t="shared" si="33"/>
        <v>3.4500178483814818</v>
      </c>
      <c r="Q15" s="22">
        <f t="shared" si="2"/>
        <v>23.00706760422047</v>
      </c>
      <c r="R15" s="62">
        <f t="shared" si="0"/>
        <v>316.3404009375538</v>
      </c>
      <c r="S15" s="62">
        <f ca="1">AVERAGE(OFFSET($R$3,0,0,'Données projet'!$E$9+1,1))-AVERAGE(OFFSET($H$3,0,0,'Données projet'!$E$9+1,1))</f>
        <v>300.81172286376216</v>
      </c>
      <c r="T15" s="62">
        <f t="shared" si="34"/>
        <v>217.90654346456347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5.5909090909090908</v>
      </c>
      <c r="AI15" s="14">
        <f>IF('Données projet'!$A$62&gt;35,AI14+AH15-AQ14,IF(A15&lt;'Données projet'!$A$62,$AF$205^A15,IF(A15='Données projet'!$A$62,'Données projet'!$B$62,AI14+AH15-AQ14)))</f>
        <v>13.802197659922571</v>
      </c>
      <c r="AJ15" s="14">
        <f>AI15*VLOOKUP('Données projet'!$B$10,Paramètres!$A$1:$I$89,3,0)*VLOOKUP('Données projet'!$B$10,Paramètres!$A$1:$I$89,5,0)</f>
        <v>8.2537142006336985</v>
      </c>
      <c r="AK15" s="14">
        <f t="shared" si="35"/>
        <v>2.9751132230743558</v>
      </c>
      <c r="AL15" s="22">
        <f t="shared" si="4"/>
        <v>19.556874429624859</v>
      </c>
      <c r="AM15" s="62">
        <f t="shared" si="5"/>
        <v>312.8902077629582</v>
      </c>
      <c r="AN15" s="62">
        <f ca="1">AVERAGE(OFFSET($AM$3,0,0,'Données projet'!$E$10+1,1))-AVERAGE(OFFSET($H$3,0,0,'Données projet'!$E$10+1,1))</f>
        <v>279.33945837918748</v>
      </c>
      <c r="AO15" s="62">
        <f t="shared" si="36"/>
        <v>215.78305328671854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8.526315789473685</v>
      </c>
      <c r="BD15" s="13">
        <f>IF('Données projet'!$A$88&gt;35,BD14+BC15-BL14,IF(A15&lt;'Données projet'!$A$88,$BA$205^A15,IF(A15='Données projet'!$A$88,'Données projet'!$B$88,BD14+BC15-BL14)))</f>
        <v>24.85897210895007</v>
      </c>
      <c r="BE15" s="14">
        <f>BD15*VLOOKUP('Données projet'!$B$11,Paramètres!$A$1:$I$89,3,0)*VLOOKUP('Données projet'!$B$11,Paramètres!$A$1:$I$89,5,0)</f>
        <v>13.896165408903089</v>
      </c>
      <c r="BF15" s="14">
        <f t="shared" si="37"/>
        <v>4.7142657940830492</v>
      </c>
      <c r="BG15" s="22">
        <f t="shared" si="7"/>
        <v>32.413167678534187</v>
      </c>
      <c r="BH15" s="62">
        <f t="shared" si="8"/>
        <v>325.74650101186751</v>
      </c>
      <c r="BI15" s="62">
        <f ca="1">AVERAGE(OFFSET($BH$3,0,0,'Données projet'!$E$11+1,1))-AVERAGE(OFFSET($H$3,0,0,'Données projet'!$E$11+1,1))</f>
        <v>376.38993452481719</v>
      </c>
      <c r="BJ15" s="62">
        <f t="shared" si="38"/>
        <v>470.10036612616727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7.7692307692307692</v>
      </c>
      <c r="BY15" s="13">
        <f>IF('Données projet'!$A$114&gt;35,BY14+BX15-CG14,IF(A15&lt;'Données projet'!$A$114,$BV$205^A15,IF(A15='Données projet'!$A$114,'Données projet'!$B$114,BY14+BX15-CG14)))</f>
        <v>70.81786124218111</v>
      </c>
      <c r="BZ15" s="14">
        <f>BY15*VLOOKUP('Données projet'!$B$12,Paramètres!$A$1:$I$89,3,0)*VLOOKUP('Données projet'!$B$12,Paramètres!$A$1:$I$89,5,0)</f>
        <v>42.349081022824308</v>
      </c>
      <c r="CA15" s="14">
        <f t="shared" si="39"/>
        <v>12.61918812867636</v>
      </c>
      <c r="CB15" s="22">
        <f t="shared" si="10"/>
        <v>95.736402105530317</v>
      </c>
      <c r="CC15" s="62">
        <f t="shared" si="11"/>
        <v>389.06973543886363</v>
      </c>
      <c r="CD15" s="62">
        <f ca="1">AVERAGE(OFFSET($CC$3,0,0,'Données projet'!$E$12+1,1))-AVERAGE(OFFSET($H$3,0,0,'Données projet'!$E$12+1,1))</f>
        <v>152.56843845628913</v>
      </c>
      <c r="CE15" s="62">
        <f t="shared" si="40"/>
        <v>311.82523951987685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7.4427599999999998</v>
      </c>
      <c r="D16" s="12">
        <f t="shared" si="32"/>
        <v>2.715290126733509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78.413018522153408</v>
      </c>
      <c r="H16" s="70">
        <f t="shared" si="1"/>
        <v>311.02527063739416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7.9</v>
      </c>
      <c r="N16" s="14">
        <f>IF('Données projet'!$A$36&gt;35,N15+M16-V15,IF(A16&lt;'Données projet'!$A$36,$K$205^A16,IF(A16='Données projet'!$A$36,'Données projet'!$B$36,N15+M16-V15)))</f>
        <v>26.861304900499697</v>
      </c>
      <c r="O16" s="14">
        <f>N16*VLOOKUP('Données projet'!$B$9,Paramètres!$A$1:$I$89,3,0)*VLOOKUP('Données projet'!$B$9,Paramètres!$A$1:$I$89,5,0)</f>
        <v>12.571090693433858</v>
      </c>
      <c r="P16" s="14">
        <f t="shared" si="33"/>
        <v>4.3147735914069099</v>
      </c>
      <c r="Q16" s="22">
        <f t="shared" si="2"/>
        <v>29.409546962764335</v>
      </c>
      <c r="R16" s="62">
        <f t="shared" si="0"/>
        <v>322.74288029609767</v>
      </c>
      <c r="S16" s="62">
        <f ca="1">AVERAGE(OFFSET($R$3,0,0,'Données projet'!$E$9+1,1))-AVERAGE(OFFSET($H$3,0,0,'Données projet'!$E$9+1,1))</f>
        <v>300.81172286376216</v>
      </c>
      <c r="T16" s="62">
        <f t="shared" si="34"/>
        <v>217.90654346456347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5.5909090909090908</v>
      </c>
      <c r="AI16" s="14">
        <f>IF('Données projet'!$A$62&gt;35,AI15+AH16-AQ15,IF(A16&lt;'Données projet'!$A$62,$AF$205^A16,IF(A16='Données projet'!$A$62,'Données projet'!$B$62,AI15+AH16-AQ15)))</f>
        <v>17.17686607257264</v>
      </c>
      <c r="AJ16" s="14">
        <f>AI16*VLOOKUP('Données projet'!$B$10,Paramètres!$A$1:$I$89,3,0)*VLOOKUP('Données projet'!$B$10,Paramètres!$A$1:$I$89,5,0)</f>
        <v>10.27176591139844</v>
      </c>
      <c r="AK16" s="14">
        <f t="shared" si="35"/>
        <v>3.609455460548272</v>
      </c>
      <c r="AL16" s="22">
        <f t="shared" si="4"/>
        <v>24.176460556140523</v>
      </c>
      <c r="AM16" s="62">
        <f t="shared" si="5"/>
        <v>317.50979388947383</v>
      </c>
      <c r="AN16" s="62">
        <f ca="1">AVERAGE(OFFSET($AM$3,0,0,'Données projet'!$E$10+1,1))-AVERAGE(OFFSET($H$3,0,0,'Données projet'!$E$10+1,1))</f>
        <v>279.33945837918748</v>
      </c>
      <c r="AO16" s="62">
        <f t="shared" si="36"/>
        <v>215.78305328671854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8.526315789473685</v>
      </c>
      <c r="BD16" s="13">
        <f>IF('Données projet'!$A$88&gt;35,BD15+BC16-BL15,IF(A16&lt;'Données projet'!$A$88,$BA$205^A16,IF(A16='Données projet'!$A$88,'Données projet'!$B$88,BD15+BC16-BL15)))</f>
        <v>32.491774539539094</v>
      </c>
      <c r="BE16" s="14">
        <f>BD16*VLOOKUP('Données projet'!$B$11,Paramètres!$A$1:$I$89,3,0)*VLOOKUP('Données projet'!$B$11,Paramètres!$A$1:$I$89,5,0)</f>
        <v>18.162901967602355</v>
      </c>
      <c r="BF16" s="14">
        <f t="shared" si="37"/>
        <v>5.9726648020514927</v>
      </c>
      <c r="BG16" s="22">
        <f t="shared" si="7"/>
        <v>42.036112123813787</v>
      </c>
      <c r="BH16" s="62">
        <f t="shared" si="8"/>
        <v>335.36944545714709</v>
      </c>
      <c r="BI16" s="62">
        <f ca="1">AVERAGE(OFFSET($BH$3,0,0,'Données projet'!$E$11+1,1))-AVERAGE(OFFSET($H$3,0,0,'Données projet'!$E$11+1,1))</f>
        <v>376.38993452481719</v>
      </c>
      <c r="BJ16" s="62">
        <f t="shared" si="38"/>
        <v>470.10036612616727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>
        <f>VLOOKUP(A16,'Données projet'!$A$113:$I$133,2,0)</f>
        <v>101</v>
      </c>
      <c r="BW16" s="13">
        <f>VLOOKUP(A16,'Données projet'!$A$113:$I$133,9,0)</f>
        <v>7.7692307692307692</v>
      </c>
      <c r="BX16" s="13">
        <f t="array" ref="BX16">INDEX(BW:BW,MIN(IF(ISNUMBER(BW16:BW212),ROW(BW16:BW212),"")))</f>
        <v>7.7692307692307692</v>
      </c>
      <c r="BY16" s="13">
        <f>IF('Données projet'!$A$114&gt;35,BY15+BX16-CG15,IF(A16&lt;'Données projet'!$A$114,$BV$205^A16,IF(A16='Données projet'!$A$114,'Données projet'!$B$114,BY15+BX16-CG15)))</f>
        <v>101</v>
      </c>
      <c r="BZ16" s="14">
        <f>BY16*VLOOKUP('Données projet'!$B$12,Paramètres!$A$1:$I$89,3,0)*VLOOKUP('Données projet'!$B$12,Paramètres!$A$1:$I$89,5,0)</f>
        <v>60.398000000000003</v>
      </c>
      <c r="CA16" s="14">
        <f t="shared" si="39"/>
        <v>17.26885714728807</v>
      </c>
      <c r="CB16" s="22">
        <f t="shared" si="10"/>
        <v>135.26977619819337</v>
      </c>
      <c r="CC16" s="62">
        <f t="shared" si="11"/>
        <v>428.60310953152668</v>
      </c>
      <c r="CD16" s="62">
        <f ca="1">AVERAGE(OFFSET($CC$3,0,0,'Données projet'!$E$12+1,1))-AVERAGE(OFFSET($H$3,0,0,'Données projet'!$E$12+1,1))</f>
        <v>152.56843845628913</v>
      </c>
      <c r="CE16" s="62">
        <f t="shared" si="40"/>
        <v>311.82523951987685</v>
      </c>
      <c r="CF16" s="16">
        <f>IF(ISNA(VLOOKUP(A16,'Données projet'!$A$113:$I$133,3,0)),0,VLOOKUP(A16,'Données projet'!$A$113:$I$133,3,0))</f>
        <v>1</v>
      </c>
      <c r="CG16" s="16">
        <f>IF(ISNA(VLOOKUP(A16,'Données projet'!$A$113:$I$133,4,0)),0,VLOOKUP(A16,'Données projet'!$A$113:$I$133,4,0))</f>
        <v>28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1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18.958097589783147</v>
      </c>
      <c r="CN16" s="24">
        <f t="shared" si="12"/>
        <v>18.958097589783147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8.0152800000000006</v>
      </c>
      <c r="D17" s="12">
        <f t="shared" si="32"/>
        <v>2.8990427971151549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84.250912819836287</v>
      </c>
      <c r="H17" s="70">
        <f t="shared" si="1"/>
        <v>312.34244553830888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7.9</v>
      </c>
      <c r="N17" s="14">
        <f>IF('Données projet'!$A$36&gt;35,N16+M17-V16,IF(A17&lt;'Données projet'!$A$36,$K$205^A17,IF(A17='Données projet'!$A$36,'Données projet'!$B$36,N16+M17-V16)))</f>
        <v>34.598714324397214</v>
      </c>
      <c r="O17" s="14">
        <f>N17*VLOOKUP('Données projet'!$B$9,Paramètres!$A$1:$I$89,3,0)*VLOOKUP('Données projet'!$B$9,Paramètres!$A$1:$I$89,5,0)</f>
        <v>16.192198303817896</v>
      </c>
      <c r="P17" s="14">
        <f t="shared" si="33"/>
        <v>5.3962825594761723</v>
      </c>
      <c r="Q17" s="22">
        <f t="shared" si="2"/>
        <v>37.599937503570509</v>
      </c>
      <c r="R17" s="62">
        <f t="shared" si="0"/>
        <v>330.93327083690383</v>
      </c>
      <c r="S17" s="62">
        <f ca="1">AVERAGE(OFFSET($R$3,0,0,'Données projet'!$E$9+1,1))-AVERAGE(OFFSET($H$3,0,0,'Données projet'!$E$9+1,1))</f>
        <v>300.81172286376216</v>
      </c>
      <c r="T17" s="62">
        <f t="shared" si="34"/>
        <v>217.90654346456347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5.5909090909090908</v>
      </c>
      <c r="AI17" s="14">
        <f>IF('Données projet'!$A$62&gt;35,AI16+AH17-AQ16,IF(A17&lt;'Données projet'!$A$62,$AF$205^A17,IF(A17='Données projet'!$A$62,'Données projet'!$B$62,AI16+AH17-AQ16)))</f>
        <v>21.376648512419013</v>
      </c>
      <c r="AJ17" s="14">
        <f>AI17*VLOOKUP('Données projet'!$B$10,Paramètres!$A$1:$I$89,3,0)*VLOOKUP('Données projet'!$B$10,Paramètres!$A$1:$I$89,5,0)</f>
        <v>12.783235810426572</v>
      </c>
      <c r="AK17" s="14">
        <f t="shared" si="35"/>
        <v>4.3790497183898731</v>
      </c>
      <c r="AL17" s="22">
        <f t="shared" si="4"/>
        <v>29.890980629355308</v>
      </c>
      <c r="AM17" s="62">
        <f t="shared" si="5"/>
        <v>323.2243139626886</v>
      </c>
      <c r="AN17" s="62">
        <f ca="1">AVERAGE(OFFSET($AM$3,0,0,'Données projet'!$E$10+1,1))-AVERAGE(OFFSET($H$3,0,0,'Données projet'!$E$10+1,1))</f>
        <v>279.33945837918748</v>
      </c>
      <c r="AO17" s="62">
        <f t="shared" si="36"/>
        <v>215.78305328671854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8.526315789473685</v>
      </c>
      <c r="BD17" s="13">
        <f>IF('Données projet'!$A$88&gt;35,BD16+BC17-BL16,IF(A17&lt;'Données projet'!$A$88,$BA$205^A17,IF(A17='Données projet'!$A$88,'Données projet'!$B$88,BD16+BC17-BL16)))</f>
        <v>42.468184448710481</v>
      </c>
      <c r="BE17" s="14">
        <f>BD17*VLOOKUP('Données projet'!$B$11,Paramètres!$A$1:$I$89,3,0)*VLOOKUP('Données projet'!$B$11,Paramètres!$A$1:$I$89,5,0)</f>
        <v>23.739715106829159</v>
      </c>
      <c r="BF17" s="14">
        <f t="shared" si="37"/>
        <v>7.5669736064602473</v>
      </c>
      <c r="BG17" s="22">
        <f t="shared" si="7"/>
        <v>54.525816175645708</v>
      </c>
      <c r="BH17" s="62">
        <f t="shared" si="8"/>
        <v>347.85914950897904</v>
      </c>
      <c r="BI17" s="62">
        <f ca="1">AVERAGE(OFFSET($BH$3,0,0,'Données projet'!$E$11+1,1))-AVERAGE(OFFSET($H$3,0,0,'Données projet'!$E$11+1,1))</f>
        <v>376.38993452481719</v>
      </c>
      <c r="BJ17" s="62">
        <f t="shared" si="38"/>
        <v>470.10036612616727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18.600000000000001</v>
      </c>
      <c r="BY17" s="13">
        <f>IF('Données projet'!$A$114&gt;35,BY16+BX17-CG16,IF(A17&lt;'Données projet'!$A$114,$BV$205^A17,IF(A17='Données projet'!$A$114,'Données projet'!$B$114,BY16+BX17-CG16)))</f>
        <v>91.6</v>
      </c>
      <c r="BZ17" s="14">
        <f>BY17*VLOOKUP('Données projet'!$B$12,Paramètres!$A$1:$I$89,3,0)*VLOOKUP('Données projet'!$B$12,Paramètres!$A$1:$I$89,5,0)</f>
        <v>54.776799999999994</v>
      </c>
      <c r="CA17" s="14">
        <f t="shared" si="39"/>
        <v>15.840762095818524</v>
      </c>
      <c r="CB17" s="22">
        <f t="shared" si="10"/>
        <v>122.99225398355058</v>
      </c>
      <c r="CC17" s="62">
        <f t="shared" si="11"/>
        <v>416.32558731688391</v>
      </c>
      <c r="CD17" s="62">
        <f ca="1">AVERAGE(OFFSET($CC$3,0,0,'Données projet'!$E$12+1,1))-AVERAGE(OFFSET($H$3,0,0,'Données projet'!$E$12+1,1))</f>
        <v>152.56843845628913</v>
      </c>
      <c r="CE17" s="62">
        <f t="shared" si="40"/>
        <v>311.82523951987685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13.405399364132007</v>
      </c>
      <c r="CN17" s="24">
        <f t="shared" si="12"/>
        <v>13.405399364132007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8.5878000000000014</v>
      </c>
      <c r="D18" s="12">
        <f t="shared" si="32"/>
        <v>3.0812726626279932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90.077052132566976</v>
      </c>
      <c r="H18" s="70">
        <f t="shared" si="1"/>
        <v>313.65696822074375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7.9</v>
      </c>
      <c r="N18" s="14">
        <f>IF('Données projet'!$A$36&gt;35,N17+M18-V17,IF(A18&lt;'Données projet'!$A$36,$K$205^A18,IF(A18='Données projet'!$A$36,'Données projet'!$B$36,N17+M18-V17)))</f>
        <v>44.564887571004775</v>
      </c>
      <c r="O18" s="14">
        <f>N18*VLOOKUP('Données projet'!$B$9,Paramètres!$A$1:$I$89,3,0)*VLOOKUP('Données projet'!$B$9,Paramètres!$A$1:$I$89,5,0)</f>
        <v>20.856367383230236</v>
      </c>
      <c r="P18" s="14">
        <f t="shared" si="33"/>
        <v>6.7488744993944465</v>
      </c>
      <c r="Q18" s="22">
        <f t="shared" si="2"/>
        <v>48.079129612237985</v>
      </c>
      <c r="R18" s="62">
        <f t="shared" si="0"/>
        <v>341.41246294557129</v>
      </c>
      <c r="S18" s="62">
        <f ca="1">AVERAGE(OFFSET($R$3,0,0,'Données projet'!$E$9+1,1))-AVERAGE(OFFSET($H$3,0,0,'Données projet'!$E$9+1,1))</f>
        <v>300.81172286376216</v>
      </c>
      <c r="T18" s="62">
        <f t="shared" si="34"/>
        <v>217.90654346456347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5.5909090909090908</v>
      </c>
      <c r="AI18" s="14">
        <f>IF('Données projet'!$A$62&gt;35,AI17+AH18-AQ17,IF(A18&lt;'Données projet'!$A$62,$AF$205^A18,IF(A18='Données projet'!$A$62,'Données projet'!$B$62,AI17+AH18-AQ17)))</f>
        <v>26.603287217402478</v>
      </c>
      <c r="AJ18" s="14">
        <f>AI18*VLOOKUP('Données projet'!$B$10,Paramètres!$A$1:$I$89,3,0)*VLOOKUP('Données projet'!$B$10,Paramètres!$A$1:$I$89,5,0)</f>
        <v>15.908765756006684</v>
      </c>
      <c r="AK18" s="14">
        <f t="shared" si="35"/>
        <v>5.312733913945455</v>
      </c>
      <c r="AL18" s="22">
        <f t="shared" si="4"/>
        <v>36.960778591833304</v>
      </c>
      <c r="AM18" s="62">
        <f t="shared" si="5"/>
        <v>330.29411192516659</v>
      </c>
      <c r="AN18" s="62">
        <f ca="1">AVERAGE(OFFSET($AM$3,0,0,'Données projet'!$E$10+1,1))-AVERAGE(OFFSET($H$3,0,0,'Données projet'!$E$10+1,1))</f>
        <v>279.33945837918748</v>
      </c>
      <c r="AO18" s="62">
        <f t="shared" si="36"/>
        <v>215.78305328671854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8.526315789473685</v>
      </c>
      <c r="BD18" s="13">
        <f>IF('Données projet'!$A$88&gt;35,BD17+BC18-BL17,IF(A18&lt;'Données projet'!$A$88,$BA$205^A18,IF(A18='Données projet'!$A$88,'Données projet'!$B$88,BD17+BC18-BL17)))</f>
        <v>55.507792846923991</v>
      </c>
      <c r="BE18" s="14">
        <f>BD18*VLOOKUP('Données projet'!$B$11,Paramètres!$A$1:$I$89,3,0)*VLOOKUP('Données projet'!$B$11,Paramètres!$A$1:$I$89,5,0)</f>
        <v>31.028856201430514</v>
      </c>
      <c r="BF18" s="14">
        <f t="shared" si="37"/>
        <v>9.5868580371693835</v>
      </c>
      <c r="BG18" s="22">
        <f t="shared" si="7"/>
        <v>70.739035632228152</v>
      </c>
      <c r="BH18" s="62">
        <f t="shared" si="8"/>
        <v>364.07236896556145</v>
      </c>
      <c r="BI18" s="62">
        <f ca="1">AVERAGE(OFFSET($BH$3,0,0,'Données projet'!$E$11+1,1))-AVERAGE(OFFSET($H$3,0,0,'Données projet'!$E$11+1,1))</f>
        <v>376.38993452481719</v>
      </c>
      <c r="BJ18" s="62">
        <f t="shared" si="38"/>
        <v>470.10036612616727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18.600000000000001</v>
      </c>
      <c r="BY18" s="13">
        <f>IF('Données projet'!$A$114&gt;35,BY17+BX18-CG17,IF(A18&lt;'Données projet'!$A$114,$BV$205^A18,IF(A18='Données projet'!$A$114,'Données projet'!$B$114,BY17+BX18-CG17)))</f>
        <v>110.19999999999999</v>
      </c>
      <c r="BZ18" s="14">
        <f>BY18*VLOOKUP('Données projet'!$B$12,Paramètres!$A$1:$I$89,3,0)*VLOOKUP('Données projet'!$B$12,Paramètres!$A$1:$I$89,5,0)</f>
        <v>65.899600000000007</v>
      </c>
      <c r="CA18" s="14">
        <f t="shared" si="39"/>
        <v>18.651634138580526</v>
      </c>
      <c r="CB18" s="22">
        <f t="shared" si="10"/>
        <v>147.26006612469442</v>
      </c>
      <c r="CC18" s="62">
        <f t="shared" si="11"/>
        <v>440.59339945802776</v>
      </c>
      <c r="CD18" s="62">
        <f ca="1">AVERAGE(OFFSET($CC$3,0,0,'Données projet'!$E$12+1,1))-AVERAGE(OFFSET($H$3,0,0,'Données projet'!$E$12+1,1))</f>
        <v>152.56843845628913</v>
      </c>
      <c r="CE18" s="62">
        <f t="shared" si="40"/>
        <v>311.82523951987685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9.4790487948915754</v>
      </c>
      <c r="CN18" s="24">
        <f t="shared" si="12"/>
        <v>9.4790487948915754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9.1603200000000022</v>
      </c>
      <c r="D19" s="12">
        <f t="shared" si="32"/>
        <v>3.2620927950139214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95.892309294844324</v>
      </c>
      <c r="H19" s="70">
        <f t="shared" si="1"/>
        <v>314.96903561798257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7.9</v>
      </c>
      <c r="N19" s="14">
        <f>IF('Données projet'!$A$36&gt;35,N18+M19-V18,IF(A19&lt;'Données projet'!$A$36,$K$205^A19,IF(A19='Données projet'!$A$36,'Données projet'!$B$36,N18+M19-V18)))</f>
        <v>57.401820934596167</v>
      </c>
      <c r="O19" s="14">
        <f>N19*VLOOKUP('Données projet'!$B$9,Paramètres!$A$1:$I$89,3,0)*VLOOKUP('Données projet'!$B$9,Paramètres!$A$1:$I$89,5,0)</f>
        <v>26.864052197391008</v>
      </c>
      <c r="P19" s="14">
        <f t="shared" si="33"/>
        <v>8.4404970471001413</v>
      </c>
      <c r="Q19" s="22">
        <f t="shared" si="2"/>
        <v>61.488756600822086</v>
      </c>
      <c r="R19" s="62">
        <f t="shared" si="0"/>
        <v>354.82208993415543</v>
      </c>
      <c r="S19" s="62">
        <f ca="1">AVERAGE(OFFSET($R$3,0,0,'Données projet'!$E$9+1,1))-AVERAGE(OFFSET($H$3,0,0,'Données projet'!$E$9+1,1))</f>
        <v>300.81172286376216</v>
      </c>
      <c r="T19" s="62">
        <f t="shared" si="34"/>
        <v>217.90654346456347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5.5909090909090908</v>
      </c>
      <c r="AI19" s="14">
        <f>IF('Données projet'!$A$62&gt;35,AI18+AH19-AQ18,IF(A19&lt;'Données projet'!$A$62,$AF$205^A19,IF(A19='Données projet'!$A$62,'Données projet'!$B$62,AI18+AH19-AQ18)))</f>
        <v>33.107850856996748</v>
      </c>
      <c r="AJ19" s="14">
        <f>AI19*VLOOKUP('Données projet'!$B$10,Paramètres!$A$1:$I$89,3,0)*VLOOKUP('Données projet'!$B$10,Paramètres!$A$1:$I$89,5,0)</f>
        <v>19.798494812484059</v>
      </c>
      <c r="AK19" s="14">
        <f t="shared" si="35"/>
        <v>6.4454946747588586</v>
      </c>
      <c r="AL19" s="22">
        <f t="shared" si="4"/>
        <v>45.70828169028141</v>
      </c>
      <c r="AM19" s="62">
        <f t="shared" si="5"/>
        <v>339.04161502361472</v>
      </c>
      <c r="AN19" s="62">
        <f ca="1">AVERAGE(OFFSET($AM$3,0,0,'Données projet'!$E$10+1,1))-AVERAGE(OFFSET($H$3,0,0,'Données projet'!$E$10+1,1))</f>
        <v>279.33945837918748</v>
      </c>
      <c r="AO19" s="62">
        <f t="shared" si="36"/>
        <v>215.78305328671854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8.526315789473685</v>
      </c>
      <c r="BD19" s="13">
        <f>IF('Données projet'!$A$88&gt;35,BD18+BC19-BL18,IF(A19&lt;'Données projet'!$A$88,$BA$205^A19,IF(A19='Données projet'!$A$88,'Données projet'!$B$88,BD18+BC19-BL18)))</f>
        <v>72.551136968384853</v>
      </c>
      <c r="BE19" s="14">
        <f>BD19*VLOOKUP('Données projet'!$B$11,Paramètres!$A$1:$I$89,3,0)*VLOOKUP('Données projet'!$B$11,Paramètres!$A$1:$I$89,5,0)</f>
        <v>40.55608556532713</v>
      </c>
      <c r="BF19" s="14">
        <f t="shared" si="37"/>
        <v>12.145918805157919</v>
      </c>
      <c r="BG19" s="22">
        <f t="shared" si="7"/>
        <v>91.78932427859479</v>
      </c>
      <c r="BH19" s="62">
        <f t="shared" si="8"/>
        <v>385.1226576119281</v>
      </c>
      <c r="BI19" s="62">
        <f ca="1">AVERAGE(OFFSET($BH$3,0,0,'Données projet'!$E$11+1,1))-AVERAGE(OFFSET($H$3,0,0,'Données projet'!$E$11+1,1))</f>
        <v>376.38993452481719</v>
      </c>
      <c r="BJ19" s="62">
        <f t="shared" si="38"/>
        <v>470.10036612616727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18.600000000000001</v>
      </c>
      <c r="BY19" s="13">
        <f>IF('Données projet'!$A$114&gt;35,BY18+BX19-CG18,IF(A19&lt;'Données projet'!$A$114,$BV$205^A19,IF(A19='Données projet'!$A$114,'Données projet'!$B$114,BY18+BX19-CG18)))</f>
        <v>128.79999999999998</v>
      </c>
      <c r="BZ19" s="14">
        <f>BY19*VLOOKUP('Données projet'!$B$12,Paramètres!$A$1:$I$89,3,0)*VLOOKUP('Données projet'!$B$12,Paramètres!$A$1:$I$89,5,0)</f>
        <v>77.022400000000005</v>
      </c>
      <c r="CA19" s="14">
        <f t="shared" si="39"/>
        <v>21.407546084466961</v>
      </c>
      <c r="CB19" s="22">
        <f t="shared" si="10"/>
        <v>171.43215609711328</v>
      </c>
      <c r="CC19" s="62">
        <f t="shared" si="11"/>
        <v>464.76548943044656</v>
      </c>
      <c r="CD19" s="62">
        <f ca="1">AVERAGE(OFFSET($CC$3,0,0,'Données projet'!$E$12+1,1))-AVERAGE(OFFSET($H$3,0,0,'Données projet'!$E$12+1,1))</f>
        <v>152.56843845628913</v>
      </c>
      <c r="CE19" s="62">
        <f t="shared" si="40"/>
        <v>311.82523951987685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6.7026996820660045</v>
      </c>
      <c r="CN19" s="24">
        <f t="shared" si="12"/>
        <v>6.7026996820660045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9.732840000000003</v>
      </c>
      <c r="D20" s="12">
        <f t="shared" si="32"/>
        <v>3.4416013331926729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101.69744187025925</v>
      </c>
      <c r="H20" s="70">
        <f t="shared" si="1"/>
        <v>316.27881865531054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7.9</v>
      </c>
      <c r="N20" s="14">
        <f>IF('Données projet'!$A$36&gt;35,N19+M20-V19,IF(A20&lt;'Données projet'!$A$36,$K$205^A20,IF(A20='Données projet'!$A$36,'Données projet'!$B$36,N19+M20-V19)))</f>
        <v>73.936437994095741</v>
      </c>
      <c r="O20" s="14">
        <f>N20*VLOOKUP('Données projet'!$B$9,Paramètres!$A$1:$I$89,3,0)*VLOOKUP('Données projet'!$B$9,Paramètres!$A$1:$I$89,5,0)</f>
        <v>34.602252981236802</v>
      </c>
      <c r="P20" s="14">
        <f t="shared" si="33"/>
        <v>10.556129086190376</v>
      </c>
      <c r="Q20" s="22">
        <f t="shared" si="2"/>
        <v>78.650848767435647</v>
      </c>
      <c r="R20" s="62">
        <f t="shared" si="0"/>
        <v>371.98418210076898</v>
      </c>
      <c r="S20" s="62">
        <f ca="1">AVERAGE(OFFSET($R$3,0,0,'Données projet'!$E$9+1,1))-AVERAGE(OFFSET($H$3,0,0,'Données projet'!$E$9+1,1))</f>
        <v>300.81172286376216</v>
      </c>
      <c r="T20" s="62">
        <f t="shared" si="34"/>
        <v>217.90654346456347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5.5909090909090908</v>
      </c>
      <c r="AI20" s="14">
        <f>IF('Données projet'!$A$62&gt;35,AI19+AH20-AQ19,IF(A20&lt;'Données projet'!$A$62,$AF$205^A20,IF(A20='Données projet'!$A$62,'Données projet'!$B$62,AI19+AH20-AQ19)))</f>
        <v>41.202794955809431</v>
      </c>
      <c r="AJ20" s="14">
        <f>AI20*VLOOKUP('Données projet'!$B$10,Paramètres!$A$1:$I$89,3,0)*VLOOKUP('Données projet'!$B$10,Paramètres!$A$1:$I$89,5,0)</f>
        <v>24.639271383574041</v>
      </c>
      <c r="AK20" s="14">
        <f t="shared" si="35"/>
        <v>7.8197783429910519</v>
      </c>
      <c r="AL20" s="22">
        <f t="shared" si="4"/>
        <v>56.532844940434195</v>
      </c>
      <c r="AM20" s="62">
        <f t="shared" si="5"/>
        <v>349.8661782737675</v>
      </c>
      <c r="AN20" s="62">
        <f ca="1">AVERAGE(OFFSET($AM$3,0,0,'Données projet'!$E$10+1,1))-AVERAGE(OFFSET($H$3,0,0,'Données projet'!$E$10+1,1))</f>
        <v>279.33945837918748</v>
      </c>
      <c r="AO20" s="62">
        <f t="shared" si="36"/>
        <v>215.78305328671854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8.526315789473685</v>
      </c>
      <c r="BD20" s="13">
        <f>IF('Données projet'!$A$88&gt;35,BD19+BC20-BL19,IF(A20&lt;'Données projet'!$A$88,$BA$205^A20,IF(A20='Données projet'!$A$88,'Données projet'!$B$88,BD19+BC20-BL19)))</f>
        <v>94.827540520682575</v>
      </c>
      <c r="BE20" s="14">
        <f>BD20*VLOOKUP('Données projet'!$B$11,Paramètres!$A$1:$I$89,3,0)*VLOOKUP('Données projet'!$B$11,Paramètres!$A$1:$I$89,5,0)</f>
        <v>53.008595151061563</v>
      </c>
      <c r="BF20" s="14">
        <f t="shared" si="37"/>
        <v>15.388080542084102</v>
      </c>
      <c r="BG20" s="22">
        <f t="shared" si="7"/>
        <v>119.12421016556203</v>
      </c>
      <c r="BH20" s="62">
        <f t="shared" si="8"/>
        <v>412.45754349889535</v>
      </c>
      <c r="BI20" s="62">
        <f ca="1">AVERAGE(OFFSET($BH$3,0,0,'Données projet'!$E$11+1,1))-AVERAGE(OFFSET($H$3,0,0,'Données projet'!$E$11+1,1))</f>
        <v>376.38993452481719</v>
      </c>
      <c r="BJ20" s="62">
        <f t="shared" si="38"/>
        <v>470.10036612616727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18.600000000000001</v>
      </c>
      <c r="BY20" s="13">
        <f>IF('Données projet'!$A$114&gt;35,BY19+BX20-CG19,IF(A20&lt;'Données projet'!$A$114,$BV$205^A20,IF(A20='Données projet'!$A$114,'Données projet'!$B$114,BY19+BX20-CG19)))</f>
        <v>147.39999999999998</v>
      </c>
      <c r="BZ20" s="14">
        <f>BY20*VLOOKUP('Données projet'!$B$12,Paramètres!$A$1:$I$89,3,0)*VLOOKUP('Données projet'!$B$12,Paramètres!$A$1:$I$89,5,0)</f>
        <v>88.145199999999988</v>
      </c>
      <c r="CA20" s="14">
        <f t="shared" si="39"/>
        <v>24.117351189004136</v>
      </c>
      <c r="CB20" s="22">
        <f t="shared" si="10"/>
        <v>195.52394332084884</v>
      </c>
      <c r="CC20" s="62">
        <f t="shared" si="11"/>
        <v>488.85727665418216</v>
      </c>
      <c r="CD20" s="62">
        <f ca="1">AVERAGE(OFFSET($CC$3,0,0,'Données projet'!$E$12+1,1))-AVERAGE(OFFSET($H$3,0,0,'Données projet'!$E$12+1,1))</f>
        <v>152.56843845628913</v>
      </c>
      <c r="CE20" s="62">
        <f t="shared" si="40"/>
        <v>311.82523951987685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4.7395243974457886</v>
      </c>
      <c r="CN20" s="24">
        <f t="shared" si="12"/>
        <v>4.7395243974457886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10.305360000000004</v>
      </c>
      <c r="D21" s="12">
        <f t="shared" si="32"/>
        <v>3.6198842181005841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107.49311326253085</v>
      </c>
      <c r="H21" s="70">
        <f t="shared" si="1"/>
        <v>317.58646701319185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7.9</v>
      </c>
      <c r="N21" s="14">
        <f>IF('Données projet'!$A$36&gt;35,N20+M21-V20,IF(A21&lt;'Données projet'!$A$36,$K$205^A21,IF(A21='Données projet'!$A$36,'Données projet'!$B$36,N20+M21-V20)))</f>
        <v>95.233857990035276</v>
      </c>
      <c r="O21" s="14">
        <f>N21*VLOOKUP('Données projet'!$B$9,Paramètres!$A$1:$I$89,3,0)*VLOOKUP('Données projet'!$B$9,Paramètres!$A$1:$I$89,5,0)</f>
        <v>44.569445539336513</v>
      </c>
      <c r="P21" s="14">
        <f t="shared" si="33"/>
        <v>13.202049673437019</v>
      </c>
      <c r="Q21" s="22">
        <f t="shared" si="2"/>
        <v>100.61868749558056</v>
      </c>
      <c r="R21" s="62">
        <f t="shared" si="0"/>
        <v>393.95202082891387</v>
      </c>
      <c r="S21" s="62">
        <f ca="1">AVERAGE(OFFSET($R$3,0,0,'Données projet'!$E$9+1,1))-AVERAGE(OFFSET($H$3,0,0,'Données projet'!$E$9+1,1))</f>
        <v>300.81172286376216</v>
      </c>
      <c r="T21" s="62">
        <f t="shared" si="34"/>
        <v>217.90654346456347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5.5909090909090908</v>
      </c>
      <c r="AI21" s="14">
        <f>IF('Données projet'!$A$62&gt;35,AI20+AH21-AQ20,IF(A21&lt;'Données projet'!$A$62,$AF$205^A21,IF(A21='Données projet'!$A$62,'Données projet'!$B$62,AI20+AH21-AQ20)))</f>
        <v>51.276971117915458</v>
      </c>
      <c r="AJ21" s="14">
        <f>AI21*VLOOKUP('Données projet'!$B$10,Paramètres!$A$1:$I$89,3,0)*VLOOKUP('Données projet'!$B$10,Paramètres!$A$1:$I$89,5,0)</f>
        <v>30.663628728513448</v>
      </c>
      <c r="AK21" s="14">
        <f t="shared" si="35"/>
        <v>9.4870815071768995</v>
      </c>
      <c r="AL21" s="22">
        <f t="shared" si="4"/>
        <v>69.929153660494023</v>
      </c>
      <c r="AM21" s="62">
        <f t="shared" si="5"/>
        <v>363.26248699382734</v>
      </c>
      <c r="AN21" s="62">
        <f ca="1">AVERAGE(OFFSET($AM$3,0,0,'Données projet'!$E$10+1,1))-AVERAGE(OFFSET($H$3,0,0,'Données projet'!$E$10+1,1))</f>
        <v>279.33945837918748</v>
      </c>
      <c r="AO21" s="62">
        <f t="shared" si="36"/>
        <v>215.78305328671854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8.526315789473685</v>
      </c>
      <c r="BD21" s="13">
        <f>IF('Données projet'!$A$88&gt;35,BD20+BC21-BL20,IF(A21&lt;'Données projet'!$A$88,$BA$205^A21,IF(A21='Données projet'!$A$88,'Données projet'!$B$88,BD20+BC21-BL20)))</f>
        <v>123.94378388749713</v>
      </c>
      <c r="BE21" s="14">
        <f>BD21*VLOOKUP('Données projet'!$B$11,Paramètres!$A$1:$I$89,3,0)*VLOOKUP('Données projet'!$B$11,Paramètres!$A$1:$I$89,5,0)</f>
        <v>69.284575193110896</v>
      </c>
      <c r="BF21" s="14">
        <f t="shared" si="37"/>
        <v>19.495686293334202</v>
      </c>
      <c r="BG21" s="22">
        <f t="shared" si="7"/>
        <v>154.62562208889187</v>
      </c>
      <c r="BH21" s="62">
        <f t="shared" si="8"/>
        <v>447.95895542222519</v>
      </c>
      <c r="BI21" s="62">
        <f ca="1">AVERAGE(OFFSET($BH$3,0,0,'Données projet'!$E$11+1,1))-AVERAGE(OFFSET($H$3,0,0,'Données projet'!$E$11+1,1))</f>
        <v>376.38993452481719</v>
      </c>
      <c r="BJ21" s="62">
        <f t="shared" si="38"/>
        <v>470.10036612616727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>
        <f>VLOOKUP(A21,'Données projet'!$A$113:$I$133,2,0)</f>
        <v>166</v>
      </c>
      <c r="BW21" s="13">
        <f>VLOOKUP(A21,'Données projet'!$A$113:$I$133,9,0)</f>
        <v>18.600000000000001</v>
      </c>
      <c r="BX21" s="13">
        <f t="array" ref="BX21">INDEX(BW:BW,MIN(IF(ISNUMBER(BW21:BW217),ROW(BW21:BW217),"")))</f>
        <v>18.600000000000001</v>
      </c>
      <c r="BY21" s="13">
        <f>IF('Données projet'!$A$114&gt;35,BY20+BX21-CG20,IF(A21&lt;'Données projet'!$A$114,$BV$205^A21,IF(A21='Données projet'!$A$114,'Données projet'!$B$114,BY20+BX21-CG20)))</f>
        <v>165.99999999999997</v>
      </c>
      <c r="BZ21" s="14">
        <f>BY21*VLOOKUP('Données projet'!$B$12,Paramètres!$A$1:$I$89,3,0)*VLOOKUP('Données projet'!$B$12,Paramètres!$A$1:$I$89,5,0)</f>
        <v>99.267999999999986</v>
      </c>
      <c r="CA21" s="14">
        <f t="shared" si="39"/>
        <v>26.78753414535981</v>
      </c>
      <c r="CB21" s="22">
        <f t="shared" si="10"/>
        <v>219.54672196983498</v>
      </c>
      <c r="CC21" s="62">
        <f t="shared" si="11"/>
        <v>512.88005530316832</v>
      </c>
      <c r="CD21" s="62">
        <f ca="1">AVERAGE(OFFSET($CC$3,0,0,'Données projet'!$E$12+1,1))-AVERAGE(OFFSET($H$3,0,0,'Données projet'!$E$12+1,1))</f>
        <v>152.56843845628913</v>
      </c>
      <c r="CE21" s="62">
        <f t="shared" si="40"/>
        <v>311.82523951987685</v>
      </c>
      <c r="CF21" s="16">
        <f>IF(ISNA(VLOOKUP(A21,'Données projet'!$A$113:$I$133,3,0)),0,VLOOKUP(A21,'Données projet'!$A$113:$I$133,3,0))</f>
        <v>2</v>
      </c>
      <c r="CG21" s="16">
        <f>IF(ISNA(VLOOKUP(A21,'Données projet'!$A$113:$I$133,4,0)),0,VLOOKUP(A21,'Données projet'!$A$113:$I$133,4,0))</f>
        <v>40</v>
      </c>
      <c r="CH21" s="17">
        <f>IF(ISNA(VLOOKUP(A21,'Données projet'!$A$113:$I$133,5,0)),0%,VLOOKUP(A21,'Données projet'!$A$113:$I$133,5,0)*VLOOKUP('Données projet'!$B$12,Paramètres!$A$1:$I$89,7,0))</f>
        <v>0.1125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0.75</v>
      </c>
      <c r="CK21" s="23">
        <f>EXP(-LN(2)/35)*CK20+(1-EXP(-LN(2)/35))/(LN(2)/35)*CG21*CH21*VLOOKUP('Données projet'!$B$12,Paramètres!$A$1:$I$89,3,0)*0.475*44/12</f>
        <v>3.5697849495878025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23.663597258657802</v>
      </c>
      <c r="CN21" s="24">
        <f t="shared" si="12"/>
        <v>27.233382208245605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10.877880000000005</v>
      </c>
      <c r="D22" s="12">
        <f t="shared" si="32"/>
        <v>3.7970173023640066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113.27990900070465</v>
      </c>
      <c r="H22" s="70">
        <f t="shared" si="1"/>
        <v>318.89211280161732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7.9</v>
      </c>
      <c r="N22" s="14">
        <f>IF('Données projet'!$A$36&gt;35,N21+M22-V21,IF(A22&lt;'Données projet'!$A$36,$K$205^A22,IF(A22='Données projet'!$A$36,'Données projet'!$B$36,N21+M22-V21)))</f>
        <v>122.66600817840934</v>
      </c>
      <c r="O22" s="14">
        <f>N22*VLOOKUP('Données projet'!$B$9,Paramètres!$A$1:$I$89,3,0)*VLOOKUP('Données projet'!$B$9,Paramètres!$A$1:$I$89,5,0)</f>
        <v>57.407691827495569</v>
      </c>
      <c r="P22" s="14">
        <f t="shared" si="33"/>
        <v>16.511176981334152</v>
      </c>
      <c r="Q22" s="22">
        <f t="shared" si="2"/>
        <v>128.7420298420451</v>
      </c>
      <c r="R22" s="62">
        <f t="shared" si="0"/>
        <v>422.07536317537841</v>
      </c>
      <c r="S22" s="62">
        <f ca="1">AVERAGE(OFFSET($R$3,0,0,'Données projet'!$E$9+1,1))-AVERAGE(OFFSET($H$3,0,0,'Données projet'!$E$9+1,1))</f>
        <v>300.81172286376216</v>
      </c>
      <c r="T22" s="62">
        <f t="shared" si="34"/>
        <v>217.90654346456347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5.5909090909090908</v>
      </c>
      <c r="AI22" s="14">
        <f>IF('Données projet'!$A$62&gt;35,AI21+AH22-AQ21,IF(A22&lt;'Données projet'!$A$62,$AF$205^A22,IF(A22='Données projet'!$A$62,'Données projet'!$B$62,AI21+AH22-AQ21)))</f>
        <v>63.814306040343304</v>
      </c>
      <c r="AJ22" s="14">
        <f>AI22*VLOOKUP('Données projet'!$B$10,Paramètres!$A$1:$I$89,3,0)*VLOOKUP('Données projet'!$B$10,Paramètres!$A$1:$I$89,5,0)</f>
        <v>38.160955012125299</v>
      </c>
      <c r="AK22" s="14">
        <f t="shared" si="35"/>
        <v>11.509880661066306</v>
      </c>
      <c r="AL22" s="22">
        <f t="shared" si="4"/>
        <v>86.510038797475374</v>
      </c>
      <c r="AM22" s="62">
        <f t="shared" si="5"/>
        <v>379.84337213080869</v>
      </c>
      <c r="AN22" s="62">
        <f ca="1">AVERAGE(OFFSET($AM$3,0,0,'Données projet'!$E$10+1,1))-AVERAGE(OFFSET($H$3,0,0,'Données projet'!$E$10+1,1))</f>
        <v>279.33945837918748</v>
      </c>
      <c r="AO22" s="62">
        <f t="shared" si="36"/>
        <v>215.78305328671854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>
        <f>VLOOKUP(A22,'Données projet'!$A$87:$I$107,2,0)</f>
        <v>162</v>
      </c>
      <c r="BB22" s="13">
        <f>VLOOKUP(A22,'Données projet'!$A$87:$I$107,9,0)</f>
        <v>8.526315789473685</v>
      </c>
      <c r="BC22" s="13">
        <f t="array" ref="BC22">INDEX(BB:BB,MIN(IF(ISNUMBER(BB22:BB218),ROW(BB22:BB218),"")))</f>
        <v>8.526315789473685</v>
      </c>
      <c r="BD22" s="13">
        <f>IF('Données projet'!$A$88&gt;35,BD21+BC22-BL21,IF(A22&lt;'Données projet'!$A$88,$BA$205^A22,IF(A22='Données projet'!$A$88,'Données projet'!$B$88,BD21+BC22-BL21)))</f>
        <v>162</v>
      </c>
      <c r="BE22" s="14">
        <f>BD22*VLOOKUP('Données projet'!$B$11,Paramètres!$A$1:$I$89,3,0)*VLOOKUP('Données projet'!$B$11,Paramètres!$A$1:$I$89,5,0)</f>
        <v>90.557999999999993</v>
      </c>
      <c r="BF22" s="14">
        <f t="shared" si="37"/>
        <v>24.699752708509138</v>
      </c>
      <c r="BG22" s="22">
        <f t="shared" si="7"/>
        <v>200.74058596732007</v>
      </c>
      <c r="BH22" s="62">
        <f t="shared" si="8"/>
        <v>494.07391930065342</v>
      </c>
      <c r="BI22" s="62">
        <f ca="1">AVERAGE(OFFSET($BH$3,0,0,'Données projet'!$E$11+1,1))-AVERAGE(OFFSET($H$3,0,0,'Données projet'!$E$11+1,1))</f>
        <v>376.38993452481719</v>
      </c>
      <c r="BJ22" s="62">
        <f t="shared" si="38"/>
        <v>470.10036612616727</v>
      </c>
      <c r="BK22" s="16">
        <f>IF(ISNA(VLOOKUP(A22,'Données projet'!$A$87:$I$107,3,0)),0,VLOOKUP(A22,'Données projet'!$A$87:$I$107,3,0))</f>
        <v>1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8.2500000000000004E-2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0.85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17.8</v>
      </c>
      <c r="BY22" s="13">
        <f>IF('Données projet'!$A$114&gt;35,BY21+BX22-CG21,IF(A22&lt;'Données projet'!$A$114,$BV$205^A22,IF(A22='Données projet'!$A$114,'Données projet'!$B$114,BY21+BX22-CG21)))</f>
        <v>143.79999999999998</v>
      </c>
      <c r="BZ22" s="14">
        <f>BY22*VLOOKUP('Données projet'!$B$12,Paramètres!$A$1:$I$89,3,0)*VLOOKUP('Données projet'!$B$12,Paramètres!$A$1:$I$89,5,0)</f>
        <v>85.992400000000004</v>
      </c>
      <c r="CA22" s="14">
        <f t="shared" si="39"/>
        <v>23.596141005324462</v>
      </c>
      <c r="CB22" s="22">
        <f t="shared" si="10"/>
        <v>190.86670891760676</v>
      </c>
      <c r="CC22" s="62">
        <f t="shared" si="11"/>
        <v>484.2000422509401</v>
      </c>
      <c r="CD22" s="62">
        <f ca="1">AVERAGE(OFFSET($CC$3,0,0,'Données projet'!$E$12+1,1))-AVERAGE(OFFSET($H$3,0,0,'Données projet'!$E$12+1,1))</f>
        <v>152.56843845628913</v>
      </c>
      <c r="CE22" s="62">
        <f t="shared" si="40"/>
        <v>311.82523951987685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3.499783644080209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16.732690088864331</v>
      </c>
      <c r="CN22" s="24">
        <f t="shared" si="12"/>
        <v>20.232473732944541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11.450400000000005</v>
      </c>
      <c r="D23" s="12">
        <f t="shared" si="32"/>
        <v>3.9730680031605892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119.05834949808178</v>
      </c>
      <c r="H23" s="70">
        <f t="shared" si="1"/>
        <v>320.19587343883802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158</v>
      </c>
      <c r="L23" s="13">
        <f>VLOOKUP(A23,'Données projet'!$A$35:$I$55,9,0)</f>
        <v>7.9</v>
      </c>
      <c r="M23" s="13">
        <f t="array" ref="M23">INDEX(L:L,MIN(IF(ISNUMBER(L23:L219),ROW(L23:L219),"")))</f>
        <v>7.9</v>
      </c>
      <c r="N23" s="14">
        <f>IF('Données projet'!$A$36&gt;35,N22+M23-V22,IF(A23&lt;'Données projet'!$A$36,$K$205^A23,IF(A23='Données projet'!$A$36,'Données projet'!$B$36,N22+M23-V22)))</f>
        <v>158</v>
      </c>
      <c r="O23" s="14">
        <f>N23*VLOOKUP('Données projet'!$B$9,Paramètres!$A$1:$I$89,3,0)*VLOOKUP('Données projet'!$B$9,Paramètres!$A$1:$I$89,5,0)</f>
        <v>73.944000000000003</v>
      </c>
      <c r="P23" s="14">
        <f t="shared" si="33"/>
        <v>20.649745460165708</v>
      </c>
      <c r="Q23" s="22">
        <f t="shared" si="2"/>
        <v>164.75077334312192</v>
      </c>
      <c r="R23" s="62">
        <f t="shared" si="0"/>
        <v>458.08410667645524</v>
      </c>
      <c r="S23" s="62">
        <f ca="1">AVERAGE(OFFSET($R$3,0,0,'Données projet'!$E$9+1,1))-AVERAGE(OFFSET($H$3,0,0,'Données projet'!$E$9+1,1))</f>
        <v>300.81172286376216</v>
      </c>
      <c r="T23" s="62">
        <f t="shared" si="34"/>
        <v>217.90654346456347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0.22000000000000003</v>
      </c>
      <c r="X23" s="78">
        <f>IF(ISNA(VLOOKUP(A23,'Données projet'!$A$35:$I$55,6,0)),0%,VLOOKUP(A23,'Données projet'!$A$35:$I$55,6,0)*VLOOKUP('Données projet'!$B$9,Paramètres!$A$1:$I$89,7,0))</f>
        <v>0.24750000000000003</v>
      </c>
      <c r="Y23" s="17">
        <f>IF(ISNA(VLOOKUP(A23,'Données projet'!$A$35:$I$55,7,0)),0%,VLOOKUP(A23,'Données projet'!$A$35:$I$55,7,0))</f>
        <v>0.15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5.5909090909090908</v>
      </c>
      <c r="AI23" s="14">
        <f>IF('Données projet'!$A$62&gt;35,AI22+AH23-AQ22,IF(A23&lt;'Données projet'!$A$62,$AF$205^A23,IF(A23='Données projet'!$A$62,'Données projet'!$B$62,AI22+AH23-AQ22)))</f>
        <v>79.417047587426694</v>
      </c>
      <c r="AJ23" s="14">
        <f>AI23*VLOOKUP('Données projet'!$B$10,Paramètres!$A$1:$I$89,3,0)*VLOOKUP('Données projet'!$B$10,Paramètres!$A$1:$I$89,5,0)</f>
        <v>47.49139445728116</v>
      </c>
      <c r="AK23" s="14">
        <f t="shared" si="35"/>
        <v>13.96397329692701</v>
      </c>
      <c r="AL23" s="22">
        <f t="shared" si="4"/>
        <v>107.03476550524589</v>
      </c>
      <c r="AM23" s="62">
        <f t="shared" si="5"/>
        <v>400.36809883857921</v>
      </c>
      <c r="AN23" s="62">
        <f ca="1">AVERAGE(OFFSET($AM$3,0,0,'Données projet'!$E$10+1,1))-AVERAGE(OFFSET($H$3,0,0,'Données projet'!$E$10+1,1))</f>
        <v>279.33945837918748</v>
      </c>
      <c r="AO23" s="62">
        <f t="shared" si="36"/>
        <v>215.78305328671854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28.833333333333332</v>
      </c>
      <c r="BD23" s="13">
        <f>IF('Données projet'!$A$88&gt;35,BD22+BC23-BL22,IF(A23&lt;'Données projet'!$A$88,$BA$205^A23,IF(A23='Données projet'!$A$88,'Données projet'!$B$88,BD22+BC23-BL22)))</f>
        <v>190.83333333333334</v>
      </c>
      <c r="BE23" s="14">
        <f>BD23*VLOOKUP('Données projet'!$B$11,Paramètres!$A$1:$I$89,3,0)*VLOOKUP('Données projet'!$B$11,Paramètres!$A$1:$I$89,5,0)</f>
        <v>106.67583333333334</v>
      </c>
      <c r="BF23" s="14">
        <f t="shared" si="37"/>
        <v>28.546391754319739</v>
      </c>
      <c r="BG23" s="22">
        <f t="shared" si="7"/>
        <v>235.51204202766243</v>
      </c>
      <c r="BH23" s="62">
        <f t="shared" si="8"/>
        <v>528.84537536099572</v>
      </c>
      <c r="BI23" s="62">
        <f ca="1">AVERAGE(OFFSET($BH$3,0,0,'Données projet'!$E$11+1,1))-AVERAGE(OFFSET($H$3,0,0,'Données projet'!$E$11+1,1))</f>
        <v>376.38993452481719</v>
      </c>
      <c r="BJ23" s="62">
        <f t="shared" si="38"/>
        <v>470.10036612616727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17.8</v>
      </c>
      <c r="BY23" s="13">
        <f>IF('Données projet'!$A$114&gt;35,BY22+BX23-CG22,IF(A23&lt;'Données projet'!$A$114,$BV$205^A23,IF(A23='Données projet'!$A$114,'Données projet'!$B$114,BY22+BX23-CG22)))</f>
        <v>161.6</v>
      </c>
      <c r="BZ23" s="14">
        <f>BY23*VLOOKUP('Données projet'!$B$12,Paramètres!$A$1:$I$89,3,0)*VLOOKUP('Données projet'!$B$12,Paramètres!$A$1:$I$89,5,0)</f>
        <v>96.636800000000008</v>
      </c>
      <c r="CA23" s="14">
        <f t="shared" si="39"/>
        <v>26.159173215164081</v>
      </c>
      <c r="CB23" s="22">
        <f t="shared" si="10"/>
        <v>213.86965334974411</v>
      </c>
      <c r="CC23" s="62">
        <f t="shared" si="11"/>
        <v>507.20298668307743</v>
      </c>
      <c r="CD23" s="62">
        <f ca="1">AVERAGE(OFFSET($CC$3,0,0,'Données projet'!$E$12+1,1))-AVERAGE(OFFSET($H$3,0,0,'Données projet'!$E$12+1,1))</f>
        <v>152.56843845628913</v>
      </c>
      <c r="CE23" s="62">
        <f t="shared" si="40"/>
        <v>311.82523951987685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3.4311550214770392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11.831798629328903</v>
      </c>
      <c r="CN23" s="24">
        <f t="shared" si="12"/>
        <v>15.262953650805942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12.022920000000006</v>
      </c>
      <c r="D24" s="12">
        <f t="shared" si="32"/>
        <v>4.1480966151139835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124.82890018684486</v>
      </c>
      <c r="H24" s="70">
        <f t="shared" si="1"/>
        <v>321.49785393799016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9.1999999999999993</v>
      </c>
      <c r="N24" s="14">
        <f>IF('Données projet'!$A$36&gt;35,N23+M24-V23,IF(A24&lt;'Données projet'!$A$36,$K$205^A24,IF(A24='Données projet'!$A$36,'Données projet'!$B$36,N23+M24-V23)))</f>
        <v>167.2</v>
      </c>
      <c r="O24" s="14">
        <f>N24*VLOOKUP('Données projet'!$B$9,Paramètres!$A$1:$I$89,3,0)*VLOOKUP('Données projet'!$B$9,Paramètres!$A$1:$I$89,5,0)</f>
        <v>78.249599999999987</v>
      </c>
      <c r="P24" s="14">
        <f t="shared" si="33"/>
        <v>21.708652740239781</v>
      </c>
      <c r="Q24" s="22">
        <f t="shared" si="2"/>
        <v>174.09395685591758</v>
      </c>
      <c r="R24" s="62">
        <f t="shared" si="0"/>
        <v>467.42729018925093</v>
      </c>
      <c r="S24" s="62">
        <f ca="1">AVERAGE(OFFSET($R$3,0,0,'Données projet'!$E$9+1,1))-AVERAGE(OFFSET($H$3,0,0,'Données projet'!$E$9+1,1))</f>
        <v>300.81172286376216</v>
      </c>
      <c r="T24" s="62">
        <f t="shared" si="34"/>
        <v>217.90654346456347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5.5909090909090908</v>
      </c>
      <c r="AI24" s="14">
        <f>IF('Données projet'!$A$62&gt;35,AI23+AH24-AQ23,IF(A24&lt;'Données projet'!$A$62,$AF$205^A24,IF(A24='Données projet'!$A$62,'Données projet'!$B$62,AI23+AH24-AQ23)))</f>
        <v>98.834694582689295</v>
      </c>
      <c r="AJ24" s="14">
        <f>AI24*VLOOKUP('Données projet'!$B$10,Paramètres!$A$1:$I$89,3,0)*VLOOKUP('Données projet'!$B$10,Paramètres!$A$1:$I$89,5,0)</f>
        <v>59.103147360448204</v>
      </c>
      <c r="AK24" s="14">
        <f t="shared" si="35"/>
        <v>16.94131815778756</v>
      </c>
      <c r="AL24" s="22">
        <f t="shared" si="4"/>
        <v>132.44411077759398</v>
      </c>
      <c r="AM24" s="62">
        <f t="shared" si="5"/>
        <v>425.77744411092726</v>
      </c>
      <c r="AN24" s="62">
        <f ca="1">AVERAGE(OFFSET($AM$3,0,0,'Données projet'!$E$10+1,1))-AVERAGE(OFFSET($H$3,0,0,'Données projet'!$E$10+1,1))</f>
        <v>279.33945837918748</v>
      </c>
      <c r="AO24" s="62">
        <f t="shared" si="36"/>
        <v>215.78305328671854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28.833333333333332</v>
      </c>
      <c r="BD24" s="13">
        <f>IF('Données projet'!$A$88&gt;35,BD23+BC24-BL23,IF(A24&lt;'Données projet'!$A$88,$BA$205^A24,IF(A24='Données projet'!$A$88,'Données projet'!$B$88,BD23+BC24-BL23)))</f>
        <v>219.66666666666669</v>
      </c>
      <c r="BE24" s="14">
        <f>BD24*VLOOKUP('Données projet'!$B$11,Paramètres!$A$1:$I$89,3,0)*VLOOKUP('Données projet'!$B$11,Paramètres!$A$1:$I$89,5,0)</f>
        <v>122.79366666666668</v>
      </c>
      <c r="BF24" s="14">
        <f t="shared" si="37"/>
        <v>32.32570088253398</v>
      </c>
      <c r="BG24" s="22">
        <f t="shared" si="7"/>
        <v>270.16623181485778</v>
      </c>
      <c r="BH24" s="62">
        <f t="shared" si="8"/>
        <v>563.4995651481911</v>
      </c>
      <c r="BI24" s="62">
        <f ca="1">AVERAGE(OFFSET($BH$3,0,0,'Données projet'!$E$11+1,1))-AVERAGE(OFFSET($H$3,0,0,'Données projet'!$E$11+1,1))</f>
        <v>376.38993452481719</v>
      </c>
      <c r="BJ24" s="62">
        <f t="shared" si="38"/>
        <v>470.10036612616727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17.8</v>
      </c>
      <c r="BY24" s="13">
        <f>IF('Données projet'!$A$114&gt;35,BY23+BX24-CG23,IF(A24&lt;'Données projet'!$A$114,$BV$205^A24,IF(A24='Données projet'!$A$114,'Données projet'!$B$114,BY23+BX24-CG23)))</f>
        <v>179.4</v>
      </c>
      <c r="BZ24" s="14">
        <f>BY24*VLOOKUP('Données projet'!$B$12,Paramètres!$A$1:$I$89,3,0)*VLOOKUP('Données projet'!$B$12,Paramètres!$A$1:$I$89,5,0)</f>
        <v>107.2812</v>
      </c>
      <c r="CA24" s="14">
        <f t="shared" si="39"/>
        <v>28.68948404302737</v>
      </c>
      <c r="CB24" s="22">
        <f t="shared" si="10"/>
        <v>236.81560804160597</v>
      </c>
      <c r="CC24" s="62">
        <f t="shared" si="11"/>
        <v>530.14894137493934</v>
      </c>
      <c r="CD24" s="62">
        <f ca="1">AVERAGE(OFFSET($CC$3,0,0,'Données projet'!$E$12+1,1))-AVERAGE(OFFSET($H$3,0,0,'Données projet'!$E$12+1,1))</f>
        <v>152.56843845628913</v>
      </c>
      <c r="CE24" s="62">
        <f t="shared" si="40"/>
        <v>311.82523951987685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3.3638721643037908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8.3663450444321654</v>
      </c>
      <c r="CN24" s="24">
        <f t="shared" si="12"/>
        <v>11.730217208735956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12.595440000000007</v>
      </c>
      <c r="D25" s="12">
        <f t="shared" si="32"/>
        <v>4.3221573660278914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130.59197966758379</v>
      </c>
      <c r="H25" s="70">
        <f t="shared" si="1"/>
        <v>322.7981487458319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9.1999999999999993</v>
      </c>
      <c r="N25" s="14">
        <f>IF('Données projet'!$A$36&gt;35,N24+M25-V24,IF(A25&lt;'Données projet'!$A$36,$K$205^A25,IF(A25='Données projet'!$A$36,'Données projet'!$B$36,N24+M25-V24)))</f>
        <v>176.39999999999998</v>
      </c>
      <c r="O25" s="14">
        <f>N25*VLOOKUP('Données projet'!$B$9,Paramètres!$A$1:$I$89,3,0)*VLOOKUP('Données projet'!$B$9,Paramètres!$A$1:$I$89,5,0)</f>
        <v>82.555199999999985</v>
      </c>
      <c r="P25" s="14">
        <f t="shared" si="33"/>
        <v>22.760796016854769</v>
      </c>
      <c r="Q25" s="22">
        <f t="shared" si="2"/>
        <v>183.42535972935536</v>
      </c>
      <c r="R25" s="62">
        <f t="shared" si="0"/>
        <v>476.75869306268868</v>
      </c>
      <c r="S25" s="62">
        <f ca="1">AVERAGE(OFFSET($R$3,0,0,'Données projet'!$E$9+1,1))-AVERAGE(OFFSET($H$3,0,0,'Données projet'!$E$9+1,1))</f>
        <v>300.81172286376216</v>
      </c>
      <c r="T25" s="62">
        <f t="shared" si="34"/>
        <v>217.90654346456347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>
        <f>VLOOKUP(A25,'Données projet'!$A$61:$I$81,2,0)</f>
        <v>123</v>
      </c>
      <c r="AG25" s="13">
        <f>VLOOKUP(A25,'Données projet'!$A$61:$I$81,9,0)</f>
        <v>5.5909090909090908</v>
      </c>
      <c r="AH25" s="13">
        <f t="array" ref="AH25">INDEX(AG:AG,MIN(IF(ISNUMBER(AG25:AG221),ROW(AG25:AG221),"")))</f>
        <v>5.5909090909090908</v>
      </c>
      <c r="AI25" s="14">
        <f>IF('Données projet'!$A$62&gt;35,AI24+AH25-AQ24,IF(A25&lt;'Données projet'!$A$62,$AF$205^A25,IF(A25='Données projet'!$A$62,'Données projet'!$B$62,AI24+AH25-AQ24)))</f>
        <v>123</v>
      </c>
      <c r="AJ25" s="14">
        <f>AI25*VLOOKUP('Données projet'!$B$10,Paramètres!$A$1:$I$89,3,0)*VLOOKUP('Données projet'!$B$10,Paramètres!$A$1:$I$89,5,0)</f>
        <v>73.554000000000016</v>
      </c>
      <c r="AK25" s="14">
        <f t="shared" si="35"/>
        <v>20.553481077376691</v>
      </c>
      <c r="AL25" s="22">
        <f t="shared" si="4"/>
        <v>163.90386287643108</v>
      </c>
      <c r="AM25" s="62">
        <f t="shared" si="5"/>
        <v>457.23719620976442</v>
      </c>
      <c r="AN25" s="62">
        <f ca="1">AVERAGE(OFFSET($AM$3,0,0,'Données projet'!$E$10+1,1))-AVERAGE(OFFSET($H$3,0,0,'Données projet'!$E$10+1,1))</f>
        <v>279.33945837918748</v>
      </c>
      <c r="AO25" s="62">
        <f t="shared" si="36"/>
        <v>215.78305328671854</v>
      </c>
      <c r="AP25" s="16">
        <f>IF(ISNA(VLOOKUP(A25,'Données projet'!$A$61:$I$81,3,0)),0,VLOOKUP(A25,'Données projet'!$A$61:$I$81,3,0))</f>
        <v>1</v>
      </c>
      <c r="AQ25" s="16">
        <f>IF(ISNA(VLOOKUP(A25,'Données projet'!$A$61:$I$81,4,0)),0,VLOOKUP(A25,'Données projet'!$A$61:$I$81,4,0))</f>
        <v>16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1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10.833198622733226</v>
      </c>
      <c r="AX25" s="23">
        <f t="shared" si="6"/>
        <v>10.833198622733226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28.833333333333332</v>
      </c>
      <c r="BD25" s="13">
        <f>IF('Données projet'!$A$88&gt;35,BD24+BC25-BL24,IF(A25&lt;'Données projet'!$A$88,$BA$205^A25,IF(A25='Données projet'!$A$88,'Données projet'!$B$88,BD24+BC25-BL24)))</f>
        <v>248.50000000000003</v>
      </c>
      <c r="BE25" s="14">
        <f>BD25*VLOOKUP('Données projet'!$B$11,Paramètres!$A$1:$I$89,3,0)*VLOOKUP('Données projet'!$B$11,Paramètres!$A$1:$I$89,5,0)</f>
        <v>138.91150000000002</v>
      </c>
      <c r="BF25" s="14">
        <f t="shared" si="37"/>
        <v>36.047532265727178</v>
      </c>
      <c r="BG25" s="22">
        <f t="shared" si="7"/>
        <v>304.72031452947482</v>
      </c>
      <c r="BH25" s="62">
        <f t="shared" si="8"/>
        <v>598.05364786280813</v>
      </c>
      <c r="BI25" s="62">
        <f ca="1">AVERAGE(OFFSET($BH$3,0,0,'Données projet'!$E$11+1,1))-AVERAGE(OFFSET($H$3,0,0,'Données projet'!$E$11+1,1))</f>
        <v>376.38993452481719</v>
      </c>
      <c r="BJ25" s="62">
        <f t="shared" si="38"/>
        <v>470.10036612616727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17.8</v>
      </c>
      <c r="BY25" s="13">
        <f>IF('Données projet'!$A$114&gt;35,BY24+BX25-CG24,IF(A25&lt;'Données projet'!$A$114,$BV$205^A25,IF(A25='Données projet'!$A$114,'Données projet'!$B$114,BY24+BX25-CG24)))</f>
        <v>197.20000000000002</v>
      </c>
      <c r="BZ25" s="14">
        <f>BY25*VLOOKUP('Données projet'!$B$12,Paramètres!$A$1:$I$89,3,0)*VLOOKUP('Données projet'!$B$12,Paramètres!$A$1:$I$89,5,0)</f>
        <v>117.92560000000003</v>
      </c>
      <c r="CA25" s="14">
        <f t="shared" si="39"/>
        <v>31.190689636070587</v>
      </c>
      <c r="CB25" s="22">
        <f t="shared" si="10"/>
        <v>259.71087111615634</v>
      </c>
      <c r="CC25" s="62">
        <f t="shared" si="11"/>
        <v>553.0442044494896</v>
      </c>
      <c r="CD25" s="62">
        <f ca="1">AVERAGE(OFFSET($CC$3,0,0,'Données projet'!$E$12+1,1))-AVERAGE(OFFSET($H$3,0,0,'Données projet'!$E$12+1,1))</f>
        <v>152.56843845628913</v>
      </c>
      <c r="CE25" s="62">
        <f t="shared" si="40"/>
        <v>311.82523951987685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3.2979086829212192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5.9158993146644514</v>
      </c>
      <c r="CN25" s="24">
        <f t="shared" si="12"/>
        <v>9.2138079975856702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13.167960000000008</v>
      </c>
      <c r="D26" s="12">
        <f t="shared" si="32"/>
        <v>4.4952992752424494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136.34796633520494</v>
      </c>
      <c r="H26" s="70">
        <f t="shared" si="1"/>
        <v>324.09684323771393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9.1999999999999993</v>
      </c>
      <c r="N26" s="14">
        <f>IF('Données projet'!$A$36&gt;35,N25+M26-V25,IF(A26&lt;'Données projet'!$A$36,$K$205^A26,IF(A26='Données projet'!$A$36,'Données projet'!$B$36,N25+M26-V25)))</f>
        <v>185.59999999999997</v>
      </c>
      <c r="O26" s="14">
        <f>N26*VLOOKUP('Données projet'!$B$9,Paramètres!$A$1:$I$89,3,0)*VLOOKUP('Données projet'!$B$9,Paramètres!$A$1:$I$89,5,0)</f>
        <v>86.860799999999983</v>
      </c>
      <c r="P26" s="14">
        <f t="shared" si="33"/>
        <v>23.806568296036275</v>
      </c>
      <c r="Q26" s="22">
        <f t="shared" si="2"/>
        <v>192.7456664489298</v>
      </c>
      <c r="R26" s="62">
        <f t="shared" si="0"/>
        <v>486.07899978226311</v>
      </c>
      <c r="S26" s="62">
        <f ca="1">AVERAGE(OFFSET($R$3,0,0,'Données projet'!$E$9+1,1))-AVERAGE(OFFSET($H$3,0,0,'Données projet'!$E$9+1,1))</f>
        <v>300.81172286376216</v>
      </c>
      <c r="T26" s="62">
        <f t="shared" si="34"/>
        <v>217.90654346456347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12.333333333333334</v>
      </c>
      <c r="AI26" s="14">
        <f>IF('Données projet'!$A$62&gt;35,AI25+AH26-AQ25,IF(A26&lt;'Données projet'!$A$62,$AF$205^A26,IF(A26='Données projet'!$A$62,'Données projet'!$B$62,AI25+AH26-AQ25)))</f>
        <v>119.33333333333334</v>
      </c>
      <c r="AJ26" s="14">
        <f>AI26*VLOOKUP('Données projet'!$B$10,Paramètres!$A$1:$I$89,3,0)*VLOOKUP('Données projet'!$B$10,Paramètres!$A$1:$I$89,5,0)</f>
        <v>71.361333333333349</v>
      </c>
      <c r="AK26" s="14">
        <f t="shared" si="35"/>
        <v>20.011144716858571</v>
      </c>
      <c r="AL26" s="22">
        <f t="shared" si="4"/>
        <v>159.14039927075092</v>
      </c>
      <c r="AM26" s="62">
        <f t="shared" si="5"/>
        <v>452.47373260408426</v>
      </c>
      <c r="AN26" s="62">
        <f ca="1">AVERAGE(OFFSET($AM$3,0,0,'Données projet'!$E$10+1,1))-AVERAGE(OFFSET($H$3,0,0,'Données projet'!$E$10+1,1))</f>
        <v>279.33945837918748</v>
      </c>
      <c r="AO26" s="62">
        <f t="shared" si="36"/>
        <v>215.78305328671854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7.6602282080754316</v>
      </c>
      <c r="AX26" s="23">
        <f t="shared" si="6"/>
        <v>7.6602282080754316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28.833333333333332</v>
      </c>
      <c r="BD26" s="13">
        <f>IF('Données projet'!$A$88&gt;35,BD25+BC26-BL25,IF(A26&lt;'Données projet'!$A$88,$BA$205^A26,IF(A26='Données projet'!$A$88,'Données projet'!$B$88,BD25+BC26-BL25)))</f>
        <v>277.33333333333337</v>
      </c>
      <c r="BE26" s="14">
        <f>BD26*VLOOKUP('Données projet'!$B$11,Paramètres!$A$1:$I$89,3,0)*VLOOKUP('Données projet'!$B$11,Paramètres!$A$1:$I$89,5,0)</f>
        <v>155.02933333333334</v>
      </c>
      <c r="BF26" s="14">
        <f t="shared" si="37"/>
        <v>39.719316712120367</v>
      </c>
      <c r="BG26" s="22">
        <f t="shared" si="7"/>
        <v>339.1872321624985</v>
      </c>
      <c r="BH26" s="62">
        <f t="shared" si="8"/>
        <v>632.52056549583176</v>
      </c>
      <c r="BI26" s="62">
        <f ca="1">AVERAGE(OFFSET($BH$3,0,0,'Données projet'!$E$11+1,1))-AVERAGE(OFFSET($H$3,0,0,'Données projet'!$E$11+1,1))</f>
        <v>376.38993452481719</v>
      </c>
      <c r="BJ26" s="62">
        <f t="shared" si="38"/>
        <v>470.10036612616727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>
        <f>VLOOKUP(A26,'Données projet'!$A$113:$I$133,2,0)</f>
        <v>215</v>
      </c>
      <c r="BW26" s="13">
        <f>VLOOKUP(A26,'Données projet'!$A$113:$I$133,9,0)</f>
        <v>17.8</v>
      </c>
      <c r="BX26" s="13">
        <f t="array" ref="BX26">INDEX(BW:BW,MIN(IF(ISNUMBER(BW26:BW222),ROW(BW26:BW222),"")))</f>
        <v>17.8</v>
      </c>
      <c r="BY26" s="13">
        <f>IF('Données projet'!$A$114&gt;35,BY25+BX26-CG25,IF(A26&lt;'Données projet'!$A$114,$BV$205^A26,IF(A26='Données projet'!$A$114,'Données projet'!$B$114,BY25+BX26-CG25)))</f>
        <v>215.00000000000003</v>
      </c>
      <c r="BZ26" s="14">
        <f>BY26*VLOOKUP('Données projet'!$B$12,Paramètres!$A$1:$I$89,3,0)*VLOOKUP('Données projet'!$B$12,Paramètres!$A$1:$I$89,5,0)</f>
        <v>128.57000000000002</v>
      </c>
      <c r="CA26" s="14">
        <f t="shared" si="39"/>
        <v>33.665715905233277</v>
      </c>
      <c r="CB26" s="22">
        <f t="shared" si="10"/>
        <v>282.56053853494797</v>
      </c>
      <c r="CC26" s="62">
        <f t="shared" si="11"/>
        <v>575.89387186828128</v>
      </c>
      <c r="CD26" s="62">
        <f ca="1">AVERAGE(OFFSET($CC$3,0,0,'Données projet'!$E$12+1,1))-AVERAGE(OFFSET($H$3,0,0,'Données projet'!$E$12+1,1))</f>
        <v>152.56843845628913</v>
      </c>
      <c r="CE26" s="62">
        <f t="shared" si="40"/>
        <v>311.82523951987685</v>
      </c>
      <c r="CF26" s="16">
        <f>IF(ISNA(VLOOKUP(A26,'Données projet'!$A$113:$I$133,3,0)),0,VLOOKUP(A26,'Données projet'!$A$113:$I$133,3,0))</f>
        <v>3</v>
      </c>
      <c r="CG26" s="16">
        <f>IF(ISNA(VLOOKUP(A26,'Données projet'!$A$113:$I$133,4,0)),0,VLOOKUP(A26,'Données projet'!$A$113:$I$133,4,0))</f>
        <v>52</v>
      </c>
      <c r="CH26" s="17">
        <f>IF(ISNA(VLOOKUP(A26,'Données projet'!$A$113:$I$133,5,0)),0%,VLOOKUP(A26,'Données projet'!$A$113:$I$133,5,0)*VLOOKUP('Données projet'!$B$12,Paramètres!$A$1:$I$89,7,0))</f>
        <v>0.22500000000000001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0.5</v>
      </c>
      <c r="CK26" s="23">
        <f>EXP(-LN(2)/35)*CK25+(1-EXP(-LN(2)/35))/(LN(2)/35)*CG26*CH26*VLOOKUP('Données projet'!$B$12,Paramètres!$A$1:$I$89,3,0)*0.475*44/12</f>
        <v>12.514679574103097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21.787120284157577</v>
      </c>
      <c r="CN26" s="24">
        <f t="shared" si="12"/>
        <v>34.301799858260672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13.740480000000009</v>
      </c>
      <c r="D27" s="12">
        <f t="shared" si="32"/>
        <v>4.6675668584990078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142.09720381999242</v>
      </c>
      <c r="H27" s="70">
        <f t="shared" si="1"/>
        <v>325.39401494521911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9.1999999999999993</v>
      </c>
      <c r="N27" s="14">
        <f>IF('Données projet'!$A$36&gt;35,N26+M27-V26,IF(A27&lt;'Données projet'!$A$36,$K$205^A27,IF(A27='Données projet'!$A$36,'Données projet'!$B$36,N26+M27-V26)))</f>
        <v>194.79999999999995</v>
      </c>
      <c r="O27" s="14">
        <f>N27*VLOOKUP('Données projet'!$B$9,Paramètres!$A$1:$I$89,3,0)*VLOOKUP('Données projet'!$B$9,Paramètres!$A$1:$I$89,5,0)</f>
        <v>91.166399999999982</v>
      </c>
      <c r="P27" s="14">
        <f t="shared" si="33"/>
        <v>24.846321420979159</v>
      </c>
      <c r="Q27" s="22">
        <f t="shared" si="2"/>
        <v>202.05548980820535</v>
      </c>
      <c r="R27" s="62">
        <f t="shared" si="0"/>
        <v>495.38882314153864</v>
      </c>
      <c r="S27" s="62">
        <f ca="1">AVERAGE(OFFSET($R$3,0,0,'Données projet'!$E$9+1,1))-AVERAGE(OFFSET($H$3,0,0,'Données projet'!$E$9+1,1))</f>
        <v>300.81172286376216</v>
      </c>
      <c r="T27" s="62">
        <f t="shared" si="34"/>
        <v>217.90654346456347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12.333333333333334</v>
      </c>
      <c r="AI27" s="14">
        <f>IF('Données projet'!$A$62&gt;35,AI26+AH27-AQ26,IF(A27&lt;'Données projet'!$A$62,$AF$205^A27,IF(A27='Données projet'!$A$62,'Données projet'!$B$62,AI26+AH27-AQ26)))</f>
        <v>131.66666666666669</v>
      </c>
      <c r="AJ27" s="14">
        <f>AI27*VLOOKUP('Données projet'!$B$10,Paramètres!$A$1:$I$89,3,0)*VLOOKUP('Données projet'!$B$10,Paramètres!$A$1:$I$89,5,0)</f>
        <v>78.736666666666679</v>
      </c>
      <c r="AK27" s="14">
        <f t="shared" si="35"/>
        <v>21.828006984037064</v>
      </c>
      <c r="AL27" s="22">
        <f t="shared" si="4"/>
        <v>175.15013994164235</v>
      </c>
      <c r="AM27" s="62">
        <f t="shared" si="5"/>
        <v>468.48347327497567</v>
      </c>
      <c r="AN27" s="62">
        <f ca="1">AVERAGE(OFFSET($AM$3,0,0,'Données projet'!$E$10+1,1))-AVERAGE(OFFSET($H$3,0,0,'Données projet'!$E$10+1,1))</f>
        <v>279.33945837918748</v>
      </c>
      <c r="AO27" s="62">
        <f t="shared" si="36"/>
        <v>215.78305328671854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5.416599311366614</v>
      </c>
      <c r="AX27" s="23">
        <f t="shared" si="6"/>
        <v>5.416599311366614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28.833333333333332</v>
      </c>
      <c r="BD27" s="13">
        <f>IF('Données projet'!$A$88&gt;35,BD26+BC27-BL26,IF(A27&lt;'Données projet'!$A$88,$BA$205^A27,IF(A27='Données projet'!$A$88,'Données projet'!$B$88,BD26+BC27-BL26)))</f>
        <v>306.16666666666669</v>
      </c>
      <c r="BE27" s="14">
        <f>BD27*VLOOKUP('Données projet'!$B$11,Paramètres!$A$1:$I$89,3,0)*VLOOKUP('Données projet'!$B$11,Paramètres!$A$1:$I$89,5,0)</f>
        <v>171.14716666666669</v>
      </c>
      <c r="BF27" s="14">
        <f t="shared" si="37"/>
        <v>43.346850105371793</v>
      </c>
      <c r="BG27" s="22">
        <f t="shared" si="7"/>
        <v>373.57707921130037</v>
      </c>
      <c r="BH27" s="62">
        <f t="shared" si="8"/>
        <v>666.91041254463369</v>
      </c>
      <c r="BI27" s="62">
        <f ca="1">AVERAGE(OFFSET($BH$3,0,0,'Données projet'!$E$11+1,1))-AVERAGE(OFFSET($H$3,0,0,'Données projet'!$E$11+1,1))</f>
        <v>376.38993452481719</v>
      </c>
      <c r="BJ27" s="62">
        <f t="shared" si="38"/>
        <v>470.10036612616727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15.142857142857142</v>
      </c>
      <c r="BY27" s="13">
        <f>IF('Données projet'!$A$114&gt;35,BY26+BX27-CG26,IF(A27&lt;'Données projet'!$A$114,$BV$205^A27,IF(A27='Données projet'!$A$114,'Données projet'!$B$114,BY26+BX27-CG26)))</f>
        <v>178.14285714285717</v>
      </c>
      <c r="BZ27" s="14">
        <f>BY27*VLOOKUP('Données projet'!$B$12,Paramètres!$A$1:$I$89,3,0)*VLOOKUP('Données projet'!$B$12,Paramètres!$A$1:$I$89,5,0)</f>
        <v>106.5294285714286</v>
      </c>
      <c r="CA27" s="14">
        <f t="shared" si="39"/>
        <v>28.511771457031461</v>
      </c>
      <c r="CB27" s="22">
        <f t="shared" si="10"/>
        <v>235.19675671623455</v>
      </c>
      <c r="CC27" s="62">
        <f t="shared" si="11"/>
        <v>528.53009004956789</v>
      </c>
      <c r="CD27" s="62">
        <f ca="1">AVERAGE(OFFSET($CC$3,0,0,'Données projet'!$E$12+1,1))-AVERAGE(OFFSET($H$3,0,0,'Données projet'!$E$12+1,1))</f>
        <v>152.56843845628913</v>
      </c>
      <c r="CE27" s="62">
        <f t="shared" si="40"/>
        <v>311.82523951987685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12.269274340855759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15.405820495454805</v>
      </c>
      <c r="CN27" s="24">
        <f t="shared" si="12"/>
        <v>27.675094836310564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14.313000000000009</v>
      </c>
      <c r="D28" s="12">
        <f t="shared" si="32"/>
        <v>4.8390007120171736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147.84000549627299</v>
      </c>
      <c r="H28" s="70">
        <f t="shared" si="1"/>
        <v>326.68973457342992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9.1999999999999993</v>
      </c>
      <c r="N28" s="14">
        <f>IF('Données projet'!$A$36&gt;35,N27+M28-V27,IF(A28&lt;'Données projet'!$A$36,$K$205^A28,IF(A28='Données projet'!$A$36,'Données projet'!$B$36,N27+M28-V27)))</f>
        <v>203.99999999999994</v>
      </c>
      <c r="O28" s="14">
        <f>N28*VLOOKUP('Données projet'!$B$9,Paramètres!$A$1:$I$89,3,0)*VLOOKUP('Données projet'!$B$9,Paramètres!$A$1:$I$89,5,0)</f>
        <v>95.47199999999998</v>
      </c>
      <c r="P28" s="14">
        <f t="shared" si="33"/>
        <v>25.880372123231144</v>
      </c>
      <c r="Q28" s="22">
        <f t="shared" si="2"/>
        <v>211.35538144796087</v>
      </c>
      <c r="R28" s="62">
        <f t="shared" si="0"/>
        <v>504.68871478129415</v>
      </c>
      <c r="S28" s="62">
        <f ca="1">AVERAGE(OFFSET($R$3,0,0,'Données projet'!$E$9+1,1))-AVERAGE(OFFSET($H$3,0,0,'Données projet'!$E$9+1,1))</f>
        <v>300.81172286376216</v>
      </c>
      <c r="T28" s="62">
        <f t="shared" si="34"/>
        <v>217.90654346456347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144</v>
      </c>
      <c r="AG28" s="13">
        <f>VLOOKUP(A28,'Données projet'!$A$61:$I$81,9,0)</f>
        <v>12.333333333333334</v>
      </c>
      <c r="AH28" s="13">
        <f t="array" ref="AH28">INDEX(AG:AG,MIN(IF(ISNUMBER(AG28:AG224),ROW(AG28:AG224),"")))</f>
        <v>12.333333333333334</v>
      </c>
      <c r="AI28" s="14">
        <f>IF('Données projet'!$A$62&gt;35,AI27+AH28-AQ27,IF(A28&lt;'Données projet'!$A$62,$AF$205^A28,IF(A28='Données projet'!$A$62,'Données projet'!$B$62,AI27+AH28-AQ27)))</f>
        <v>144.00000000000003</v>
      </c>
      <c r="AJ28" s="14">
        <f>AI28*VLOOKUP('Données projet'!$B$10,Paramètres!$A$1:$I$89,3,0)*VLOOKUP('Données projet'!$B$10,Paramètres!$A$1:$I$89,5,0)</f>
        <v>86.112000000000009</v>
      </c>
      <c r="AK28" s="14">
        <f t="shared" si="35"/>
        <v>23.625136642852297</v>
      </c>
      <c r="AL28" s="22">
        <f t="shared" si="4"/>
        <v>191.12551298630106</v>
      </c>
      <c r="AM28" s="62">
        <f t="shared" si="5"/>
        <v>484.4588463196344</v>
      </c>
      <c r="AN28" s="62">
        <f ca="1">AVERAGE(OFFSET($AM$3,0,0,'Données projet'!$E$10+1,1))-AVERAGE(OFFSET($H$3,0,0,'Données projet'!$E$10+1,1))</f>
        <v>279.33945837918748</v>
      </c>
      <c r="AO28" s="62">
        <f t="shared" si="36"/>
        <v>215.78305328671854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17</v>
      </c>
      <c r="AR28" s="17">
        <f>IF(ISNA(VLOOKUP(A28,'Données projet'!$A$61:$I$81,5,0)),0%,VLOOKUP(A28,'Données projet'!$A$61:$I$81,5,0)*VLOOKUP('Données projet'!$B$10,Paramètres!$A$1:$I$89,7,0))</f>
        <v>9.0000000000000011E-2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0.8</v>
      </c>
      <c r="AU28" s="23">
        <f>EXP(-LN(2)/35)*AU27+(1-EXP(-LN(2)/35))/(LN(2)/35)*AQ28*AR28*VLOOKUP('Données projet'!$B$10,Paramètres!$A$1:$I$89,3,0)*0.475*44/12</f>
        <v>1.2137268828598531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13.038332933360959</v>
      </c>
      <c r="AX28" s="23">
        <f t="shared" si="6"/>
        <v>14.252059816220811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335</v>
      </c>
      <c r="BB28" s="13">
        <f>VLOOKUP(A28,'Données projet'!$A$87:$I$107,9,0)</f>
        <v>28.833333333333332</v>
      </c>
      <c r="BC28" s="13">
        <f t="array" ref="BC28">INDEX(BB:BB,MIN(IF(ISNUMBER(BB28:BB224),ROW(BB28:BB224),"")))</f>
        <v>28.833333333333332</v>
      </c>
      <c r="BD28" s="13">
        <f>IF('Données projet'!$A$88&gt;35,BD27+BC28-BL27,IF(A28&lt;'Données projet'!$A$88,$BA$205^A28,IF(A28='Données projet'!$A$88,'Données projet'!$B$88,BD27+BC28-BL27)))</f>
        <v>335</v>
      </c>
      <c r="BE28" s="14">
        <f>BD28*VLOOKUP('Données projet'!$B$11,Paramètres!$A$1:$I$89,3,0)*VLOOKUP('Données projet'!$B$11,Paramètres!$A$1:$I$89,5,0)</f>
        <v>187.26500000000001</v>
      </c>
      <c r="BF28" s="14">
        <f t="shared" si="37"/>
        <v>46.934773872544483</v>
      </c>
      <c r="BG28" s="22">
        <f t="shared" si="7"/>
        <v>407.89793949468162</v>
      </c>
      <c r="BH28" s="62">
        <f t="shared" si="8"/>
        <v>701.23127282801488</v>
      </c>
      <c r="BI28" s="62">
        <f ca="1">AVERAGE(OFFSET($BH$3,0,0,'Données projet'!$E$11+1,1))-AVERAGE(OFFSET($H$3,0,0,'Données projet'!$E$11+1,1))</f>
        <v>376.38993452481719</v>
      </c>
      <c r="BJ28" s="62">
        <f t="shared" si="38"/>
        <v>470.10036612616727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54</v>
      </c>
      <c r="BM28" s="17">
        <f>IF(ISNA(VLOOKUP(A28,'Données projet'!$A$87:$I$107,5,0)),0%,VLOOKUP(A28,'Données projet'!$A$87:$I$107,5,0)*VLOOKUP('Données projet'!$B$11,Paramètres!$A$1:$I$89,7,0))</f>
        <v>0.13750000000000001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0.75</v>
      </c>
      <c r="BP28" s="23">
        <f>EXP(-LN(2)/35)*BP27+(1-EXP(-LN(2)/35))/(LN(2)/35)*BL28*BM28*VLOOKUP('Données projet'!$B$11,Paramètres!$A$1:$I$89,3,0)*0.475*44/12</f>
        <v>5.5060052646359701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25.633173099850424</v>
      </c>
      <c r="BS28" s="24">
        <f t="shared" si="9"/>
        <v>31.139178364486394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15.142857142857142</v>
      </c>
      <c r="BY28" s="13">
        <f>IF('Données projet'!$A$114&gt;35,BY27+BX28-CG27,IF(A28&lt;'Données projet'!$A$114,$BV$205^A28,IF(A28='Données projet'!$A$114,'Données projet'!$B$114,BY27+BX28-CG27)))</f>
        <v>193.28571428571431</v>
      </c>
      <c r="BZ28" s="14">
        <f>BY28*VLOOKUP('Données projet'!$B$12,Paramètres!$A$1:$I$89,3,0)*VLOOKUP('Données projet'!$B$12,Paramètres!$A$1:$I$89,5,0)</f>
        <v>115.58485714285716</v>
      </c>
      <c r="CA28" s="14">
        <f t="shared" si="39"/>
        <v>30.643003864758004</v>
      </c>
      <c r="CB28" s="22">
        <f t="shared" si="10"/>
        <v>254.68019125492972</v>
      </c>
      <c r="CC28" s="62">
        <f t="shared" si="11"/>
        <v>548.01352458826307</v>
      </c>
      <c r="CD28" s="62">
        <f ca="1">AVERAGE(OFFSET($CC$3,0,0,'Données projet'!$E$12+1,1))-AVERAGE(OFFSET($H$3,0,0,'Données projet'!$E$12+1,1))</f>
        <v>152.56843845628913</v>
      </c>
      <c r="CE28" s="62">
        <f t="shared" si="40"/>
        <v>311.82523951987685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12.02868135454999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10.89356014207879</v>
      </c>
      <c r="CN28" s="24">
        <f t="shared" si="12"/>
        <v>22.922241496628779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14.88552000000001</v>
      </c>
      <c r="D29" s="12">
        <f t="shared" si="32"/>
        <v>5.0096380004889403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153.5766582493884</v>
      </c>
      <c r="H29" s="70">
        <f t="shared" si="1"/>
        <v>327.98406685085155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213.19999999999993</v>
      </c>
      <c r="O29" s="14">
        <f>N29*VLOOKUP('Données projet'!$B$9,Paramètres!$A$1:$I$89,3,0)*VLOOKUP('Données projet'!$B$9,Paramètres!$A$1:$I$89,5,0)</f>
        <v>99.777599999999964</v>
      </c>
      <c r="P29" s="14">
        <f t="shared" si="33"/>
        <v>26.909006951444532</v>
      </c>
      <c r="Q29" s="22">
        <f t="shared" si="2"/>
        <v>220.64584044043249</v>
      </c>
      <c r="R29" s="62">
        <f t="shared" si="0"/>
        <v>513.97917377376575</v>
      </c>
      <c r="S29" s="62">
        <f ca="1">AVERAGE(OFFSET($R$3,0,0,'Données projet'!$E$9+1,1))-AVERAGE(OFFSET($H$3,0,0,'Données projet'!$E$9+1,1))</f>
        <v>300.81172286376216</v>
      </c>
      <c r="T29" s="62">
        <f t="shared" si="34"/>
        <v>217.90654346456347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13.4</v>
      </c>
      <c r="AI29" s="14">
        <f>IF('Données projet'!$A$62&gt;35,AI28+AH29-AQ28,IF(A29&lt;'Données projet'!$A$62,$AF$205^A29,IF(A29='Données projet'!$A$62,'Données projet'!$B$62,AI28+AH29-AQ28)))</f>
        <v>140.40000000000003</v>
      </c>
      <c r="AJ29" s="14">
        <f>AI29*VLOOKUP('Données projet'!$B$10,Paramètres!$A$1:$I$89,3,0)*VLOOKUP('Données projet'!$B$10,Paramètres!$A$1:$I$89,5,0)</f>
        <v>83.959200000000024</v>
      </c>
      <c r="AK29" s="14">
        <f t="shared" si="35"/>
        <v>23.102490880810642</v>
      </c>
      <c r="AL29" s="22">
        <f t="shared" si="4"/>
        <v>186.46577828407854</v>
      </c>
      <c r="AM29" s="62">
        <f t="shared" si="5"/>
        <v>479.79911161741188</v>
      </c>
      <c r="AN29" s="62">
        <f ca="1">AVERAGE(OFFSET($AM$3,0,0,'Données projet'!$E$10+1,1))-AVERAGE(OFFSET($H$3,0,0,'Données projet'!$E$10+1,1))</f>
        <v>279.33945837918748</v>
      </c>
      <c r="AO29" s="62">
        <f t="shared" si="36"/>
        <v>215.78305328671854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1.1899264389872712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9.2194936325474242</v>
      </c>
      <c r="AX29" s="23">
        <f t="shared" si="6"/>
        <v>10.409420071534695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28</v>
      </c>
      <c r="BD29" s="13">
        <f>IF('Données projet'!$A$88&gt;35,BD28+BC29-BL28,IF(A29&lt;'Données projet'!$A$88,$BA$205^A29,IF(A29='Données projet'!$A$88,'Données projet'!$B$88,BD28+BC29-BL28)))</f>
        <v>309</v>
      </c>
      <c r="BE29" s="14">
        <f>BD29*VLOOKUP('Données projet'!$B$11,Paramètres!$A$1:$I$89,3,0)*VLOOKUP('Données projet'!$B$11,Paramètres!$A$1:$I$89,5,0)</f>
        <v>172.73100000000002</v>
      </c>
      <c r="BF29" s="14">
        <f t="shared" si="37"/>
        <v>43.701108252019125</v>
      </c>
      <c r="BG29" s="22">
        <f t="shared" si="7"/>
        <v>376.9525885389333</v>
      </c>
      <c r="BH29" s="62">
        <f t="shared" si="8"/>
        <v>670.28592187226661</v>
      </c>
      <c r="BI29" s="62">
        <f ca="1">AVERAGE(OFFSET($BH$3,0,0,'Données projet'!$E$11+1,1))-AVERAGE(OFFSET($H$3,0,0,'Données projet'!$E$11+1,1))</f>
        <v>376.38993452481719</v>
      </c>
      <c r="BJ29" s="62">
        <f t="shared" si="38"/>
        <v>470.10036612616727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5.3980358597280622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18.125390522232831</v>
      </c>
      <c r="BS29" s="24">
        <f t="shared" si="9"/>
        <v>23.523426381960892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15.142857142857142</v>
      </c>
      <c r="BY29" s="13">
        <f>IF('Données projet'!$A$114&gt;35,BY28+BX29-CG28,IF(A29&lt;'Données projet'!$A$114,$BV$205^A29,IF(A29='Données projet'!$A$114,'Données projet'!$B$114,BY28+BX29-CG28)))</f>
        <v>208.42857142857144</v>
      </c>
      <c r="BZ29" s="14">
        <f>BY29*VLOOKUP('Données projet'!$B$12,Paramètres!$A$1:$I$89,3,0)*VLOOKUP('Données projet'!$B$12,Paramètres!$A$1:$I$89,5,0)</f>
        <v>124.64028571428574</v>
      </c>
      <c r="CA29" s="14">
        <f t="shared" si="39"/>
        <v>32.754868392894572</v>
      </c>
      <c r="CB29" s="22">
        <f t="shared" si="10"/>
        <v>274.129893403339</v>
      </c>
      <c r="CC29" s="62">
        <f t="shared" si="11"/>
        <v>567.46322673667237</v>
      </c>
      <c r="CD29" s="62">
        <f ca="1">AVERAGE(OFFSET($CC$3,0,0,'Données projet'!$E$12+1,1))-AVERAGE(OFFSET($H$3,0,0,'Données projet'!$E$12+1,1))</f>
        <v>152.56843845628913</v>
      </c>
      <c r="CE29" s="62">
        <f t="shared" si="40"/>
        <v>311.82523951987685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11.792806249958446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7.7029102477274032</v>
      </c>
      <c r="CN29" s="24">
        <f t="shared" si="12"/>
        <v>19.495716497685848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15.458040000000011</v>
      </c>
      <c r="D30" s="12">
        <f t="shared" si="32"/>
        <v>5.1795128678850961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159.3074256468324</v>
      </c>
      <c r="H30" s="70">
        <f t="shared" si="1"/>
        <v>329.27707124489984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222.39999999999992</v>
      </c>
      <c r="O30" s="14">
        <f>N30*VLOOKUP('Données projet'!$B$9,Paramètres!$A$1:$I$89,3,0)*VLOOKUP('Données projet'!$B$9,Paramètres!$A$1:$I$89,5,0)</f>
        <v>104.08319999999996</v>
      </c>
      <c r="P30" s="14">
        <f t="shared" si="33"/>
        <v>27.932486325387405</v>
      </c>
      <c r="Q30" s="22">
        <f t="shared" si="2"/>
        <v>229.92732035004965</v>
      </c>
      <c r="R30" s="62">
        <f t="shared" si="0"/>
        <v>523.260653683383</v>
      </c>
      <c r="S30" s="62">
        <f ca="1">AVERAGE(OFFSET($R$3,0,0,'Données projet'!$E$9+1,1))-AVERAGE(OFFSET($H$3,0,0,'Données projet'!$E$9+1,1))</f>
        <v>300.81172286376216</v>
      </c>
      <c r="T30" s="62">
        <f t="shared" si="34"/>
        <v>217.90654346456347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13.4</v>
      </c>
      <c r="AI30" s="14">
        <f>IF('Données projet'!$A$62&gt;35,AI29+AH30-AQ29,IF(A30&lt;'Données projet'!$A$62,$AF$205^A30,IF(A30='Données projet'!$A$62,'Données projet'!$B$62,AI29+AH30-AQ29)))</f>
        <v>153.80000000000004</v>
      </c>
      <c r="AJ30" s="14">
        <f>AI30*VLOOKUP('Données projet'!$B$10,Paramètres!$A$1:$I$89,3,0)*VLOOKUP('Données projet'!$B$10,Paramètres!$A$1:$I$89,5,0)</f>
        <v>91.972400000000022</v>
      </c>
      <c r="AK30" s="14">
        <f t="shared" si="35"/>
        <v>25.040318527820091</v>
      </c>
      <c r="AL30" s="22">
        <f t="shared" si="4"/>
        <v>203.79715143595334</v>
      </c>
      <c r="AM30" s="62">
        <f t="shared" si="5"/>
        <v>497.13048476928668</v>
      </c>
      <c r="AN30" s="62">
        <f ca="1">AVERAGE(OFFSET($AM$3,0,0,'Données projet'!$E$10+1,1))-AVERAGE(OFFSET($H$3,0,0,'Données projet'!$E$10+1,1))</f>
        <v>279.33945837918748</v>
      </c>
      <c r="AO30" s="62">
        <f t="shared" si="36"/>
        <v>215.78305328671854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1.1665927073021936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6.5191664666804803</v>
      </c>
      <c r="AX30" s="23">
        <f t="shared" si="6"/>
        <v>7.6857591739826736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28</v>
      </c>
      <c r="BD30" s="13">
        <f>IF('Données projet'!$A$88&gt;35,BD29+BC30-BL29,IF(A30&lt;'Données projet'!$A$88,$BA$205^A30,IF(A30='Données projet'!$A$88,'Données projet'!$B$88,BD29+BC30-BL29)))</f>
        <v>337</v>
      </c>
      <c r="BE30" s="14">
        <f>BD30*VLOOKUP('Données projet'!$B$11,Paramètres!$A$1:$I$89,3,0)*VLOOKUP('Données projet'!$B$11,Paramètres!$A$1:$I$89,5,0)</f>
        <v>188.38300000000001</v>
      </c>
      <c r="BF30" s="14">
        <f t="shared" si="37"/>
        <v>47.182279474248382</v>
      </c>
      <c r="BG30" s="22">
        <f t="shared" si="7"/>
        <v>410.27619508431599</v>
      </c>
      <c r="BH30" s="62">
        <f t="shared" si="8"/>
        <v>703.60952841764924</v>
      </c>
      <c r="BI30" s="62">
        <f ca="1">AVERAGE(OFFSET($BH$3,0,0,'Données projet'!$E$11+1,1))-AVERAGE(OFFSET($H$3,0,0,'Données projet'!$E$11+1,1))</f>
        <v>376.38993452481719</v>
      </c>
      <c r="BJ30" s="62">
        <f t="shared" si="38"/>
        <v>470.10036612616727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5.2921836689955644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12.816586549925214</v>
      </c>
      <c r="BS30" s="24">
        <f t="shared" si="9"/>
        <v>18.108770218920778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15.142857142857142</v>
      </c>
      <c r="BY30" s="13">
        <f>IF('Données projet'!$A$114&gt;35,BY29+BX30-CG29,IF(A30&lt;'Données projet'!$A$114,$BV$205^A30,IF(A30='Données projet'!$A$114,'Données projet'!$B$114,BY29+BX30-CG29)))</f>
        <v>223.57142857142858</v>
      </c>
      <c r="BZ30" s="14">
        <f>BY30*VLOOKUP('Données projet'!$B$12,Paramètres!$A$1:$I$89,3,0)*VLOOKUP('Données projet'!$B$12,Paramètres!$A$1:$I$89,5,0)</f>
        <v>133.6957142857143</v>
      </c>
      <c r="CA30" s="14">
        <f t="shared" si="39"/>
        <v>34.848932189999701</v>
      </c>
      <c r="CB30" s="22">
        <f t="shared" si="10"/>
        <v>293.54859261186851</v>
      </c>
      <c r="CC30" s="62">
        <f t="shared" si="11"/>
        <v>586.88192594520183</v>
      </c>
      <c r="CD30" s="62">
        <f ca="1">AVERAGE(OFFSET($CC$3,0,0,'Données projet'!$E$12+1,1))-AVERAGE(OFFSET($H$3,0,0,'Données projet'!$E$12+1,1))</f>
        <v>152.56843845628913</v>
      </c>
      <c r="CE30" s="62">
        <f t="shared" si="40"/>
        <v>311.82523951987685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11.561556512298333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5.4467800710393961</v>
      </c>
      <c r="CN30" s="24">
        <f t="shared" si="12"/>
        <v>17.00833658333773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16.030560000000012</v>
      </c>
      <c r="D31" s="12">
        <f t="shared" si="32"/>
        <v>5.348656785690582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165.03255062638354</v>
      </c>
      <c r="H31" s="70">
        <f t="shared" si="1"/>
        <v>330.56880256841112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231.59999999999991</v>
      </c>
      <c r="O31" s="14">
        <f>N31*VLOOKUP('Données projet'!$B$9,Paramètres!$A$1:$I$89,3,0)*VLOOKUP('Données projet'!$B$9,Paramètres!$A$1:$I$89,5,0)</f>
        <v>108.38879999999996</v>
      </c>
      <c r="P31" s="14">
        <f t="shared" si="33"/>
        <v>28.95104790024919</v>
      </c>
      <c r="Q31" s="22">
        <f t="shared" si="2"/>
        <v>239.20023509293392</v>
      </c>
      <c r="R31" s="62">
        <f t="shared" si="0"/>
        <v>532.53356842626727</v>
      </c>
      <c r="S31" s="62">
        <f ca="1">AVERAGE(OFFSET($R$3,0,0,'Données projet'!$E$9+1,1))-AVERAGE(OFFSET($H$3,0,0,'Données projet'!$E$9+1,1))</f>
        <v>300.81172286376216</v>
      </c>
      <c r="T31" s="62">
        <f t="shared" si="34"/>
        <v>217.90654346456347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13.4</v>
      </c>
      <c r="AI31" s="14">
        <f>IF('Données projet'!$A$62&gt;35,AI30+AH31-AQ30,IF(A31&lt;'Données projet'!$A$62,$AF$205^A31,IF(A31='Données projet'!$A$62,'Données projet'!$B$62,AI30+AH31-AQ30)))</f>
        <v>167.20000000000005</v>
      </c>
      <c r="AJ31" s="14">
        <f>AI31*VLOOKUP('Données projet'!$B$10,Paramètres!$A$1:$I$89,3,0)*VLOOKUP('Données projet'!$B$10,Paramètres!$A$1:$I$89,5,0)</f>
        <v>99.985600000000034</v>
      </c>
      <c r="AK31" s="14">
        <f t="shared" si="35"/>
        <v>26.958566918169435</v>
      </c>
      <c r="AL31" s="22">
        <f t="shared" si="4"/>
        <v>221.09442404914515</v>
      </c>
      <c r="AM31" s="62">
        <f t="shared" si="5"/>
        <v>514.42775738247849</v>
      </c>
      <c r="AN31" s="62">
        <f ca="1">AVERAGE(OFFSET($AM$3,0,0,'Données projet'!$E$10+1,1))-AVERAGE(OFFSET($H$3,0,0,'Données projet'!$E$10+1,1))</f>
        <v>279.33945837918748</v>
      </c>
      <c r="AO31" s="62">
        <f t="shared" si="36"/>
        <v>215.78305328671854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1.143716535863289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4.609746816273713</v>
      </c>
      <c r="AX31" s="23">
        <f t="shared" si="6"/>
        <v>5.7534633521370022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28</v>
      </c>
      <c r="BD31" s="13">
        <f>IF('Données projet'!$A$88&gt;35,BD30+BC31-BL30,IF(A31&lt;'Données projet'!$A$88,$BA$205^A31,IF(A31='Données projet'!$A$88,'Données projet'!$B$88,BD30+BC31-BL30)))</f>
        <v>365</v>
      </c>
      <c r="BE31" s="14">
        <f>BD31*VLOOKUP('Données projet'!$B$11,Paramètres!$A$1:$I$89,3,0)*VLOOKUP('Données projet'!$B$11,Paramètres!$A$1:$I$89,5,0)</f>
        <v>204.035</v>
      </c>
      <c r="BF31" s="14">
        <f t="shared" si="37"/>
        <v>50.629905099971396</v>
      </c>
      <c r="BG31" s="22">
        <f t="shared" si="7"/>
        <v>443.54137638245015</v>
      </c>
      <c r="BH31" s="62">
        <f t="shared" si="8"/>
        <v>736.87470971578341</v>
      </c>
      <c r="BI31" s="62">
        <f ca="1">AVERAGE(OFFSET($BH$3,0,0,'Données projet'!$E$11+1,1))-AVERAGE(OFFSET($H$3,0,0,'Données projet'!$E$11+1,1))</f>
        <v>376.38993452481719</v>
      </c>
      <c r="BJ31" s="62">
        <f t="shared" si="38"/>
        <v>470.10036612616727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5.1884071751598695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9.0626952611164171</v>
      </c>
      <c r="BS31" s="24">
        <f t="shared" si="9"/>
        <v>14.251102436276287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15.142857142857142</v>
      </c>
      <c r="BY31" s="13">
        <f>IF('Données projet'!$A$114&gt;35,BY30+BX31-CG30,IF(A31&lt;'Données projet'!$A$114,$BV$205^A31,IF(A31='Données projet'!$A$114,'Données projet'!$B$114,BY30+BX31-CG30)))</f>
        <v>238.71428571428572</v>
      </c>
      <c r="BZ31" s="14">
        <f>BY31*VLOOKUP('Données projet'!$B$12,Paramètres!$A$1:$I$89,3,0)*VLOOKUP('Données projet'!$B$12,Paramètres!$A$1:$I$89,5,0)</f>
        <v>142.75114285714287</v>
      </c>
      <c r="CA31" s="14">
        <f t="shared" si="39"/>
        <v>36.926538099571019</v>
      </c>
      <c r="CB31" s="22">
        <f t="shared" si="10"/>
        <v>312.93862766627666</v>
      </c>
      <c r="CC31" s="62">
        <f t="shared" si="11"/>
        <v>606.27196099960997</v>
      </c>
      <c r="CD31" s="62">
        <f ca="1">AVERAGE(OFFSET($CC$3,0,0,'Données projet'!$E$12+1,1))-AVERAGE(OFFSET($H$3,0,0,'Données projet'!$E$12+1,1))</f>
        <v>152.56843845628913</v>
      </c>
      <c r="CE31" s="62">
        <f t="shared" si="40"/>
        <v>311.82523951987685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11.334841440945322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3.8514551238637025</v>
      </c>
      <c r="CN31" s="24">
        <f t="shared" si="12"/>
        <v>15.186296564809025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16.603080000000013</v>
      </c>
      <c r="D32" s="12">
        <f t="shared" si="32"/>
        <v>5.5170988499939355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170.75225778942698</v>
      </c>
      <c r="H32" s="70">
        <f t="shared" si="1"/>
        <v>331.85931149707278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240.7999999999999</v>
      </c>
      <c r="O32" s="14">
        <f>N32*VLOOKUP('Données projet'!$B$9,Paramètres!$A$1:$I$89,3,0)*VLOOKUP('Données projet'!$B$9,Paramètres!$A$1:$I$89,5,0)</f>
        <v>112.69439999999994</v>
      </c>
      <c r="P32" s="14">
        <f t="shared" si="33"/>
        <v>29.964909381330607</v>
      </c>
      <c r="Q32" s="22">
        <f t="shared" si="2"/>
        <v>248.46496383915073</v>
      </c>
      <c r="R32" s="62">
        <f t="shared" si="0"/>
        <v>541.79829717248401</v>
      </c>
      <c r="S32" s="62">
        <f ca="1">AVERAGE(OFFSET($R$3,0,0,'Données projet'!$E$9+1,1))-AVERAGE(OFFSET($H$3,0,0,'Données projet'!$E$9+1,1))</f>
        <v>300.81172286376216</v>
      </c>
      <c r="T32" s="62">
        <f t="shared" si="34"/>
        <v>217.90654346456347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13.4</v>
      </c>
      <c r="AI32" s="14">
        <f>IF('Données projet'!$A$62&gt;35,AI31+AH32-AQ31,IF(A32&lt;'Données projet'!$A$62,$AF$205^A32,IF(A32='Données projet'!$A$62,'Données projet'!$B$62,AI31+AH32-AQ31)))</f>
        <v>180.60000000000005</v>
      </c>
      <c r="AJ32" s="14">
        <f>AI32*VLOOKUP('Données projet'!$B$10,Paramètres!$A$1:$I$89,3,0)*VLOOKUP('Données projet'!$B$10,Paramètres!$A$1:$I$89,5,0)</f>
        <v>107.99880000000003</v>
      </c>
      <c r="AK32" s="14">
        <f t="shared" si="35"/>
        <v>28.85898360070161</v>
      </c>
      <c r="AL32" s="22">
        <f t="shared" si="4"/>
        <v>238.36063977122203</v>
      </c>
      <c r="AM32" s="62">
        <f t="shared" si="5"/>
        <v>531.69397310455531</v>
      </c>
      <c r="AN32" s="62">
        <f ca="1">AVERAGE(OFFSET($AM$3,0,0,'Données projet'!$E$10+1,1))-AVERAGE(OFFSET($H$3,0,0,'Données projet'!$E$10+1,1))</f>
        <v>279.33945837918748</v>
      </c>
      <c r="AO32" s="62">
        <f t="shared" si="36"/>
        <v>215.78305328671854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1.1212889521932148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3.2595832333402406</v>
      </c>
      <c r="AX32" s="23">
        <f t="shared" si="6"/>
        <v>4.3808721855334554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28</v>
      </c>
      <c r="BD32" s="13">
        <f>IF('Données projet'!$A$88&gt;35,BD31+BC32-BL31,IF(A32&lt;'Données projet'!$A$88,$BA$205^A32,IF(A32='Données projet'!$A$88,'Données projet'!$B$88,BD31+BC32-BL31)))</f>
        <v>393</v>
      </c>
      <c r="BE32" s="14">
        <f>BD32*VLOOKUP('Données projet'!$B$11,Paramètres!$A$1:$I$89,3,0)*VLOOKUP('Données projet'!$B$11,Paramètres!$A$1:$I$89,5,0)</f>
        <v>219.68700000000001</v>
      </c>
      <c r="BF32" s="14">
        <f t="shared" si="37"/>
        <v>54.046851081096591</v>
      </c>
      <c r="BG32" s="22">
        <f t="shared" si="7"/>
        <v>476.75312396624321</v>
      </c>
      <c r="BH32" s="62">
        <f t="shared" si="8"/>
        <v>770.08645729957652</v>
      </c>
      <c r="BI32" s="62">
        <f ca="1">AVERAGE(OFFSET($BH$3,0,0,'Données projet'!$E$11+1,1))-AVERAGE(OFFSET($H$3,0,0,'Données projet'!$E$11+1,1))</f>
        <v>376.38993452481719</v>
      </c>
      <c r="BJ32" s="62">
        <f t="shared" si="38"/>
        <v>470.10036612616727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5.0866656750708819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6.4082932749626078</v>
      </c>
      <c r="BS32" s="24">
        <f t="shared" si="9"/>
        <v>11.494958950033489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15.142857142857142</v>
      </c>
      <c r="BY32" s="13">
        <f>IF('Données projet'!$A$114&gt;35,BY31+BX32-CG31,IF(A32&lt;'Données projet'!$A$114,$BV$205^A32,IF(A32='Données projet'!$A$114,'Données projet'!$B$114,BY31+BX32-CG31)))</f>
        <v>253.85714285714286</v>
      </c>
      <c r="BZ32" s="14">
        <f>BY32*VLOOKUP('Données projet'!$B$12,Paramètres!$A$1:$I$89,3,0)*VLOOKUP('Données projet'!$B$12,Paramètres!$A$1:$I$89,5,0)</f>
        <v>151.80657142857146</v>
      </c>
      <c r="CA32" s="14">
        <f t="shared" si="39"/>
        <v>38.988848967460292</v>
      </c>
      <c r="CB32" s="22">
        <f t="shared" si="10"/>
        <v>332.30202385642195</v>
      </c>
      <c r="CC32" s="62">
        <f t="shared" si="11"/>
        <v>625.63535718975527</v>
      </c>
      <c r="CD32" s="62">
        <f ca="1">AVERAGE(OFFSET($CC$3,0,0,'Données projet'!$E$12+1,1))-AVERAGE(OFFSET($H$3,0,0,'Données projet'!$E$12+1,1))</f>
        <v>152.56843845628913</v>
      </c>
      <c r="CE32" s="62">
        <f t="shared" si="40"/>
        <v>311.82523951987685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11.112572113859004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2.7233900355196985</v>
      </c>
      <c r="CN32" s="24">
        <f t="shared" si="12"/>
        <v>13.835962149378702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17.175600000000014</v>
      </c>
      <c r="D33" s="12">
        <f t="shared" si="32"/>
        <v>5.6848660364476356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176.46675536906957</v>
      </c>
      <c r="H33" s="70">
        <f t="shared" si="1"/>
        <v>333.14864501347961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250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249.99999999999989</v>
      </c>
      <c r="O33" s="14">
        <f>N33*VLOOKUP('Données projet'!$B$9,Paramètres!$A$1:$I$89,3,0)*VLOOKUP('Données projet'!$B$9,Paramètres!$A$1:$I$89,5,0)</f>
        <v>116.99999999999994</v>
      </c>
      <c r="P33" s="14">
        <f t="shared" si="33"/>
        <v>30.974270896484118</v>
      </c>
      <c r="Q33" s="22">
        <f t="shared" si="2"/>
        <v>257.72185514470976</v>
      </c>
      <c r="R33" s="62">
        <f t="shared" si="0"/>
        <v>551.05518847804308</v>
      </c>
      <c r="S33" s="62">
        <f ca="1">AVERAGE(OFFSET($R$3,0,0,'Données projet'!$E$9+1,1))-AVERAGE(OFFSET($H$3,0,0,'Données projet'!$E$9+1,1))</f>
        <v>300.81172286376216</v>
      </c>
      <c r="T33" s="62">
        <f t="shared" si="34"/>
        <v>217.90654346456347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0.38500000000000001</v>
      </c>
      <c r="X33" s="17">
        <f>IF(ISNA(VLOOKUP(A33,'Données projet'!$A$35:$I$55,6,0)),0%,VLOOKUP(A33,'Données projet'!$A$35:$I$55,6,0)*VLOOKUP('Données projet'!$B$9,Paramètres!$A$1:$I$89,7,0))</f>
        <v>8.2500000000000004E-2</v>
      </c>
      <c r="Y33" s="17">
        <f>IF(ISNA(VLOOKUP(A33,'Données projet'!$A$35:$I$55,7,0)),0%,VLOOKUP(A33,'Données projet'!$A$35:$I$55,7,0))</f>
        <v>0.15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194</v>
      </c>
      <c r="AG33" s="13">
        <f>VLOOKUP(A33,'Données projet'!$A$61:$I$81,9,0)</f>
        <v>13.4</v>
      </c>
      <c r="AH33" s="13">
        <f t="array" ref="AH33">INDEX(AG:AG,MIN(IF(ISNUMBER(AG33:AG229),ROW(AG33:AG229),"")))</f>
        <v>13.4</v>
      </c>
      <c r="AI33" s="14">
        <f>IF('Données projet'!$A$62&gt;35,AI32+AH33-AQ32,IF(A33&lt;'Données projet'!$A$62,$AF$205^A33,IF(A33='Données projet'!$A$62,'Données projet'!$B$62,AI32+AH33-AQ32)))</f>
        <v>194.00000000000006</v>
      </c>
      <c r="AJ33" s="14">
        <f>AI33*VLOOKUP('Données projet'!$B$10,Paramètres!$A$1:$I$89,3,0)*VLOOKUP('Données projet'!$B$10,Paramètres!$A$1:$I$89,5,0)</f>
        <v>116.01200000000003</v>
      </c>
      <c r="AK33" s="14">
        <f t="shared" si="35"/>
        <v>30.743042086238173</v>
      </c>
      <c r="AL33" s="22">
        <f t="shared" si="4"/>
        <v>255.59836496686489</v>
      </c>
      <c r="AM33" s="62">
        <f t="shared" si="5"/>
        <v>548.93169830019815</v>
      </c>
      <c r="AN33" s="62">
        <f ca="1">AVERAGE(OFFSET($AM$3,0,0,'Données projet'!$E$10+1,1))-AVERAGE(OFFSET($H$3,0,0,'Données projet'!$E$10+1,1))</f>
        <v>279.33945837918748</v>
      </c>
      <c r="AO33" s="62">
        <f t="shared" si="36"/>
        <v>215.78305328671854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34</v>
      </c>
      <c r="AR33" s="17">
        <f>IF(ISNA(VLOOKUP(A33,'Données projet'!$A$61:$I$81,5,0)),0%,VLOOKUP(A33,'Données projet'!$A$61:$I$81,5,0)*VLOOKUP('Données projet'!$B$10,Paramètres!$A$1:$I$89,7,0))</f>
        <v>0.18000000000000002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0.6</v>
      </c>
      <c r="AU33" s="23">
        <f>EXP(-LN(2)/35)*AU32+(1-EXP(-LN(2)/35))/(LN(2)/35)*AQ33*AR33*VLOOKUP('Données projet'!$B$10,Paramètres!$A$1:$I$89,3,0)*0.475*44/12</f>
        <v>5.9542086911988479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16.117201652121722</v>
      </c>
      <c r="AX33" s="23">
        <f t="shared" si="6"/>
        <v>22.071410343320569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421</v>
      </c>
      <c r="BB33" s="13">
        <f>VLOOKUP(A33,'Données projet'!$A$87:$I$107,9,0)</f>
        <v>28</v>
      </c>
      <c r="BC33" s="13">
        <f t="array" ref="BC33">INDEX(BB:BB,MIN(IF(ISNUMBER(BB33:BB229),ROW(BB33:BB229),"")))</f>
        <v>28</v>
      </c>
      <c r="BD33" s="13">
        <f>IF('Données projet'!$A$88&gt;35,BD32+BC33-BL32,IF(A33&lt;'Données projet'!$A$88,$BA$205^A33,IF(A33='Données projet'!$A$88,'Données projet'!$B$88,BD32+BC33-BL32)))</f>
        <v>421</v>
      </c>
      <c r="BE33" s="14">
        <f>BD33*VLOOKUP('Données projet'!$B$11,Paramètres!$A$1:$I$89,3,0)*VLOOKUP('Données projet'!$B$11,Paramètres!$A$1:$I$89,5,0)</f>
        <v>235.339</v>
      </c>
      <c r="BF33" s="14">
        <f t="shared" si="37"/>
        <v>57.43555185051494</v>
      </c>
      <c r="BG33" s="22">
        <f t="shared" si="7"/>
        <v>509.91567780631357</v>
      </c>
      <c r="BH33" s="62">
        <f t="shared" si="8"/>
        <v>803.24901113964688</v>
      </c>
      <c r="BI33" s="62">
        <f ca="1">AVERAGE(OFFSET($BH$3,0,0,'Données projet'!$E$11+1,1))-AVERAGE(OFFSET($H$3,0,0,'Données projet'!$E$11+1,1))</f>
        <v>376.38993452481719</v>
      </c>
      <c r="BJ33" s="62">
        <f t="shared" si="38"/>
        <v>470.10036612616727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54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4.9869192637424513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4.5313476305582094</v>
      </c>
      <c r="BS33" s="24">
        <f t="shared" si="9"/>
        <v>9.5182668943006608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269</v>
      </c>
      <c r="BW33" s="13">
        <f>VLOOKUP(A33,'Données projet'!$A$113:$I$133,9,0)</f>
        <v>15.142857142857142</v>
      </c>
      <c r="BX33" s="13">
        <f t="array" ref="BX33">INDEX(BW:BW,MIN(IF(ISNUMBER(BW33:BW229),ROW(BW33:BW229),"")))</f>
        <v>15.142857142857142</v>
      </c>
      <c r="BY33" s="13">
        <f>IF('Données projet'!$A$114&gt;35,BY32+BX33-CG32,IF(A33&lt;'Données projet'!$A$114,$BV$205^A33,IF(A33='Données projet'!$A$114,'Données projet'!$B$114,BY32+BX33-CG32)))</f>
        <v>269</v>
      </c>
      <c r="BZ33" s="14">
        <f>BY33*VLOOKUP('Données projet'!$B$12,Paramètres!$A$1:$I$89,3,0)*VLOOKUP('Données projet'!$B$12,Paramètres!$A$1:$I$89,5,0)</f>
        <v>160.86200000000002</v>
      </c>
      <c r="CA33" s="14">
        <f t="shared" si="39"/>
        <v>41.03688107178359</v>
      </c>
      <c r="CB33" s="22">
        <f t="shared" si="10"/>
        <v>351.64055120002314</v>
      </c>
      <c r="CC33" s="62">
        <f t="shared" si="11"/>
        <v>644.97388453335645</v>
      </c>
      <c r="CD33" s="62">
        <f ca="1">AVERAGE(OFFSET($CC$3,0,0,'Données projet'!$E$12+1,1))-AVERAGE(OFFSET($H$3,0,0,'Données projet'!$E$12+1,1))</f>
        <v>152.56843845628913</v>
      </c>
      <c r="CE33" s="62">
        <f t="shared" si="40"/>
        <v>311.82523951987685</v>
      </c>
      <c r="CF33" s="16">
        <f>IF(ISNA(VLOOKUP(A33,'Données projet'!$A$113:$I$133,3,0)),0,VLOOKUP(A33,'Données projet'!$A$113:$I$133,3,0))</f>
        <v>4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0.22500000000000001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0.5</v>
      </c>
      <c r="CK33" s="23">
        <f>EXP(-LN(2)/35)*CK32+(1-EXP(-LN(2)/35))/(LN(2)/35)*CG33*CH33*VLOOKUP('Données projet'!$B$12,Paramètres!$A$1:$I$89,3,0)*0.475*44/12</f>
        <v>10.894661352705947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1.9257275619318515</v>
      </c>
      <c r="CN33" s="24">
        <f t="shared" si="12"/>
        <v>12.8203889146378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17.748120000000014</v>
      </c>
      <c r="D34" s="12">
        <f t="shared" si="32"/>
        <v>5.851983420278783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182.17623692846792</v>
      </c>
      <c r="H34" s="70">
        <f t="shared" si="1"/>
        <v>334.4368467903189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</v>
      </c>
      <c r="N34" s="14">
        <f>IF('Données projet'!$A$36&gt;35,N33+M34-V33,IF(A34&lt;'Données projet'!$A$36,$K$205^A34,IF(A34='Données projet'!$A$36,'Données projet'!$B$36,N33+M34-V33)))</f>
        <v>259.99999999999989</v>
      </c>
      <c r="O34" s="14">
        <f>N34*VLOOKUP('Données projet'!$B$9,Paramètres!$A$1:$I$89,3,0)*VLOOKUP('Données projet'!$B$9,Paramètres!$A$1:$I$89,5,0)</f>
        <v>121.67999999999994</v>
      </c>
      <c r="P34" s="14">
        <f t="shared" si="33"/>
        <v>32.066514091456256</v>
      </c>
      <c r="Q34" s="22">
        <f t="shared" si="2"/>
        <v>267.77517870928619</v>
      </c>
      <c r="R34" s="62">
        <f t="shared" si="0"/>
        <v>561.10851204261951</v>
      </c>
      <c r="S34" s="62">
        <f ca="1">AVERAGE(OFFSET($R$3,0,0,'Données projet'!$E$9+1,1))-AVERAGE(OFFSET($H$3,0,0,'Données projet'!$E$9+1,1))</f>
        <v>300.81172286376216</v>
      </c>
      <c r="T34" s="62">
        <f t="shared" si="34"/>
        <v>217.90654346456347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14.6</v>
      </c>
      <c r="AI34" s="14">
        <f>IF('Données projet'!$A$62&gt;35,AI33+AH34-AQ33,IF(A34&lt;'Données projet'!$A$62,$AF$205^A34,IF(A34='Données projet'!$A$62,'Données projet'!$B$62,AI33+AH34-AQ33)))</f>
        <v>174.60000000000005</v>
      </c>
      <c r="AJ34" s="14">
        <f>AI34*VLOOKUP('Données projet'!$B$10,Paramètres!$A$1:$I$89,3,0)*VLOOKUP('Données projet'!$B$10,Paramètres!$A$1:$I$89,5,0)</f>
        <v>104.41080000000004</v>
      </c>
      <c r="AK34" s="14">
        <f t="shared" si="35"/>
        <v>28.010155571424168</v>
      </c>
      <c r="AL34" s="22">
        <f t="shared" si="4"/>
        <v>230.63316428689714</v>
      </c>
      <c r="AM34" s="62">
        <f t="shared" si="5"/>
        <v>523.96649762023048</v>
      </c>
      <c r="AN34" s="62">
        <f ca="1">AVERAGE(OFFSET($AM$3,0,0,'Données projet'!$E$10+1,1))-AVERAGE(OFFSET($H$3,0,0,'Données projet'!$E$10+1,1))</f>
        <v>279.33945837918748</v>
      </c>
      <c r="AO34" s="62">
        <f t="shared" si="36"/>
        <v>215.78305328671854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5.8374502904731385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11.396582581966298</v>
      </c>
      <c r="AX34" s="23">
        <f t="shared" si="6"/>
        <v>17.234032872439435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27.6</v>
      </c>
      <c r="BD34" s="13">
        <f>IF('Données projet'!$A$88&gt;35,BD33+BC34-BL33,IF(A34&lt;'Données projet'!$A$88,$BA$205^A34,IF(A34='Données projet'!$A$88,'Données projet'!$B$88,BD33+BC34-BL33)))</f>
        <v>394.6</v>
      </c>
      <c r="BE34" s="14">
        <f>BD34*VLOOKUP('Données projet'!$B$11,Paramètres!$A$1:$I$89,3,0)*VLOOKUP('Données projet'!$B$11,Paramètres!$A$1:$I$89,5,0)</f>
        <v>220.5814</v>
      </c>
      <c r="BF34" s="14">
        <f t="shared" si="37"/>
        <v>54.241230721401301</v>
      </c>
      <c r="BG34" s="22">
        <f t="shared" si="7"/>
        <v>478.64941517310723</v>
      </c>
      <c r="BH34" s="62">
        <f t="shared" si="8"/>
        <v>771.98274850644054</v>
      </c>
      <c r="BI34" s="62">
        <f ca="1">AVERAGE(OFFSET($BH$3,0,0,'Données projet'!$E$11+1,1))-AVERAGE(OFFSET($H$3,0,0,'Données projet'!$E$11+1,1))</f>
        <v>376.38993452481719</v>
      </c>
      <c r="BJ34" s="62">
        <f t="shared" si="38"/>
        <v>470.10036612616727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4.8891288187008675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3.2041466374813048</v>
      </c>
      <c r="BS34" s="24">
        <f t="shared" si="9"/>
        <v>8.0932754561821731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14</v>
      </c>
      <c r="BY34" s="13">
        <f>IF('Données projet'!$A$114&gt;35,BY33+BX34-CG33,IF(A34&lt;'Données projet'!$A$114,$BV$205^A34,IF(A34='Données projet'!$A$114,'Données projet'!$B$114,BY33+BX34-CG33)))</f>
        <v>283</v>
      </c>
      <c r="BZ34" s="14">
        <f>BY34*VLOOKUP('Données projet'!$B$12,Paramètres!$A$1:$I$89,3,0)*VLOOKUP('Données projet'!$B$12,Paramètres!$A$1:$I$89,5,0)</f>
        <v>169.23400000000001</v>
      </c>
      <c r="CA34" s="14">
        <f t="shared" si="39"/>
        <v>42.918420001269354</v>
      </c>
      <c r="CB34" s="22">
        <f t="shared" si="10"/>
        <v>369.4987981688775</v>
      </c>
      <c r="CC34" s="62">
        <f t="shared" si="11"/>
        <v>662.83213150221081</v>
      </c>
      <c r="CD34" s="62">
        <f ca="1">AVERAGE(OFFSET($CC$3,0,0,'Données projet'!$E$12+1,1))-AVERAGE(OFFSET($H$3,0,0,'Données projet'!$E$12+1,1))</f>
        <v>152.56843845628913</v>
      </c>
      <c r="CE34" s="62">
        <f t="shared" si="40"/>
        <v>311.82523951987685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10.681023688666661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1.3616950177598495</v>
      </c>
      <c r="CN34" s="24">
        <f t="shared" si="12"/>
        <v>12.042718706426511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18.320640000000015</v>
      </c>
      <c r="D35" s="12">
        <f t="shared" si="32"/>
        <v>6.0184743671138392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187.88088283386136</v>
      </c>
      <c r="H35" s="70">
        <f t="shared" si="1"/>
        <v>335.72395752272325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</v>
      </c>
      <c r="N35" s="14">
        <f>IF('Données projet'!$A$36&gt;35,N34+M35-V34,IF(A35&lt;'Données projet'!$A$36,$K$205^A35,IF(A35='Données projet'!$A$36,'Données projet'!$B$36,N34+M35-V34)))</f>
        <v>269.99999999999989</v>
      </c>
      <c r="O35" s="14">
        <f>N35*VLOOKUP('Données projet'!$B$9,Paramètres!$A$1:$I$89,3,0)*VLOOKUP('Données projet'!$B$9,Paramètres!$A$1:$I$89,5,0)</f>
        <v>126.35999999999996</v>
      </c>
      <c r="P35" s="14">
        <f t="shared" si="33"/>
        <v>33.153877056327453</v>
      </c>
      <c r="Q35" s="22">
        <f t="shared" ref="Q35:Q66" si="53">(O35+P35)*0.475*44/12</f>
        <v>277.82000253977026</v>
      </c>
      <c r="R35" s="62">
        <f t="shared" si="0"/>
        <v>571.15333587310352</v>
      </c>
      <c r="S35" s="62">
        <f ca="1">AVERAGE(OFFSET($R$3,0,0,'Données projet'!$E$9+1,1))-AVERAGE(OFFSET($H$3,0,0,'Données projet'!$E$9+1,1))</f>
        <v>300.81172286376216</v>
      </c>
      <c r="T35" s="62">
        <f t="shared" si="34"/>
        <v>217.90654346456347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14.6</v>
      </c>
      <c r="AI35" s="14">
        <f>IF('Données projet'!$A$62&gt;35,AI34+AH35-AQ34,IF(A35&lt;'Données projet'!$A$62,$AF$205^A35,IF(A35='Données projet'!$A$62,'Données projet'!$B$62,AI34+AH35-AQ34)))</f>
        <v>189.20000000000005</v>
      </c>
      <c r="AJ35" s="14">
        <f>AI35*VLOOKUP('Données projet'!$B$10,Paramètres!$A$1:$I$89,3,0)*VLOOKUP('Données projet'!$B$10,Paramètres!$A$1:$I$89,5,0)</f>
        <v>113.14160000000004</v>
      </c>
      <c r="AK35" s="14">
        <f t="shared" si="35"/>
        <v>30.069952587742019</v>
      </c>
      <c r="AL35" s="22">
        <f t="shared" si="4"/>
        <v>249.42678742365072</v>
      </c>
      <c r="AM35" s="62">
        <f t="shared" si="5"/>
        <v>542.76012075698407</v>
      </c>
      <c r="AN35" s="62">
        <f ca="1">AVERAGE(OFFSET($AM$3,0,0,'Données projet'!$E$10+1,1))-AVERAGE(OFFSET($H$3,0,0,'Données projet'!$E$10+1,1))</f>
        <v>279.33945837918748</v>
      </c>
      <c r="AO35" s="62">
        <f t="shared" si="36"/>
        <v>215.78305328671854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5.7229814507700683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8.0586008260608626</v>
      </c>
      <c r="AX35" s="23">
        <f t="shared" si="6"/>
        <v>13.781582276830932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27.6</v>
      </c>
      <c r="BD35" s="13">
        <f>IF('Données projet'!$A$88&gt;35,BD34+BC35-BL34,IF(A35&lt;'Données projet'!$A$88,$BA$205^A35,IF(A35='Données projet'!$A$88,'Données projet'!$B$88,BD34+BC35-BL34)))</f>
        <v>422.20000000000005</v>
      </c>
      <c r="BE35" s="14">
        <f>BD35*VLOOKUP('Données projet'!$B$11,Paramètres!$A$1:$I$89,3,0)*VLOOKUP('Données projet'!$B$11,Paramètres!$A$1:$I$89,5,0)</f>
        <v>236.00980000000004</v>
      </c>
      <c r="BF35" s="14">
        <f t="shared" si="37"/>
        <v>57.580183613654185</v>
      </c>
      <c r="BG35" s="22">
        <f t="shared" si="7"/>
        <v>511.3358881271144</v>
      </c>
      <c r="BH35" s="62">
        <f t="shared" si="8"/>
        <v>804.66922146044772</v>
      </c>
      <c r="BI35" s="62">
        <f ca="1">AVERAGE(OFFSET($BH$3,0,0,'Données projet'!$E$11+1,1))-AVERAGE(OFFSET($H$3,0,0,'Données projet'!$E$11+1,1))</f>
        <v>376.38993452481719</v>
      </c>
      <c r="BJ35" s="62">
        <f t="shared" si="38"/>
        <v>470.10036612616727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4.7932559846402674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2.2656738152791052</v>
      </c>
      <c r="BS35" s="24">
        <f t="shared" si="9"/>
        <v>7.0589297999193725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14</v>
      </c>
      <c r="BY35" s="13">
        <f>IF('Données projet'!$A$114&gt;35,BY34+BX35-CG34,IF(A35&lt;'Données projet'!$A$114,$BV$205^A35,IF(A35='Données projet'!$A$114,'Données projet'!$B$114,BY34+BX35-CG34)))</f>
        <v>297</v>
      </c>
      <c r="BZ35" s="14">
        <f>BY35*VLOOKUP('Données projet'!$B$12,Paramètres!$A$1:$I$89,3,0)*VLOOKUP('Données projet'!$B$12,Paramètres!$A$1:$I$89,5,0)</f>
        <v>177.60600000000002</v>
      </c>
      <c r="CA35" s="14">
        <f t="shared" si="39"/>
        <v>44.789150937858665</v>
      </c>
      <c r="CB35" s="22">
        <f t="shared" si="10"/>
        <v>387.33822121677053</v>
      </c>
      <c r="CC35" s="62">
        <f t="shared" si="11"/>
        <v>680.67155455010379</v>
      </c>
      <c r="CD35" s="62">
        <f ca="1">AVERAGE(OFFSET($CC$3,0,0,'Données projet'!$E$12+1,1))-AVERAGE(OFFSET($H$3,0,0,'Données projet'!$E$12+1,1))</f>
        <v>152.56843845628913</v>
      </c>
      <c r="CE35" s="62">
        <f t="shared" si="40"/>
        <v>311.82523951987685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10.471575328913076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0.96286378096592584</v>
      </c>
      <c r="CN35" s="24">
        <f t="shared" si="12"/>
        <v>11.434439109879001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18.893160000000016</v>
      </c>
      <c r="D36" s="12">
        <f t="shared" si="32"/>
        <v>6.1843606992801829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193.58086153830331</v>
      </c>
      <c r="H36" s="70">
        <f t="shared" si="1"/>
        <v>337.01001521791301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</v>
      </c>
      <c r="N36" s="14">
        <f>IF('Données projet'!$A$36&gt;35,N35+M36-V35,IF(A36&lt;'Données projet'!$A$36,$K$205^A36,IF(A36='Données projet'!$A$36,'Données projet'!$B$36,N35+M36-V35)))</f>
        <v>279.99999999999989</v>
      </c>
      <c r="O36" s="14">
        <f>N36*VLOOKUP('Données projet'!$B$9,Paramètres!$A$1:$I$89,3,0)*VLOOKUP('Données projet'!$B$9,Paramètres!$A$1:$I$89,5,0)</f>
        <v>131.03999999999994</v>
      </c>
      <c r="P36" s="14">
        <f t="shared" si="33"/>
        <v>34.236561238949889</v>
      </c>
      <c r="Q36" s="22">
        <f t="shared" si="53"/>
        <v>287.85667749117096</v>
      </c>
      <c r="R36" s="62">
        <f t="shared" si="0"/>
        <v>581.19001082450427</v>
      </c>
      <c r="S36" s="62">
        <f ca="1">AVERAGE(OFFSET($R$3,0,0,'Données projet'!$E$9+1,1))-AVERAGE(OFFSET($H$3,0,0,'Données projet'!$E$9+1,1))</f>
        <v>300.81172286376216</v>
      </c>
      <c r="T36" s="62">
        <f t="shared" si="34"/>
        <v>217.90654346456347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14.6</v>
      </c>
      <c r="AI36" s="14">
        <f>IF('Données projet'!$A$62&gt;35,AI35+AH36-AQ35,IF(A36&lt;'Données projet'!$A$62,$AF$205^A36,IF(A36='Données projet'!$A$62,'Données projet'!$B$62,AI35+AH36-AQ35)))</f>
        <v>203.80000000000004</v>
      </c>
      <c r="AJ36" s="14">
        <f>AI36*VLOOKUP('Données projet'!$B$10,Paramètres!$A$1:$I$89,3,0)*VLOOKUP('Données projet'!$B$10,Paramètres!$A$1:$I$89,5,0)</f>
        <v>121.87240000000003</v>
      </c>
      <c r="AK36" s="14">
        <f t="shared" si="35"/>
        <v>32.111311550408985</v>
      </c>
      <c r="AL36" s="22">
        <f t="shared" si="4"/>
        <v>268.1882976169623</v>
      </c>
      <c r="AM36" s="62">
        <f t="shared" si="5"/>
        <v>561.52163095029562</v>
      </c>
      <c r="AN36" s="62">
        <f ca="1">AVERAGE(OFFSET($AM$3,0,0,'Données projet'!$E$10+1,1))-AVERAGE(OFFSET($H$3,0,0,'Données projet'!$E$10+1,1))</f>
        <v>279.33945837918748</v>
      </c>
      <c r="AO36" s="62">
        <f t="shared" si="36"/>
        <v>215.78305328671854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5.6107572751944765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5.6982912909831498</v>
      </c>
      <c r="AX36" s="23">
        <f t="shared" si="6"/>
        <v>11.309048566177626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27.6</v>
      </c>
      <c r="BD36" s="13">
        <f>IF('Données projet'!$A$88&gt;35,BD35+BC36-BL35,IF(A36&lt;'Données projet'!$A$88,$BA$205^A36,IF(A36='Données projet'!$A$88,'Données projet'!$B$88,BD35+BC36-BL35)))</f>
        <v>449.80000000000007</v>
      </c>
      <c r="BE36" s="14">
        <f>BD36*VLOOKUP('Données projet'!$B$11,Paramètres!$A$1:$I$89,3,0)*VLOOKUP('Données projet'!$B$11,Paramètres!$A$1:$I$89,5,0)</f>
        <v>251.43820000000002</v>
      </c>
      <c r="BF36" s="14">
        <f t="shared" si="37"/>
        <v>60.893806844597648</v>
      </c>
      <c r="BG36" s="22">
        <f t="shared" si="7"/>
        <v>543.978245254341</v>
      </c>
      <c r="BH36" s="62">
        <f t="shared" si="8"/>
        <v>837.31157858767438</v>
      </c>
      <c r="BI36" s="62">
        <f ca="1">AVERAGE(OFFSET($BH$3,0,0,'Données projet'!$E$11+1,1))-AVERAGE(OFFSET($H$3,0,0,'Données projet'!$E$11+1,1))</f>
        <v>376.38993452481719</v>
      </c>
      <c r="BJ36" s="62">
        <f t="shared" si="38"/>
        <v>470.10036612616727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4.6992631583789413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1.6020733187406526</v>
      </c>
      <c r="BS36" s="24">
        <f t="shared" si="9"/>
        <v>6.3013364771195937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14</v>
      </c>
      <c r="BY36" s="13">
        <f>IF('Données projet'!$A$114&gt;35,BY35+BX36-CG35,IF(A36&lt;'Données projet'!$A$114,$BV$205^A36,IF(A36='Données projet'!$A$114,'Données projet'!$B$114,BY35+BX36-CG35)))</f>
        <v>311</v>
      </c>
      <c r="BZ36" s="14">
        <f>BY36*VLOOKUP('Données projet'!$B$12,Paramètres!$A$1:$I$89,3,0)*VLOOKUP('Données projet'!$B$12,Paramètres!$A$1:$I$89,5,0)</f>
        <v>185.97800000000001</v>
      </c>
      <c r="CA36" s="14">
        <f t="shared" si="39"/>
        <v>46.649641523668571</v>
      </c>
      <c r="CB36" s="22">
        <f t="shared" si="10"/>
        <v>405.15980898705612</v>
      </c>
      <c r="CC36" s="62">
        <f t="shared" si="11"/>
        <v>698.49314232038944</v>
      </c>
      <c r="CD36" s="62">
        <f ca="1">AVERAGE(OFFSET($CC$3,0,0,'Données projet'!$E$12+1,1))-AVERAGE(OFFSET($H$3,0,0,'Données projet'!$E$12+1,1))</f>
        <v>152.56843845628913</v>
      </c>
      <c r="CE36" s="62">
        <f t="shared" si="40"/>
        <v>311.82523951987685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10.266234123743374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0.68084750887992485</v>
      </c>
      <c r="CN36" s="24">
        <f t="shared" si="12"/>
        <v>10.947081632623298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19.465680000000017</v>
      </c>
      <c r="D37" s="12">
        <f t="shared" si="32"/>
        <v>6.3496628413835543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199.27633070541708</v>
      </c>
      <c r="H37" s="70">
        <f t="shared" si="1"/>
        <v>338.29505544874303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</v>
      </c>
      <c r="N37" s="14">
        <f>IF('Données projet'!$A$36&gt;35,N36+M37-V36,IF(A37&lt;'Données projet'!$A$36,$K$205^A37,IF(A37='Données projet'!$A$36,'Données projet'!$B$36,N36+M37-V36)))</f>
        <v>289.99999999999989</v>
      </c>
      <c r="O37" s="14">
        <f>N37*VLOOKUP('Données projet'!$B$9,Paramètres!$A$1:$I$89,3,0)*VLOOKUP('Données projet'!$B$9,Paramètres!$A$1:$I$89,5,0)</f>
        <v>135.71999999999994</v>
      </c>
      <c r="P37" s="14">
        <f t="shared" si="33"/>
        <v>35.314752882348131</v>
      </c>
      <c r="Q37" s="22">
        <f t="shared" si="53"/>
        <v>297.8855279367562</v>
      </c>
      <c r="R37" s="62">
        <f t="shared" si="0"/>
        <v>591.21886127008952</v>
      </c>
      <c r="S37" s="62">
        <f ca="1">AVERAGE(OFFSET($R$3,0,0,'Données projet'!$E$9+1,1))-AVERAGE(OFFSET($H$3,0,0,'Données projet'!$E$9+1,1))</f>
        <v>300.81172286376216</v>
      </c>
      <c r="T37" s="62">
        <f t="shared" si="34"/>
        <v>217.90654346456347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14.6</v>
      </c>
      <c r="AI37" s="14">
        <f>IF('Données projet'!$A$62&gt;35,AI36+AH37-AQ36,IF(A37&lt;'Données projet'!$A$62,$AF$205^A37,IF(A37='Données projet'!$A$62,'Données projet'!$B$62,AI36+AH37-AQ36)))</f>
        <v>218.40000000000003</v>
      </c>
      <c r="AJ37" s="14">
        <f>AI37*VLOOKUP('Données projet'!$B$10,Paramètres!$A$1:$I$89,3,0)*VLOOKUP('Données projet'!$B$10,Paramètres!$A$1:$I$89,5,0)</f>
        <v>130.60320000000004</v>
      </c>
      <c r="AK37" s="14">
        <f t="shared" si="35"/>
        <v>34.135703567016428</v>
      </c>
      <c r="AL37" s="22">
        <f t="shared" si="4"/>
        <v>286.92025704588701</v>
      </c>
      <c r="AM37" s="62">
        <f t="shared" si="5"/>
        <v>580.25359037922033</v>
      </c>
      <c r="AN37" s="62">
        <f ca="1">AVERAGE(OFFSET($AM$3,0,0,'Données projet'!$E$10+1,1))-AVERAGE(OFFSET($H$3,0,0,'Données projet'!$E$10+1,1))</f>
        <v>279.33945837918748</v>
      </c>
      <c r="AO37" s="62">
        <f t="shared" si="36"/>
        <v>215.78305328671854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5.5007337472519344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4.0293004130304322</v>
      </c>
      <c r="AX37" s="23">
        <f t="shared" si="6"/>
        <v>9.5300341602823657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27.6</v>
      </c>
      <c r="BD37" s="13">
        <f>IF('Données projet'!$A$88&gt;35,BD36+BC37-BL36,IF(A37&lt;'Données projet'!$A$88,$BA$205^A37,IF(A37='Données projet'!$A$88,'Données projet'!$B$88,BD36+BC37-BL36)))</f>
        <v>477.40000000000009</v>
      </c>
      <c r="BE37" s="14">
        <f>BD37*VLOOKUP('Données projet'!$B$11,Paramètres!$A$1:$I$89,3,0)*VLOOKUP('Données projet'!$B$11,Paramètres!$A$1:$I$89,5,0)</f>
        <v>266.86660000000006</v>
      </c>
      <c r="BF37" s="14">
        <f t="shared" si="37"/>
        <v>64.183831628008477</v>
      </c>
      <c r="BG37" s="22">
        <f t="shared" si="7"/>
        <v>576.57950175211477</v>
      </c>
      <c r="BH37" s="62">
        <f t="shared" si="8"/>
        <v>869.91283508544802</v>
      </c>
      <c r="BI37" s="62">
        <f ca="1">AVERAGE(OFFSET($BH$3,0,0,'Données projet'!$E$11+1,1))-AVERAGE(OFFSET($H$3,0,0,'Données projet'!$E$11+1,1))</f>
        <v>376.38993452481719</v>
      </c>
      <c r="BJ37" s="62">
        <f t="shared" si="38"/>
        <v>470.10036612616727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4.6071134741106361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1.1328369076395528</v>
      </c>
      <c r="BS37" s="24">
        <f t="shared" si="9"/>
        <v>5.7399503817501891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>
        <f>VLOOKUP(A37,'Données projet'!$A$113:$I$133,2,0)</f>
        <v>325</v>
      </c>
      <c r="BW37" s="13">
        <f>VLOOKUP(A37,'Données projet'!$A$113:$I$133,9,0)</f>
        <v>14</v>
      </c>
      <c r="BX37" s="13">
        <f t="array" ref="BX37">INDEX(BW:BW,MIN(IF(ISNUMBER(BW37:BW233),ROW(BW37:BW233),"")))</f>
        <v>14</v>
      </c>
      <c r="BY37" s="13">
        <f>IF('Données projet'!$A$114&gt;35,BY36+BX37-CG36,IF(A37&lt;'Données projet'!$A$114,$BV$205^A37,IF(A37='Données projet'!$A$114,'Données projet'!$B$114,BY36+BX37-CG36)))</f>
        <v>325</v>
      </c>
      <c r="BZ37" s="14">
        <f>BY37*VLOOKUP('Données projet'!$B$12,Paramètres!$A$1:$I$89,3,0)*VLOOKUP('Données projet'!$B$12,Paramètres!$A$1:$I$89,5,0)</f>
        <v>194.35</v>
      </c>
      <c r="CA37" s="14">
        <f t="shared" si="39"/>
        <v>48.500405405690429</v>
      </c>
      <c r="CB37" s="22">
        <f t="shared" si="10"/>
        <v>422.96445608157745</v>
      </c>
      <c r="CC37" s="62">
        <f t="shared" si="11"/>
        <v>716.29778941491077</v>
      </c>
      <c r="CD37" s="62">
        <f ca="1">AVERAGE(OFFSET($CC$3,0,0,'Données projet'!$E$12+1,1))-AVERAGE(OFFSET($H$3,0,0,'Données projet'!$E$12+1,1))</f>
        <v>152.56843845628913</v>
      </c>
      <c r="CE37" s="62">
        <f t="shared" si="40"/>
        <v>311.82523951987685</v>
      </c>
      <c r="CF37" s="16">
        <f>IF(ISNA(VLOOKUP(A37,'Données projet'!$A$113:$I$133,3,0)),0,VLOOKUP(A37,'Données projet'!$A$113:$I$133,3,0))</f>
        <v>5</v>
      </c>
      <c r="CG37" s="16">
        <f>IF(ISNA(VLOOKUP(A37,'Données projet'!$A$113:$I$133,4,0)),0,VLOOKUP(A37,'Données projet'!$A$113:$I$133,4,0))</f>
        <v>325</v>
      </c>
      <c r="CH37" s="17">
        <f>IF(ISNA(VLOOKUP(A37,'Données projet'!$A$113:$I$133,5,0)),0%,VLOOKUP(A37,'Données projet'!$A$113:$I$133,5,0)*VLOOKUP('Données projet'!$B$12,Paramètres!$A$1:$I$89,7,0))</f>
        <v>0.315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0.3</v>
      </c>
      <c r="CK37" s="23">
        <f>EXP(-LN(2)/35)*CK36+(1-EXP(-LN(2)/35))/(LN(2)/35)*CG37*CH37*VLOOKUP('Données projet'!$B$12,Paramètres!$A$1:$I$89,3,0)*0.475*44/12</f>
        <v>91.277527137483801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66.496235997763563</v>
      </c>
      <c r="CN37" s="24">
        <f t="shared" si="12"/>
        <v>157.77376313524735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20.038200000000018</v>
      </c>
      <c r="D38" s="12">
        <f t="shared" si="32"/>
        <v>6.5143999482774753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204.96743819722977</v>
      </c>
      <c r="H38" s="70">
        <f t="shared" si="1"/>
        <v>339.57911157658327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</v>
      </c>
      <c r="N38" s="14">
        <f>IF('Données projet'!$A$36&gt;35,N37+M38-V37,IF(A38&lt;'Données projet'!$A$36,$K$205^A38,IF(A38='Données projet'!$A$36,'Données projet'!$B$36,N37+M38-V37)))</f>
        <v>299.99999999999989</v>
      </c>
      <c r="O38" s="14">
        <f>N38*VLOOKUP('Données projet'!$B$9,Paramètres!$A$1:$I$89,3,0)*VLOOKUP('Données projet'!$B$9,Paramètres!$A$1:$I$89,5,0)</f>
        <v>140.39999999999995</v>
      </c>
      <c r="P38" s="14">
        <f t="shared" si="33"/>
        <v>36.388624656711166</v>
      </c>
      <c r="Q38" s="22">
        <f t="shared" si="53"/>
        <v>307.90685461043853</v>
      </c>
      <c r="R38" s="62">
        <f t="shared" si="0"/>
        <v>601.24018794377184</v>
      </c>
      <c r="S38" s="62">
        <f ca="1">AVERAGE(OFFSET($R$3,0,0,'Données projet'!$E$9+1,1))-AVERAGE(OFFSET($H$3,0,0,'Données projet'!$E$9+1,1))</f>
        <v>300.81172286376216</v>
      </c>
      <c r="T38" s="62">
        <f t="shared" si="34"/>
        <v>217.90654346456347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233</v>
      </c>
      <c r="AG38" s="13">
        <f>VLOOKUP(A38,'Données projet'!$A$61:$I$81,9,0)</f>
        <v>14.6</v>
      </c>
      <c r="AH38" s="13">
        <f t="array" ref="AH38">INDEX(AG:AG,MIN(IF(ISNUMBER(AG38:AG234),ROW(AG38:AG234),"")))</f>
        <v>14.6</v>
      </c>
      <c r="AI38" s="14">
        <f>IF('Données projet'!$A$62&gt;35,AI37+AH38-AQ37,IF(A38&lt;'Données projet'!$A$62,$AF$205^A38,IF(A38='Données projet'!$A$62,'Données projet'!$B$62,AI37+AH38-AQ37)))</f>
        <v>233.00000000000003</v>
      </c>
      <c r="AJ38" s="14">
        <f>AI38*VLOOKUP('Données projet'!$B$10,Paramètres!$A$1:$I$89,3,0)*VLOOKUP('Données projet'!$B$10,Paramètres!$A$1:$I$89,5,0)</f>
        <v>139.33400000000003</v>
      </c>
      <c r="AK38" s="14">
        <f t="shared" si="35"/>
        <v>36.144391930570897</v>
      </c>
      <c r="AL38" s="22">
        <f t="shared" si="4"/>
        <v>305.62486594574438</v>
      </c>
      <c r="AM38" s="62">
        <f t="shared" si="5"/>
        <v>598.95819927907769</v>
      </c>
      <c r="AN38" s="62">
        <f ca="1">AVERAGE(OFFSET($AM$3,0,0,'Données projet'!$E$10+1,1))-AVERAGE(OFFSET($H$3,0,0,'Données projet'!$E$10+1,1))</f>
        <v>279.33945837918748</v>
      </c>
      <c r="AO38" s="62">
        <f t="shared" si="36"/>
        <v>215.78305328671854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41</v>
      </c>
      <c r="AR38" s="17">
        <f>IF(ISNA(VLOOKUP(A38,'Données projet'!$A$61:$I$81,5,0)),0%,VLOOKUP(A38,'Données projet'!$A$61:$I$81,5,0)*VLOOKUP('Données projet'!$B$10,Paramètres!$A$1:$I$89,7,0))</f>
        <v>0.20250000000000001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0.55000000000000004</v>
      </c>
      <c r="AU38" s="23">
        <f>EXP(-LN(2)/35)*AU37+(1-EXP(-LN(2)/35))/(LN(2)/35)*AQ38*AR38*VLOOKUP('Données projet'!$B$10,Paramètres!$A$1:$I$89,3,0)*0.475*44/12</f>
        <v>11.979120945574117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18.11718495440622</v>
      </c>
      <c r="AX38" s="23">
        <f t="shared" si="6"/>
        <v>30.096305899980337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505</v>
      </c>
      <c r="BB38" s="13">
        <f>VLOOKUP(A38,'Données projet'!$A$87:$I$107,9,0)</f>
        <v>27.6</v>
      </c>
      <c r="BC38" s="13">
        <f t="array" ref="BC38">INDEX(BB:BB,MIN(IF(ISNUMBER(BB38:BB234),ROW(BB38:BB234),"")))</f>
        <v>27.6</v>
      </c>
      <c r="BD38" s="13">
        <f>IF('Données projet'!$A$88&gt;35,BD37+BC38-BL37,IF(A38&lt;'Données projet'!$A$88,$BA$205^A38,IF(A38='Données projet'!$A$88,'Données projet'!$B$88,BD37+BC38-BL37)))</f>
        <v>505.00000000000011</v>
      </c>
      <c r="BE38" s="14">
        <f>BD38*VLOOKUP('Données projet'!$B$11,Paramètres!$A$1:$I$89,3,0)*VLOOKUP('Données projet'!$B$11,Paramètres!$A$1:$I$89,5,0)</f>
        <v>282.29500000000007</v>
      </c>
      <c r="BF38" s="14">
        <f t="shared" si="37"/>
        <v>67.451777696853824</v>
      </c>
      <c r="BG38" s="22">
        <f t="shared" si="7"/>
        <v>609.14230448868716</v>
      </c>
      <c r="BH38" s="62">
        <f t="shared" si="8"/>
        <v>902.47563782202042</v>
      </c>
      <c r="BI38" s="62">
        <f ca="1">AVERAGE(OFFSET($BH$3,0,0,'Données projet'!$E$11+1,1))-AVERAGE(OFFSET($H$3,0,0,'Données projet'!$E$11+1,1))</f>
        <v>376.38993452481719</v>
      </c>
      <c r="BJ38" s="62">
        <f t="shared" si="38"/>
        <v>470.10036612616727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69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4.5167707889450748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0.80103665937032642</v>
      </c>
      <c r="BS38" s="24">
        <f t="shared" si="9"/>
        <v>5.317807448315401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>
        <f>BY38*VLOOKUP('Données projet'!$B$12,Paramètres!$A$1:$I$89,3,0)*VLOOKUP('Données projet'!$B$12,Paramètres!$A$1:$I$89,5,0)</f>
        <v>0</v>
      </c>
      <c r="CA38" s="14" t="e">
        <f t="shared" si="39"/>
        <v>#NUM!</v>
      </c>
      <c r="CB38" s="22" t="e">
        <f t="shared" si="10"/>
        <v>#NUM!</v>
      </c>
      <c r="CC38" s="62" t="e">
        <f t="shared" si="11"/>
        <v>#NUM!</v>
      </c>
      <c r="CD38" s="62">
        <f ca="1">AVERAGE(OFFSET($CC$3,0,0,'Données projet'!$E$12+1,1))-AVERAGE(OFFSET($H$3,0,0,'Données projet'!$E$12+1,1))</f>
        <v>152.56843845628913</v>
      </c>
      <c r="CE38" s="62">
        <f t="shared" si="40"/>
        <v>311.82523951987685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89.487630504111962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47.019939397399625</v>
      </c>
      <c r="CN38" s="24">
        <f t="shared" si="12"/>
        <v>136.5075699015116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20.610720000000018</v>
      </c>
      <c r="D39" s="12">
        <f t="shared" si="32"/>
        <v>6.6785900179965028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210.65432294593805</v>
      </c>
      <c r="H39" s="70">
        <f t="shared" si="1"/>
        <v>340.8622149480106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</v>
      </c>
      <c r="N39" s="14">
        <f>IF('Données projet'!$A$36&gt;35,N38+M39-V38,IF(A39&lt;'Données projet'!$A$36,$K$205^A39,IF(A39='Données projet'!$A$36,'Données projet'!$B$36,N38+M39-V38)))</f>
        <v>309.99999999999989</v>
      </c>
      <c r="O39" s="14">
        <f>N39*VLOOKUP('Données projet'!$B$9,Paramètres!$A$1:$I$89,3,0)*VLOOKUP('Données projet'!$B$9,Paramètres!$A$1:$I$89,5,0)</f>
        <v>145.07999999999996</v>
      </c>
      <c r="P39" s="14">
        <f t="shared" si="33"/>
        <v>37.458337067672986</v>
      </c>
      <c r="Q39" s="22">
        <f t="shared" si="53"/>
        <v>317.92093705953039</v>
      </c>
      <c r="R39" s="62">
        <f t="shared" si="0"/>
        <v>611.25427039286365</v>
      </c>
      <c r="S39" s="62">
        <f ca="1">AVERAGE(OFFSET($R$3,0,0,'Données projet'!$E$9+1,1))-AVERAGE(OFFSET($H$3,0,0,'Données projet'!$E$9+1,1))</f>
        <v>300.81172286376216</v>
      </c>
      <c r="T39" s="62">
        <f t="shared" si="34"/>
        <v>217.90654346456347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14.4</v>
      </c>
      <c r="AI39" s="14">
        <f>IF('Données projet'!$A$62&gt;35,AI38+AH39-AQ38,IF(A39&lt;'Données projet'!$A$62,$AF$205^A39,IF(A39='Données projet'!$A$62,'Données projet'!$B$62,AI38+AH39-AQ38)))</f>
        <v>206.40000000000003</v>
      </c>
      <c r="AJ39" s="14">
        <f>AI39*VLOOKUP('Données projet'!$B$10,Paramètres!$A$1:$I$89,3,0)*VLOOKUP('Données projet'!$B$10,Paramètres!$A$1:$I$89,5,0)</f>
        <v>123.42720000000003</v>
      </c>
      <c r="AK39" s="14">
        <f t="shared" si="35"/>
        <v>32.473022671122074</v>
      </c>
      <c r="AL39" s="22">
        <f t="shared" si="4"/>
        <v>271.5262211522043</v>
      </c>
      <c r="AM39" s="62">
        <f t="shared" si="5"/>
        <v>564.85955448553761</v>
      </c>
      <c r="AN39" s="62">
        <f ca="1">AVERAGE(OFFSET($AM$3,0,0,'Données projet'!$E$10+1,1))-AVERAGE(OFFSET($H$3,0,0,'Données projet'!$E$10+1,1))</f>
        <v>279.33945837918748</v>
      </c>
      <c r="AO39" s="62">
        <f t="shared" si="36"/>
        <v>215.78305328671854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11.744217690373723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12.810784337271532</v>
      </c>
      <c r="AX39" s="23">
        <f t="shared" si="6"/>
        <v>24.555002027645255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25.6</v>
      </c>
      <c r="BD39" s="13">
        <f>IF('Données projet'!$A$88&gt;35,BD38+BC39-BL38,IF(A39&lt;'Données projet'!$A$88,$BA$205^A39,IF(A39='Données projet'!$A$88,'Données projet'!$B$88,BD38+BC39-BL38)))</f>
        <v>461.60000000000014</v>
      </c>
      <c r="BE39" s="14">
        <f>BD39*VLOOKUP('Données projet'!$B$11,Paramètres!$A$1:$I$89,3,0)*VLOOKUP('Données projet'!$B$11,Paramètres!$A$1:$I$89,5,0)</f>
        <v>258.03440000000006</v>
      </c>
      <c r="BF39" s="14">
        <f t="shared" si="37"/>
        <v>62.303206596431174</v>
      </c>
      <c r="BG39" s="22">
        <f t="shared" si="7"/>
        <v>557.9213314887844</v>
      </c>
      <c r="BH39" s="62">
        <f t="shared" si="8"/>
        <v>851.25466482211777</v>
      </c>
      <c r="BI39" s="62">
        <f ca="1">AVERAGE(OFFSET($BH$3,0,0,'Données projet'!$E$11+1,1))-AVERAGE(OFFSET($H$3,0,0,'Données projet'!$E$11+1,1))</f>
        <v>376.38993452481719</v>
      </c>
      <c r="BJ39" s="62">
        <f t="shared" si="38"/>
        <v>470.10036612616727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4.428199668732014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0.5664184538197764</v>
      </c>
      <c r="BS39" s="24">
        <f t="shared" si="9"/>
        <v>4.9946181225517901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>
        <f>BY39*VLOOKUP('Données projet'!$B$12,Paramètres!$A$1:$I$89,3,0)*VLOOKUP('Données projet'!$B$12,Paramètres!$A$1:$I$89,5,0)</f>
        <v>0</v>
      </c>
      <c r="CA39" s="14" t="e">
        <f t="shared" si="39"/>
        <v>#NUM!</v>
      </c>
      <c r="CB39" s="22" t="e">
        <f t="shared" si="10"/>
        <v>#NUM!</v>
      </c>
      <c r="CC39" s="62" t="e">
        <f t="shared" si="11"/>
        <v>#NUM!</v>
      </c>
      <c r="CD39" s="62">
        <f ca="1">AVERAGE(OFFSET($CC$3,0,0,'Données projet'!$E$12+1,1))-AVERAGE(OFFSET($H$3,0,0,'Données projet'!$E$12+1,1))</f>
        <v>152.56843845628913</v>
      </c>
      <c r="CE39" s="62">
        <f t="shared" si="40"/>
        <v>311.82523951987685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87.732832651991401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33.248117998881781</v>
      </c>
      <c r="CN39" s="24">
        <f t="shared" si="12"/>
        <v>120.98095065087318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21.183240000000019</v>
      </c>
      <c r="D40" s="12">
        <f t="shared" si="32"/>
        <v>6.8422499917885942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216.33711572608755</v>
      </c>
      <c r="H40" s="70">
        <f t="shared" si="1"/>
        <v>342.14439506903182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</v>
      </c>
      <c r="N40" s="14">
        <f>IF('Données projet'!$A$36&gt;35,N39+M40-V39,IF(A40&lt;'Données projet'!$A$36,$K$205^A40,IF(A40='Données projet'!$A$36,'Données projet'!$B$36,N39+M40-V39)))</f>
        <v>319.99999999999989</v>
      </c>
      <c r="O40" s="14">
        <f>N40*VLOOKUP('Données projet'!$B$9,Paramètres!$A$1:$I$89,3,0)*VLOOKUP('Données projet'!$B$9,Paramètres!$A$1:$I$89,5,0)</f>
        <v>149.75999999999996</v>
      </c>
      <c r="P40" s="14">
        <f t="shared" si="33"/>
        <v>38.524039677774766</v>
      </c>
      <c r="Q40" s="22">
        <f t="shared" si="53"/>
        <v>327.9280357721243</v>
      </c>
      <c r="R40" s="62">
        <f t="shared" si="0"/>
        <v>621.26136910545756</v>
      </c>
      <c r="S40" s="62">
        <f ca="1">AVERAGE(OFFSET($R$3,0,0,'Données projet'!$E$9+1,1))-AVERAGE(OFFSET($H$3,0,0,'Données projet'!$E$9+1,1))</f>
        <v>300.81172286376216</v>
      </c>
      <c r="T40" s="62">
        <f t="shared" si="34"/>
        <v>217.90654346456347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14.4</v>
      </c>
      <c r="AI40" s="14">
        <f>IF('Données projet'!$A$62&gt;35,AI39+AH40-AQ39,IF(A40&lt;'Données projet'!$A$62,$AF$205^A40,IF(A40='Données projet'!$A$62,'Données projet'!$B$62,AI39+AH40-AQ39)))</f>
        <v>220.80000000000004</v>
      </c>
      <c r="AJ40" s="14">
        <f>AI40*VLOOKUP('Données projet'!$B$10,Paramètres!$A$1:$I$89,3,0)*VLOOKUP('Données projet'!$B$10,Paramètres!$A$1:$I$89,5,0)</f>
        <v>132.03840000000005</v>
      </c>
      <c r="AK40" s="14">
        <f t="shared" si="35"/>
        <v>34.466946374534373</v>
      </c>
      <c r="AL40" s="22">
        <f t="shared" si="4"/>
        <v>289.99681160231415</v>
      </c>
      <c r="AM40" s="62">
        <f t="shared" si="5"/>
        <v>583.33014493564747</v>
      </c>
      <c r="AN40" s="62">
        <f ca="1">AVERAGE(OFFSET($AM$3,0,0,'Données projet'!$E$10+1,1))-AVERAGE(OFFSET($H$3,0,0,'Données projet'!$E$10+1,1))</f>
        <v>279.33945837918748</v>
      </c>
      <c r="AO40" s="62">
        <f t="shared" si="36"/>
        <v>215.78305328671854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11.513920744730973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9.0585924772031117</v>
      </c>
      <c r="AX40" s="23">
        <f t="shared" si="6"/>
        <v>20.572513221934084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25.6</v>
      </c>
      <c r="BD40" s="13">
        <f>IF('Données projet'!$A$88&gt;35,BD39+BC40-BL39,IF(A40&lt;'Données projet'!$A$88,$BA$205^A40,IF(A40='Données projet'!$A$88,'Données projet'!$B$88,BD39+BC40-BL39)))</f>
        <v>487.20000000000016</v>
      </c>
      <c r="BE40" s="14">
        <f>BD40*VLOOKUP('Données projet'!$B$11,Paramètres!$A$1:$I$89,3,0)*VLOOKUP('Données projet'!$B$11,Paramètres!$A$1:$I$89,5,0)</f>
        <v>272.34480000000008</v>
      </c>
      <c r="BF40" s="14">
        <f t="shared" si="37"/>
        <v>65.346644318451709</v>
      </c>
      <c r="BG40" s="22">
        <f t="shared" si="7"/>
        <v>588.14593218797006</v>
      </c>
      <c r="BH40" s="62">
        <f t="shared" si="8"/>
        <v>881.47926552130343</v>
      </c>
      <c r="BI40" s="62">
        <f ca="1">AVERAGE(OFFSET($BH$3,0,0,'Données projet'!$E$11+1,1))-AVERAGE(OFFSET($H$3,0,0,'Données projet'!$E$11+1,1))</f>
        <v>376.38993452481719</v>
      </c>
      <c r="BJ40" s="62">
        <f t="shared" si="38"/>
        <v>470.10036612616727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4.3413653741632823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0.40051832968516321</v>
      </c>
      <c r="BS40" s="24">
        <f t="shared" si="9"/>
        <v>4.7418837038484458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>
        <f>BY40*VLOOKUP('Données projet'!$B$12,Paramètres!$A$1:$I$89,3,0)*VLOOKUP('Données projet'!$B$12,Paramètres!$A$1:$I$89,5,0)</f>
        <v>0</v>
      </c>
      <c r="CA40" s="14" t="e">
        <f t="shared" si="39"/>
        <v>#NUM!</v>
      </c>
      <c r="CB40" s="22" t="e">
        <f t="shared" si="10"/>
        <v>#NUM!</v>
      </c>
      <c r="CC40" s="62" t="e">
        <f t="shared" si="11"/>
        <v>#NUM!</v>
      </c>
      <c r="CD40" s="62">
        <f ca="1">AVERAGE(OFFSET($CC$3,0,0,'Données projet'!$E$12+1,1))-AVERAGE(OFFSET($H$3,0,0,'Données projet'!$E$12+1,1))</f>
        <v>152.56843845628913</v>
      </c>
      <c r="CE40" s="62">
        <f t="shared" si="40"/>
        <v>311.82523951987685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86.012445315429929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23.509969698699813</v>
      </c>
      <c r="CN40" s="24">
        <f t="shared" si="12"/>
        <v>109.52241501412973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21.75576000000002</v>
      </c>
      <c r="D41" s="12">
        <f t="shared" si="32"/>
        <v>7.0053958430290413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222.01593984092611</v>
      </c>
      <c r="H41" s="70">
        <f t="shared" si="1"/>
        <v>343.42567975994228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</v>
      </c>
      <c r="N41" s="14">
        <f>IF('Données projet'!$A$36&gt;35,N40+M41-V40,IF(A41&lt;'Données projet'!$A$36,$K$205^A41,IF(A41='Données projet'!$A$36,'Données projet'!$B$36,N40+M41-V40)))</f>
        <v>329.99999999999989</v>
      </c>
      <c r="O41" s="14">
        <f>N41*VLOOKUP('Données projet'!$B$9,Paramètres!$A$1:$I$89,3,0)*VLOOKUP('Données projet'!$B$9,Paramètres!$A$1:$I$89,5,0)</f>
        <v>154.43999999999994</v>
      </c>
      <c r="P41" s="14">
        <f t="shared" si="33"/>
        <v>39.585872170955454</v>
      </c>
      <c r="Q41" s="22">
        <f t="shared" si="53"/>
        <v>337.92839403108059</v>
      </c>
      <c r="R41" s="62">
        <f t="shared" si="0"/>
        <v>631.2617273644139</v>
      </c>
      <c r="S41" s="62">
        <f ca="1">AVERAGE(OFFSET($R$3,0,0,'Données projet'!$E$9+1,1))-AVERAGE(OFFSET($H$3,0,0,'Données projet'!$E$9+1,1))</f>
        <v>300.81172286376216</v>
      </c>
      <c r="T41" s="62">
        <f t="shared" si="34"/>
        <v>217.90654346456347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14.4</v>
      </c>
      <c r="AI41" s="14">
        <f>IF('Données projet'!$A$62&gt;35,AI40+AH41-AQ40,IF(A41&lt;'Données projet'!$A$62,$AF$205^A41,IF(A41='Données projet'!$A$62,'Données projet'!$B$62,AI40+AH41-AQ40)))</f>
        <v>235.20000000000005</v>
      </c>
      <c r="AJ41" s="14">
        <f>AI41*VLOOKUP('Données projet'!$B$10,Paramètres!$A$1:$I$89,3,0)*VLOOKUP('Données projet'!$B$10,Paramètres!$A$1:$I$89,5,0)</f>
        <v>140.64960000000002</v>
      </c>
      <c r="AK41" s="14">
        <f t="shared" si="35"/>
        <v>36.445779615258601</v>
      </c>
      <c r="AL41" s="22">
        <f t="shared" si="4"/>
        <v>308.44111949657542</v>
      </c>
      <c r="AM41" s="62">
        <f t="shared" si="5"/>
        <v>601.7744528299088</v>
      </c>
      <c r="AN41" s="62">
        <f ca="1">AVERAGE(OFFSET($AM$3,0,0,'Données projet'!$E$10+1,1))-AVERAGE(OFFSET($H$3,0,0,'Données projet'!$E$10+1,1))</f>
        <v>279.33945837918748</v>
      </c>
      <c r="AO41" s="62">
        <f t="shared" si="36"/>
        <v>215.78305328671854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11.288139781725009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6.4053921686357667</v>
      </c>
      <c r="AX41" s="23">
        <f t="shared" si="6"/>
        <v>17.693531950360775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25.6</v>
      </c>
      <c r="BD41" s="13">
        <f>IF('Données projet'!$A$88&gt;35,BD40+BC41-BL40,IF(A41&lt;'Données projet'!$A$88,$BA$205^A41,IF(A41='Données projet'!$A$88,'Données projet'!$B$88,BD40+BC41-BL40)))</f>
        <v>512.80000000000018</v>
      </c>
      <c r="BE41" s="14">
        <f>BD41*VLOOKUP('Données projet'!$B$11,Paramètres!$A$1:$I$89,3,0)*VLOOKUP('Données projet'!$B$11,Paramètres!$A$1:$I$89,5,0)</f>
        <v>286.65520000000009</v>
      </c>
      <c r="BF41" s="14">
        <f t="shared" si="37"/>
        <v>68.37151538584105</v>
      </c>
      <c r="BG41" s="22">
        <f t="shared" si="7"/>
        <v>618.33819596367323</v>
      </c>
      <c r="BH41" s="62">
        <f t="shared" si="8"/>
        <v>911.6715292970066</v>
      </c>
      <c r="BI41" s="62">
        <f ca="1">AVERAGE(OFFSET($BH$3,0,0,'Données projet'!$E$11+1,1))-AVERAGE(OFFSET($H$3,0,0,'Données projet'!$E$11+1,1))</f>
        <v>376.38993452481719</v>
      </c>
      <c r="BJ41" s="62">
        <f t="shared" si="38"/>
        <v>470.10036612616727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4.2562338471473531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0.2832092269098882</v>
      </c>
      <c r="BS41" s="24">
        <f t="shared" si="9"/>
        <v>4.5394430740572416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>
        <f>BY41*VLOOKUP('Données projet'!$B$12,Paramètres!$A$1:$I$89,3,0)*VLOOKUP('Données projet'!$B$12,Paramètres!$A$1:$I$89,5,0)</f>
        <v>0</v>
      </c>
      <c r="CA41" s="14" t="e">
        <f t="shared" si="39"/>
        <v>#NUM!</v>
      </c>
      <c r="CB41" s="22" t="e">
        <f t="shared" si="10"/>
        <v>#NUM!</v>
      </c>
      <c r="CC41" s="62" t="e">
        <f t="shared" si="11"/>
        <v>#NUM!</v>
      </c>
      <c r="CD41" s="62">
        <f ca="1">AVERAGE(OFFSET($CC$3,0,0,'Données projet'!$E$12+1,1))-AVERAGE(OFFSET($H$3,0,0,'Données projet'!$E$12+1,1))</f>
        <v>152.56843845628913</v>
      </c>
      <c r="CE41" s="62">
        <f t="shared" si="40"/>
        <v>311.82523951987685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84.325793725205756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16.624058999440891</v>
      </c>
      <c r="CN41" s="24">
        <f t="shared" si="12"/>
        <v>100.94985272464665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22.328280000000021</v>
      </c>
      <c r="D42" s="12">
        <f t="shared" si="32"/>
        <v>7.1680426565117417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227.69091173447677</v>
      </c>
      <c r="H42" s="70">
        <f t="shared" si="1"/>
        <v>344.7060952934246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</v>
      </c>
      <c r="N42" s="14">
        <f>IF('Données projet'!$A$36&gt;35,N41+M42-V41,IF(A42&lt;'Données projet'!$A$36,$K$205^A42,IF(A42='Données projet'!$A$36,'Données projet'!$B$36,N41+M42-V41)))</f>
        <v>339.99999999999989</v>
      </c>
      <c r="O42" s="14">
        <f>N42*VLOOKUP('Données projet'!$B$9,Paramètres!$A$1:$I$89,3,0)*VLOOKUP('Données projet'!$B$9,Paramètres!$A$1:$I$89,5,0)</f>
        <v>159.11999999999995</v>
      </c>
      <c r="P42" s="14">
        <f t="shared" si="33"/>
        <v>40.643965284387697</v>
      </c>
      <c r="Q42" s="22">
        <f t="shared" si="53"/>
        <v>347.92223953697516</v>
      </c>
      <c r="R42" s="62">
        <f t="shared" si="0"/>
        <v>641.25557287030847</v>
      </c>
      <c r="S42" s="62">
        <f ca="1">AVERAGE(OFFSET($R$3,0,0,'Données projet'!$E$9+1,1))-AVERAGE(OFFSET($H$3,0,0,'Données projet'!$E$9+1,1))</f>
        <v>300.81172286376216</v>
      </c>
      <c r="T42" s="62">
        <f t="shared" si="34"/>
        <v>217.90654346456347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14.4</v>
      </c>
      <c r="AI42" s="14">
        <f>IF('Données projet'!$A$62&gt;35,AI41+AH42-AQ41,IF(A42&lt;'Données projet'!$A$62,$AF$205^A42,IF(A42='Données projet'!$A$62,'Données projet'!$B$62,AI41+AH42-AQ41)))</f>
        <v>249.60000000000005</v>
      </c>
      <c r="AJ42" s="14">
        <f>AI42*VLOOKUP('Données projet'!$B$10,Paramètres!$A$1:$I$89,3,0)*VLOOKUP('Données projet'!$B$10,Paramètres!$A$1:$I$89,5,0)</f>
        <v>149.26080000000005</v>
      </c>
      <c r="AK42" s="14">
        <f t="shared" si="35"/>
        <v>38.410551499792909</v>
      </c>
      <c r="AL42" s="22">
        <f t="shared" si="4"/>
        <v>326.86093719547273</v>
      </c>
      <c r="AM42" s="62">
        <f t="shared" si="5"/>
        <v>620.1942705288061</v>
      </c>
      <c r="AN42" s="62">
        <f ca="1">AVERAGE(OFFSET($AM$3,0,0,'Données projet'!$E$10+1,1))-AVERAGE(OFFSET($H$3,0,0,'Données projet'!$E$10+1,1))</f>
        <v>279.33945837918748</v>
      </c>
      <c r="AO42" s="62">
        <f t="shared" si="36"/>
        <v>215.78305328671854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11.066786245690803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4.5292962386015567</v>
      </c>
      <c r="AX42" s="23">
        <f t="shared" si="6"/>
        <v>15.59608248429236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25.6</v>
      </c>
      <c r="BD42" s="13">
        <f>IF('Données projet'!$A$88&gt;35,BD41+BC42-BL41,IF(A42&lt;'Données projet'!$A$88,$BA$205^A42,IF(A42='Données projet'!$A$88,'Données projet'!$B$88,BD41+BC42-BL41)))</f>
        <v>538.4000000000002</v>
      </c>
      <c r="BE42" s="14">
        <f>BD42*VLOOKUP('Données projet'!$B$11,Paramètres!$A$1:$I$89,3,0)*VLOOKUP('Données projet'!$B$11,Paramètres!$A$1:$I$89,5,0)</f>
        <v>300.96560000000011</v>
      </c>
      <c r="BF42" s="14">
        <f t="shared" si="37"/>
        <v>71.378852450242803</v>
      </c>
      <c r="BG42" s="22">
        <f t="shared" si="7"/>
        <v>648.49992135083971</v>
      </c>
      <c r="BH42" s="62">
        <f t="shared" si="8"/>
        <v>941.83325468417297</v>
      </c>
      <c r="BI42" s="62">
        <f ca="1">AVERAGE(OFFSET($BH$3,0,0,'Données projet'!$E$11+1,1))-AVERAGE(OFFSET($H$3,0,0,'Données projet'!$E$11+1,1))</f>
        <v>376.38993452481719</v>
      </c>
      <c r="BJ42" s="62">
        <f t="shared" si="38"/>
        <v>470.10036612616727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4.1727716974511022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0.20025916484258161</v>
      </c>
      <c r="BS42" s="24">
        <f t="shared" si="9"/>
        <v>4.3730308622936835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>
        <f>BY42*VLOOKUP('Données projet'!$B$12,Paramètres!$A$1:$I$89,3,0)*VLOOKUP('Données projet'!$B$12,Paramètres!$A$1:$I$89,5,0)</f>
        <v>0</v>
      </c>
      <c r="CA42" s="14" t="e">
        <f t="shared" si="39"/>
        <v>#NUM!</v>
      </c>
      <c r="CB42" s="22" t="e">
        <f t="shared" si="10"/>
        <v>#NUM!</v>
      </c>
      <c r="CC42" s="62" t="e">
        <f t="shared" si="11"/>
        <v>#NUM!</v>
      </c>
      <c r="CD42" s="62">
        <f ca="1">AVERAGE(OFFSET($CC$3,0,0,'Données projet'!$E$12+1,1))-AVERAGE(OFFSET($H$3,0,0,'Données projet'!$E$12+1,1))</f>
        <v>152.56843845628913</v>
      </c>
      <c r="CE42" s="62">
        <f t="shared" si="40"/>
        <v>311.82523951987685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82.672216343909994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11.754984849349906</v>
      </c>
      <c r="CN42" s="24">
        <f t="shared" si="12"/>
        <v>94.427201193259904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22.900800000000022</v>
      </c>
      <c r="D43" s="12">
        <f t="shared" si="32"/>
        <v>7.3302046993792294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233.36214153906792</v>
      </c>
      <c r="H43" s="70">
        <f t="shared" si="1"/>
        <v>345.98566651808551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350</v>
      </c>
      <c r="L43" s="13">
        <f>VLOOKUP(A43,'Données projet'!$A$35:$I$55,9,0)</f>
        <v>10</v>
      </c>
      <c r="M43" s="13">
        <f t="array" ref="M43">INDEX(L:L,MIN(IF(ISNUMBER(L43:L239),ROW(L43:L239),"")))</f>
        <v>10</v>
      </c>
      <c r="N43" s="14">
        <f>IF('Données projet'!$A$36&gt;35,N42+M43-V42,IF(A43&lt;'Données projet'!$A$36,$K$205^A43,IF(A43='Données projet'!$A$36,'Données projet'!$B$36,N42+M43-V42)))</f>
        <v>349.99999999999989</v>
      </c>
      <c r="O43" s="14">
        <f>N43*VLOOKUP('Données projet'!$B$9,Paramètres!$A$1:$I$89,3,0)*VLOOKUP('Données projet'!$B$9,Paramètres!$A$1:$I$89,5,0)</f>
        <v>163.79999999999995</v>
      </c>
      <c r="P43" s="14">
        <f t="shared" si="33"/>
        <v>41.698441627605291</v>
      </c>
      <c r="Q43" s="22">
        <f t="shared" si="53"/>
        <v>357.90978583474572</v>
      </c>
      <c r="R43" s="62">
        <f t="shared" si="0"/>
        <v>651.24311916807903</v>
      </c>
      <c r="S43" s="62">
        <f ca="1">AVERAGE(OFFSET($R$3,0,0,'Données projet'!$E$9+1,1))-AVERAGE(OFFSET($H$3,0,0,'Données projet'!$E$9+1,1))</f>
        <v>300.81172286376216</v>
      </c>
      <c r="T43" s="62">
        <f t="shared" si="34"/>
        <v>217.90654346456347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88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264</v>
      </c>
      <c r="AG43" s="13">
        <f>VLOOKUP(A43,'Données projet'!$A$61:$I$81,9,0)</f>
        <v>14.4</v>
      </c>
      <c r="AH43" s="13">
        <f t="array" ref="AH43">INDEX(AG:AG,MIN(IF(ISNUMBER(AG43:AG239),ROW(AG43:AG239),"")))</f>
        <v>14.4</v>
      </c>
      <c r="AI43" s="14">
        <f>IF('Données projet'!$A$62&gt;35,AI42+AH43-AQ42,IF(A43&lt;'Données projet'!$A$62,$AF$205^A43,IF(A43='Données projet'!$A$62,'Données projet'!$B$62,AI42+AH43-AQ42)))</f>
        <v>264.00000000000006</v>
      </c>
      <c r="AJ43" s="14">
        <f>AI43*VLOOKUP('Données projet'!$B$10,Paramètres!$A$1:$I$89,3,0)*VLOOKUP('Données projet'!$B$10,Paramètres!$A$1:$I$89,5,0)</f>
        <v>157.87200000000004</v>
      </c>
      <c r="AK43" s="14">
        <f t="shared" si="35"/>
        <v>40.362165684361159</v>
      </c>
      <c r="AL43" s="22">
        <f t="shared" si="4"/>
        <v>345.25783856692902</v>
      </c>
      <c r="AM43" s="62">
        <f t="shared" si="5"/>
        <v>638.59117190026234</v>
      </c>
      <c r="AN43" s="62">
        <f ca="1">AVERAGE(OFFSET($AM$3,0,0,'Données projet'!$E$10+1,1))-AVERAGE(OFFSET($H$3,0,0,'Données projet'!$E$10+1,1))</f>
        <v>279.33945837918748</v>
      </c>
      <c r="AO43" s="62">
        <f t="shared" si="36"/>
        <v>215.78305328671854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41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10.849773317485901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3.2026960843178838</v>
      </c>
      <c r="AX43" s="23">
        <f t="shared" si="6"/>
        <v>14.052469401803785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564</v>
      </c>
      <c r="BB43" s="13">
        <f>VLOOKUP(A43,'Données projet'!$A$87:$I$107,9,0)</f>
        <v>25.6</v>
      </c>
      <c r="BC43" s="13">
        <f t="array" ref="BC43">INDEX(BB:BB,MIN(IF(ISNUMBER(BB43:BB239),ROW(BB43:BB239),"")))</f>
        <v>25.6</v>
      </c>
      <c r="BD43" s="13">
        <f>IF('Données projet'!$A$88&gt;35,BD42+BC43-BL42,IF(A43&lt;'Données projet'!$A$88,$BA$205^A43,IF(A43='Données projet'!$A$88,'Données projet'!$B$88,BD42+BC43-BL42)))</f>
        <v>564.00000000000023</v>
      </c>
      <c r="BE43" s="14">
        <f>BD43*VLOOKUP('Données projet'!$B$11,Paramètres!$A$1:$I$89,3,0)*VLOOKUP('Données projet'!$B$11,Paramètres!$A$1:$I$89,5,0)</f>
        <v>315.27600000000012</v>
      </c>
      <c r="BF43" s="14">
        <f t="shared" si="37"/>
        <v>74.36958441265493</v>
      </c>
      <c r="BG43" s="22">
        <f t="shared" si="7"/>
        <v>678.63272618537417</v>
      </c>
      <c r="BH43" s="62">
        <f t="shared" si="8"/>
        <v>971.96605951870743</v>
      </c>
      <c r="BI43" s="62">
        <f ca="1">AVERAGE(OFFSET($BH$3,0,0,'Données projet'!$E$11+1,1))-AVERAGE(OFFSET($H$3,0,0,'Données projet'!$E$11+1,1))</f>
        <v>376.38993452481719</v>
      </c>
      <c r="BJ43" s="62">
        <f t="shared" si="38"/>
        <v>470.10036612616727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72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4.0909461896035095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0.1416046134549441</v>
      </c>
      <c r="BS43" s="24">
        <f t="shared" si="9"/>
        <v>4.2325508030584533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>
        <f>BY43*VLOOKUP('Données projet'!$B$12,Paramètres!$A$1:$I$89,3,0)*VLOOKUP('Données projet'!$B$12,Paramètres!$A$1:$I$89,5,0)</f>
        <v>0</v>
      </c>
      <c r="CA43" s="14" t="e">
        <f t="shared" si="39"/>
        <v>#NUM!</v>
      </c>
      <c r="CB43" s="22" t="e">
        <f t="shared" si="10"/>
        <v>#NUM!</v>
      </c>
      <c r="CC43" s="62" t="e">
        <f t="shared" si="11"/>
        <v>#NUM!</v>
      </c>
      <c r="CD43" s="62">
        <f ca="1">AVERAGE(OFFSET($CC$3,0,0,'Données projet'!$E$12+1,1))-AVERAGE(OFFSET($H$3,0,0,'Données projet'!$E$12+1,1))</f>
        <v>152.56843845628913</v>
      </c>
      <c r="CE43" s="62">
        <f t="shared" si="40"/>
        <v>311.82523951987685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81.051064606478832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8.3120294997204454</v>
      </c>
      <c r="CN43" s="24">
        <f t="shared" si="12"/>
        <v>89.36309410619927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23.473320000000022</v>
      </c>
      <c r="D44" s="12">
        <f t="shared" si="32"/>
        <v>7.4918954847600094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239.02973356656867</v>
      </c>
      <c r="H44" s="70">
        <f t="shared" si="1"/>
        <v>347.26441696929038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11.5</v>
      </c>
      <c r="N44" s="14">
        <f>IF('Données projet'!$A$36&gt;35,N43+M44-V43,IF(A44&lt;'Données projet'!$A$36,$K$205^A44,IF(A44='Données projet'!$A$36,'Données projet'!$B$36,N43+M44-V43)))</f>
        <v>273.49999999999989</v>
      </c>
      <c r="O44" s="14">
        <f>N44*VLOOKUP('Données projet'!$B$9,Paramètres!$A$1:$I$89,3,0)*VLOOKUP('Données projet'!$B$9,Paramètres!$A$1:$I$89,5,0)</f>
        <v>127.99799999999995</v>
      </c>
      <c r="P44" s="14">
        <f t="shared" si="33"/>
        <v>33.533338894635314</v>
      </c>
      <c r="Q44" s="22">
        <f t="shared" si="53"/>
        <v>281.33374857482306</v>
      </c>
      <c r="R44" s="62">
        <f t="shared" si="0"/>
        <v>574.66708190815643</v>
      </c>
      <c r="S44" s="62">
        <f ca="1">AVERAGE(OFFSET($R$3,0,0,'Données projet'!$E$9+1,1))-AVERAGE(OFFSET($H$3,0,0,'Données projet'!$E$9+1,1))</f>
        <v>300.81172286376216</v>
      </c>
      <c r="T44" s="62">
        <f t="shared" si="34"/>
        <v>217.90654346456347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16.600000000000001</v>
      </c>
      <c r="AI44" s="14">
        <f>IF('Données projet'!$A$62&gt;35,AI43+AH44-AQ43,IF(A44&lt;'Données projet'!$A$62,$AF$205^A44,IF(A44='Données projet'!$A$62,'Données projet'!$B$62,AI43+AH44-AQ43)))</f>
        <v>239.60000000000008</v>
      </c>
      <c r="AJ44" s="14">
        <f>AI44*VLOOKUP('Données projet'!$B$10,Paramètres!$A$1:$I$89,3,0)*VLOOKUP('Données projet'!$B$10,Paramètres!$A$1:$I$89,5,0)</f>
        <v>143.28080000000006</v>
      </c>
      <c r="AK44" s="14">
        <f t="shared" si="35"/>
        <v>37.047574465948976</v>
      </c>
      <c r="AL44" s="22">
        <f t="shared" si="4"/>
        <v>314.07191886152788</v>
      </c>
      <c r="AM44" s="62">
        <f t="shared" si="5"/>
        <v>607.40525219486119</v>
      </c>
      <c r="AN44" s="62">
        <f ca="1">AVERAGE(OFFSET($AM$3,0,0,'Données projet'!$E$10+1,1))-AVERAGE(OFFSET($H$3,0,0,'Données projet'!$E$10+1,1))</f>
        <v>279.33945837918748</v>
      </c>
      <c r="AO44" s="62">
        <f t="shared" si="36"/>
        <v>215.78305328671854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10.637015880438282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2.2646481193007784</v>
      </c>
      <c r="AX44" s="23">
        <f t="shared" si="6"/>
        <v>12.901663999739061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22.8</v>
      </c>
      <c r="BD44" s="13">
        <f>IF('Données projet'!$A$88&gt;35,BD43+BC44-BL43,IF(A44&lt;'Données projet'!$A$88,$BA$205^A44,IF(A44='Données projet'!$A$88,'Données projet'!$B$88,BD43+BC44-BL43)))</f>
        <v>514.80000000000018</v>
      </c>
      <c r="BE44" s="14">
        <f>BD44*VLOOKUP('Données projet'!$B$11,Paramètres!$A$1:$I$89,3,0)*VLOOKUP('Données projet'!$B$11,Paramètres!$A$1:$I$89,5,0)</f>
        <v>287.77320000000009</v>
      </c>
      <c r="BF44" s="14">
        <f t="shared" si="37"/>
        <v>68.607082381743922</v>
      </c>
      <c r="BG44" s="22">
        <f t="shared" si="7"/>
        <v>620.69565848153741</v>
      </c>
      <c r="BH44" s="62">
        <f t="shared" si="8"/>
        <v>914.02899181487078</v>
      </c>
      <c r="BI44" s="62">
        <f ca="1">AVERAGE(OFFSET($BH$3,0,0,'Données projet'!$E$11+1,1))-AVERAGE(OFFSET($H$3,0,0,'Données projet'!$E$11+1,1))</f>
        <v>376.38993452481719</v>
      </c>
      <c r="BJ44" s="62">
        <f t="shared" si="38"/>
        <v>470.10036612616727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4.0107252300561766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0.1001295824212908</v>
      </c>
      <c r="BS44" s="24">
        <f t="shared" si="9"/>
        <v>4.1108548124774673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>
        <f>BY44*VLOOKUP('Données projet'!$B$12,Paramètres!$A$1:$I$89,3,0)*VLOOKUP('Données projet'!$B$12,Paramètres!$A$1:$I$89,5,0)</f>
        <v>0</v>
      </c>
      <c r="CA44" s="14" t="e">
        <f t="shared" si="39"/>
        <v>#NUM!</v>
      </c>
      <c r="CB44" s="22" t="e">
        <f t="shared" si="10"/>
        <v>#NUM!</v>
      </c>
      <c r="CC44" s="62" t="e">
        <f t="shared" si="11"/>
        <v>#NUM!</v>
      </c>
      <c r="CD44" s="62">
        <f ca="1">AVERAGE(OFFSET($CC$3,0,0,'Données projet'!$E$12+1,1))-AVERAGE(OFFSET($H$3,0,0,'Données projet'!$E$12+1,1))</f>
        <v>152.56843845628913</v>
      </c>
      <c r="CE44" s="62">
        <f t="shared" si="40"/>
        <v>311.82523951987685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79.46170266581376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5.8774924246749531</v>
      </c>
      <c r="CN44" s="24">
        <f t="shared" si="12"/>
        <v>85.339195090488715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24.045840000000023</v>
      </c>
      <c r="D45" s="12">
        <f t="shared" si="32"/>
        <v>7.6531278290226048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244.69378675035014</v>
      </c>
      <c r="H45" s="70">
        <f t="shared" si="1"/>
        <v>348.54236896888108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11.5</v>
      </c>
      <c r="N45" s="14">
        <f>IF('Données projet'!$A$36&gt;35,N44+M45-V44,IF(A45&lt;'Données projet'!$A$36,$K$205^A45,IF(A45='Données projet'!$A$36,'Données projet'!$B$36,N44+M45-V44)))</f>
        <v>284.99999999999989</v>
      </c>
      <c r="O45" s="14">
        <f>N45*VLOOKUP('Données projet'!$B$9,Paramètres!$A$1:$I$89,3,0)*VLOOKUP('Données projet'!$B$9,Paramètres!$A$1:$I$89,5,0)</f>
        <v>133.37999999999994</v>
      </c>
      <c r="P45" s="14">
        <f t="shared" si="33"/>
        <v>34.776207535548991</v>
      </c>
      <c r="Q45" s="22">
        <f t="shared" si="53"/>
        <v>292.87206145774769</v>
      </c>
      <c r="R45" s="62">
        <f t="shared" si="0"/>
        <v>586.20539479108106</v>
      </c>
      <c r="S45" s="62">
        <f ca="1">AVERAGE(OFFSET($R$3,0,0,'Données projet'!$E$9+1,1))-AVERAGE(OFFSET($H$3,0,0,'Données projet'!$E$9+1,1))</f>
        <v>300.81172286376216</v>
      </c>
      <c r="T45" s="62">
        <f t="shared" si="34"/>
        <v>217.90654346456347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16.600000000000001</v>
      </c>
      <c r="AI45" s="14">
        <f>IF('Données projet'!$A$62&gt;35,AI44+AH45-AQ44,IF(A45&lt;'Données projet'!$A$62,$AF$205^A45,IF(A45='Données projet'!$A$62,'Données projet'!$B$62,AI44+AH45-AQ44)))</f>
        <v>256.2000000000001</v>
      </c>
      <c r="AJ45" s="14">
        <f>AI45*VLOOKUP('Données projet'!$B$10,Paramètres!$A$1:$I$89,3,0)*VLOOKUP('Données projet'!$B$10,Paramètres!$A$1:$I$89,5,0)</f>
        <v>153.20760000000007</v>
      </c>
      <c r="AK45" s="14">
        <f t="shared" si="35"/>
        <v>39.306624169832133</v>
      </c>
      <c r="AL45" s="22">
        <f t="shared" si="4"/>
        <v>335.29560709579107</v>
      </c>
      <c r="AM45" s="62">
        <f t="shared" si="5"/>
        <v>628.62894042912444</v>
      </c>
      <c r="AN45" s="62">
        <f ca="1">AVERAGE(OFFSET($AM$3,0,0,'Données projet'!$E$10+1,1))-AVERAGE(OFFSET($H$3,0,0,'Données projet'!$E$10+1,1))</f>
        <v>279.33945837918748</v>
      </c>
      <c r="AO45" s="62">
        <f t="shared" si="36"/>
        <v>215.78305328671854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10.428430486961943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1.6013480421589419</v>
      </c>
      <c r="AX45" s="23">
        <f t="shared" si="6"/>
        <v>12.029778529120886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22.8</v>
      </c>
      <c r="BD45" s="13">
        <f>IF('Données projet'!$A$88&gt;35,BD44+BC45-BL44,IF(A45&lt;'Données projet'!$A$88,$BA$205^A45,IF(A45='Données projet'!$A$88,'Données projet'!$B$88,BD44+BC45-BL44)))</f>
        <v>537.60000000000014</v>
      </c>
      <c r="BE45" s="14">
        <f>BD45*VLOOKUP('Données projet'!$B$11,Paramètres!$A$1:$I$89,3,0)*VLOOKUP('Données projet'!$B$11,Paramètres!$A$1:$I$89,5,0)</f>
        <v>300.5184000000001</v>
      </c>
      <c r="BF45" s="14">
        <f t="shared" si="37"/>
        <v>71.285129105116411</v>
      </c>
      <c r="BG45" s="22">
        <f t="shared" si="7"/>
        <v>647.55781319141124</v>
      </c>
      <c r="BH45" s="62">
        <f t="shared" si="8"/>
        <v>940.8911465247445</v>
      </c>
      <c r="BI45" s="62">
        <f ca="1">AVERAGE(OFFSET($BH$3,0,0,'Données projet'!$E$11+1,1))-AVERAGE(OFFSET($H$3,0,0,'Données projet'!$E$11+1,1))</f>
        <v>376.38993452481719</v>
      </c>
      <c r="BJ45" s="62">
        <f t="shared" si="38"/>
        <v>470.10036612616727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3.9320773545956134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7.080230672747205E-2</v>
      </c>
      <c r="BS45" s="24">
        <f t="shared" si="9"/>
        <v>4.0028796613230853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>
        <f>BY45*VLOOKUP('Données projet'!$B$12,Paramètres!$A$1:$I$89,3,0)*VLOOKUP('Données projet'!$B$12,Paramètres!$A$1:$I$89,5,0)</f>
        <v>0</v>
      </c>
      <c r="CA45" s="14" t="e">
        <f t="shared" si="39"/>
        <v>#NUM!</v>
      </c>
      <c r="CB45" s="22" t="e">
        <f t="shared" si="10"/>
        <v>#NUM!</v>
      </c>
      <c r="CC45" s="62" t="e">
        <f t="shared" si="11"/>
        <v>#NUM!</v>
      </c>
      <c r="CD45" s="62">
        <f ca="1">AVERAGE(OFFSET($CC$3,0,0,'Données projet'!$E$12+1,1))-AVERAGE(OFFSET($H$3,0,0,'Données projet'!$E$12+1,1))</f>
        <v>152.56843845628913</v>
      </c>
      <c r="CE45" s="62">
        <f t="shared" si="40"/>
        <v>311.82523951987685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77.903507143390073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4.1560147498602227</v>
      </c>
      <c r="CN45" s="24">
        <f t="shared" si="12"/>
        <v>82.059521893250292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24.618360000000024</v>
      </c>
      <c r="D46" s="12">
        <f t="shared" si="32"/>
        <v>7.813913903423181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250.35439504396868</v>
      </c>
      <c r="H46" s="70">
        <f t="shared" si="1"/>
        <v>349.8195437151287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11.5</v>
      </c>
      <c r="N46" s="14">
        <f>IF('Données projet'!$A$36&gt;35,N45+M46-V45,IF(A46&lt;'Données projet'!$A$36,$K$205^A46,IF(A46='Données projet'!$A$36,'Données projet'!$B$36,N45+M46-V45)))</f>
        <v>296.49999999999989</v>
      </c>
      <c r="O46" s="14">
        <f>N46*VLOOKUP('Données projet'!$B$9,Paramètres!$A$1:$I$89,3,0)*VLOOKUP('Données projet'!$B$9,Paramètres!$A$1:$I$89,5,0)</f>
        <v>138.76199999999994</v>
      </c>
      <c r="P46" s="14">
        <f t="shared" si="33"/>
        <v>36.01325063671441</v>
      </c>
      <c r="Q46" s="22">
        <f t="shared" si="53"/>
        <v>304.4002281922775</v>
      </c>
      <c r="R46" s="62">
        <f t="shared" si="0"/>
        <v>597.73356152561087</v>
      </c>
      <c r="S46" s="62">
        <f ca="1">AVERAGE(OFFSET($R$3,0,0,'Données projet'!$E$9+1,1))-AVERAGE(OFFSET($H$3,0,0,'Données projet'!$E$9+1,1))</f>
        <v>300.81172286376216</v>
      </c>
      <c r="T46" s="62">
        <f t="shared" si="34"/>
        <v>217.90654346456347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16.600000000000001</v>
      </c>
      <c r="AI46" s="14">
        <f>IF('Données projet'!$A$62&gt;35,AI45+AH46-AQ45,IF(A46&lt;'Données projet'!$A$62,$AF$205^A46,IF(A46='Données projet'!$A$62,'Données projet'!$B$62,AI45+AH46-AQ45)))</f>
        <v>272.80000000000013</v>
      </c>
      <c r="AJ46" s="14">
        <f>AI46*VLOOKUP('Données projet'!$B$10,Paramètres!$A$1:$I$89,3,0)*VLOOKUP('Données projet'!$B$10,Paramètres!$A$1:$I$89,5,0)</f>
        <v>163.13440000000008</v>
      </c>
      <c r="AK46" s="14">
        <f t="shared" si="35"/>
        <v>41.548687845426002</v>
      </c>
      <c r="AL46" s="22">
        <f t="shared" si="4"/>
        <v>356.48971133078379</v>
      </c>
      <c r="AM46" s="62">
        <f t="shared" si="5"/>
        <v>649.82304466411711</v>
      </c>
      <c r="AN46" s="62">
        <f ca="1">AVERAGE(OFFSET($AM$3,0,0,'Données projet'!$E$10+1,1))-AVERAGE(OFFSET($H$3,0,0,'Données projet'!$E$10+1,1))</f>
        <v>279.33945837918748</v>
      </c>
      <c r="AO46" s="62">
        <f t="shared" si="36"/>
        <v>215.78305328671854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10.223935325827147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1.1323240596503892</v>
      </c>
      <c r="AX46" s="23">
        <f t="shared" si="6"/>
        <v>11.356259385477536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22.8</v>
      </c>
      <c r="BD46" s="13">
        <f>IF('Données projet'!$A$88&gt;35,BD45+BC46-BL45,IF(A46&lt;'Données projet'!$A$88,$BA$205^A46,IF(A46='Données projet'!$A$88,'Données projet'!$B$88,BD45+BC46-BL45)))</f>
        <v>560.40000000000009</v>
      </c>
      <c r="BE46" s="14">
        <f>BD46*VLOOKUP('Données projet'!$B$11,Paramètres!$A$1:$I$89,3,0)*VLOOKUP('Données projet'!$B$11,Paramètres!$A$1:$I$89,5,0)</f>
        <v>313.26360000000005</v>
      </c>
      <c r="BF46" s="14">
        <f t="shared" si="37"/>
        <v>73.949983766039026</v>
      </c>
      <c r="BG46" s="22">
        <f t="shared" si="7"/>
        <v>674.39699172585131</v>
      </c>
      <c r="BH46" s="62">
        <f t="shared" si="8"/>
        <v>967.73032505918468</v>
      </c>
      <c r="BI46" s="62">
        <f ca="1">AVERAGE(OFFSET($BH$3,0,0,'Données projet'!$E$11+1,1))-AVERAGE(OFFSET($H$3,0,0,'Données projet'!$E$11+1,1))</f>
        <v>376.38993452481719</v>
      </c>
      <c r="BJ46" s="62">
        <f t="shared" si="38"/>
        <v>470.10036612616727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3.8549717160023644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5.0064791210645401E-2</v>
      </c>
      <c r="BS46" s="24">
        <f t="shared" si="9"/>
        <v>3.9050365072130098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>
        <f>BY46*VLOOKUP('Données projet'!$B$12,Paramètres!$A$1:$I$89,3,0)*VLOOKUP('Données projet'!$B$12,Paramètres!$A$1:$I$89,5,0)</f>
        <v>0</v>
      </c>
      <c r="CA46" s="14" t="e">
        <f t="shared" si="39"/>
        <v>#NUM!</v>
      </c>
      <c r="CB46" s="22" t="e">
        <f t="shared" si="10"/>
        <v>#NUM!</v>
      </c>
      <c r="CC46" s="62" t="e">
        <f t="shared" si="11"/>
        <v>#NUM!</v>
      </c>
      <c r="CD46" s="62">
        <f ca="1">AVERAGE(OFFSET($CC$3,0,0,'Données projet'!$E$12+1,1))-AVERAGE(OFFSET($H$3,0,0,'Données projet'!$E$12+1,1))</f>
        <v>152.56843845628913</v>
      </c>
      <c r="CE46" s="62">
        <f t="shared" si="40"/>
        <v>311.82523951987685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76.375866884755695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2.9387462123374766</v>
      </c>
      <c r="CN46" s="24">
        <f t="shared" si="12"/>
        <v>79.314613097093172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25.190880000000025</v>
      </c>
      <c r="D47" s="12">
        <f t="shared" si="32"/>
        <v>7.9742652808134213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256.01164778171784</v>
      </c>
      <c r="H47" s="70">
        <f t="shared" si="1"/>
        <v>351.09596136408339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11.5</v>
      </c>
      <c r="N47" s="14">
        <f>IF('Données projet'!$A$36&gt;35,N46+M47-V46,IF(A47&lt;'Données projet'!$A$36,$K$205^A47,IF(A47='Données projet'!$A$36,'Données projet'!$B$36,N46+M47-V46)))</f>
        <v>307.99999999999989</v>
      </c>
      <c r="O47" s="14">
        <f>N47*VLOOKUP('Données projet'!$B$9,Paramètres!$A$1:$I$89,3,0)*VLOOKUP('Données projet'!$B$9,Paramètres!$A$1:$I$89,5,0)</f>
        <v>144.14399999999995</v>
      </c>
      <c r="P47" s="14">
        <f t="shared" si="33"/>
        <v>37.244720006976216</v>
      </c>
      <c r="Q47" s="22">
        <f t="shared" si="53"/>
        <v>315.91868734548348</v>
      </c>
      <c r="R47" s="62">
        <f t="shared" si="0"/>
        <v>609.25202067881673</v>
      </c>
      <c r="S47" s="62">
        <f ca="1">AVERAGE(OFFSET($R$3,0,0,'Données projet'!$E$9+1,1))-AVERAGE(OFFSET($H$3,0,0,'Données projet'!$E$9+1,1))</f>
        <v>300.81172286376216</v>
      </c>
      <c r="T47" s="62">
        <f t="shared" si="34"/>
        <v>217.90654346456347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16.600000000000001</v>
      </c>
      <c r="AI47" s="14">
        <f>IF('Données projet'!$A$62&gt;35,AI46+AH47-AQ46,IF(A47&lt;'Données projet'!$A$62,$AF$205^A47,IF(A47='Données projet'!$A$62,'Données projet'!$B$62,AI46+AH47-AQ46)))</f>
        <v>289.40000000000015</v>
      </c>
      <c r="AJ47" s="14">
        <f>AI47*VLOOKUP('Données projet'!$B$10,Paramètres!$A$1:$I$89,3,0)*VLOOKUP('Données projet'!$B$10,Paramètres!$A$1:$I$89,5,0)</f>
        <v>173.0612000000001</v>
      </c>
      <c r="AK47" s="14">
        <f t="shared" si="35"/>
        <v>43.774916798471111</v>
      </c>
      <c r="AL47" s="22">
        <f t="shared" si="4"/>
        <v>377.65623675733735</v>
      </c>
      <c r="AM47" s="62">
        <f t="shared" si="5"/>
        <v>670.98957009067067</v>
      </c>
      <c r="AN47" s="62">
        <f ca="1">AVERAGE(OFFSET($AM$3,0,0,'Données projet'!$E$10+1,1))-AVERAGE(OFFSET($H$3,0,0,'Données projet'!$E$10+1,1))</f>
        <v>279.33945837918748</v>
      </c>
      <c r="AO47" s="62">
        <f t="shared" si="36"/>
        <v>215.78305328671854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10.023450190072474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0.80067402107947094</v>
      </c>
      <c r="AX47" s="23">
        <f t="shared" si="6"/>
        <v>10.824124211151945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22.8</v>
      </c>
      <c r="BD47" s="13">
        <f>IF('Données projet'!$A$88&gt;35,BD46+BC47-BL46,IF(A47&lt;'Données projet'!$A$88,$BA$205^A47,IF(A47='Données projet'!$A$88,'Données projet'!$B$88,BD46+BC47-BL46)))</f>
        <v>583.20000000000005</v>
      </c>
      <c r="BE47" s="14">
        <f>BD47*VLOOKUP('Données projet'!$B$11,Paramètres!$A$1:$I$89,3,0)*VLOOKUP('Données projet'!$B$11,Paramètres!$A$1:$I$89,5,0)</f>
        <v>326.00880000000001</v>
      </c>
      <c r="BF47" s="14">
        <f t="shared" si="37"/>
        <v>76.602244480772981</v>
      </c>
      <c r="BG47" s="22">
        <f t="shared" si="7"/>
        <v>701.2142358040129</v>
      </c>
      <c r="BH47" s="62">
        <f t="shared" si="8"/>
        <v>994.54756913734627</v>
      </c>
      <c r="BI47" s="62">
        <f ca="1">AVERAGE(OFFSET($BH$3,0,0,'Données projet'!$E$11+1,1))-AVERAGE(OFFSET($H$3,0,0,'Données projet'!$E$11+1,1))</f>
        <v>376.38993452481719</v>
      </c>
      <c r="BJ47" s="62">
        <f t="shared" si="38"/>
        <v>470.10036612616727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3.779378071952133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3.5401153363736025E-2</v>
      </c>
      <c r="BS47" s="24">
        <f t="shared" si="9"/>
        <v>3.8147792253158692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>
        <f>BY47*VLOOKUP('Données projet'!$B$12,Paramètres!$A$1:$I$89,3,0)*VLOOKUP('Données projet'!$B$12,Paramètres!$A$1:$I$89,5,0)</f>
        <v>0</v>
      </c>
      <c r="CA47" s="14" t="e">
        <f t="shared" si="39"/>
        <v>#NUM!</v>
      </c>
      <c r="CB47" s="22" t="e">
        <f t="shared" si="10"/>
        <v>#NUM!</v>
      </c>
      <c r="CC47" s="62" t="e">
        <f t="shared" si="11"/>
        <v>#NUM!</v>
      </c>
      <c r="CD47" s="62">
        <f ca="1">AVERAGE(OFFSET($CC$3,0,0,'Données projet'!$E$12+1,1))-AVERAGE(OFFSET($H$3,0,0,'Données projet'!$E$12+1,1))</f>
        <v>152.56843845628913</v>
      </c>
      <c r="CE47" s="62">
        <f t="shared" si="40"/>
        <v>311.82523951987685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74.878182719824579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2.0780073749301113</v>
      </c>
      <c r="CN47" s="24">
        <f t="shared" si="12"/>
        <v>76.956190094754689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25.763400000000026</v>
      </c>
      <c r="D48" s="12">
        <f t="shared" si="32"/>
        <v>8.1341929779825097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261.66563000547922</v>
      </c>
      <c r="H48" s="70">
        <f t="shared" si="1"/>
        <v>352.37164110331958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11.5</v>
      </c>
      <c r="N48" s="14">
        <f>IF('Données projet'!$A$36&gt;35,N47+M48-V47,IF(A48&lt;'Données projet'!$A$36,$K$205^A48,IF(A48='Données projet'!$A$36,'Données projet'!$B$36,N47+M48-V47)))</f>
        <v>319.49999999999989</v>
      </c>
      <c r="O48" s="14">
        <f>N48*VLOOKUP('Données projet'!$B$9,Paramètres!$A$1:$I$89,3,0)*VLOOKUP('Données projet'!$B$9,Paramètres!$A$1:$I$89,5,0)</f>
        <v>149.52599999999995</v>
      </c>
      <c r="P48" s="14">
        <f t="shared" si="33"/>
        <v>38.470847585964201</v>
      </c>
      <c r="Q48" s="22">
        <f t="shared" si="53"/>
        <v>327.42784287888759</v>
      </c>
      <c r="R48" s="62">
        <f t="shared" si="0"/>
        <v>620.7611762122209</v>
      </c>
      <c r="S48" s="62">
        <f ca="1">AVERAGE(OFFSET($R$3,0,0,'Données projet'!$E$9+1,1))-AVERAGE(OFFSET($H$3,0,0,'Données projet'!$E$9+1,1))</f>
        <v>300.81172286376216</v>
      </c>
      <c r="T48" s="62">
        <f t="shared" si="34"/>
        <v>217.90654346456347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306</v>
      </c>
      <c r="AG48" s="13">
        <f>VLOOKUP(A48,'Données projet'!$A$61:$I$81,9,0)</f>
        <v>16.600000000000001</v>
      </c>
      <c r="AH48" s="13">
        <f t="array" ref="AH48">INDEX(AG:AG,MIN(IF(ISNUMBER(AG48:AG244),ROW(AG48:AG244),"")))</f>
        <v>16.600000000000001</v>
      </c>
      <c r="AI48" s="14">
        <f>IF('Données projet'!$A$62&gt;35,AI47+AH48-AQ47,IF(A48&lt;'Données projet'!$A$62,$AF$205^A48,IF(A48='Données projet'!$A$62,'Données projet'!$B$62,AI47+AH48-AQ47)))</f>
        <v>306.00000000000017</v>
      </c>
      <c r="AJ48" s="14">
        <f>AI48*VLOOKUP('Données projet'!$B$10,Paramètres!$A$1:$I$89,3,0)*VLOOKUP('Données projet'!$B$10,Paramètres!$A$1:$I$89,5,0)</f>
        <v>182.98800000000011</v>
      </c>
      <c r="AK48" s="14">
        <f t="shared" si="35"/>
        <v>45.986322796524874</v>
      </c>
      <c r="AL48" s="22">
        <f t="shared" si="4"/>
        <v>398.79694553728103</v>
      </c>
      <c r="AM48" s="62">
        <f t="shared" si="5"/>
        <v>692.13027887061435</v>
      </c>
      <c r="AN48" s="62">
        <f ca="1">AVERAGE(OFFSET($AM$3,0,0,'Données projet'!$E$10+1,1))-AVERAGE(OFFSET($H$3,0,0,'Données projet'!$E$10+1,1))</f>
        <v>279.33945837918748</v>
      </c>
      <c r="AO48" s="62">
        <f t="shared" si="36"/>
        <v>215.78305328671854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53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9.8268964455460903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0.56616202982519459</v>
      </c>
      <c r="AX48" s="23">
        <f t="shared" si="6"/>
        <v>10.393058475371285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606</v>
      </c>
      <c r="BB48" s="13">
        <f>VLOOKUP(A48,'Données projet'!$A$87:$I$107,9,0)</f>
        <v>22.8</v>
      </c>
      <c r="BC48" s="13">
        <f t="array" ref="BC48">INDEX(BB:BB,MIN(IF(ISNUMBER(BB48:BB244),ROW(BB48:BB244),"")))</f>
        <v>22.8</v>
      </c>
      <c r="BD48" s="13">
        <f>IF('Données projet'!$A$88&gt;35,BD47+BC48-BL47,IF(A48&lt;'Données projet'!$A$88,$BA$205^A48,IF(A48='Données projet'!$A$88,'Données projet'!$B$88,BD47+BC48-BL47)))</f>
        <v>606</v>
      </c>
      <c r="BE48" s="14">
        <f>BD48*VLOOKUP('Données projet'!$B$11,Paramètres!$A$1:$I$89,3,0)*VLOOKUP('Données projet'!$B$11,Paramètres!$A$1:$I$89,5,0)</f>
        <v>338.75400000000002</v>
      </c>
      <c r="BF48" s="14">
        <f t="shared" si="37"/>
        <v>79.242459951408904</v>
      </c>
      <c r="BG48" s="22">
        <f t="shared" si="7"/>
        <v>728.01050108203719</v>
      </c>
      <c r="BH48" s="62">
        <f t="shared" si="8"/>
        <v>1021.3438344153706</v>
      </c>
      <c r="BI48" s="62">
        <f ca="1">AVERAGE(OFFSET($BH$3,0,0,'Données projet'!$E$11+1,1))-AVERAGE(OFFSET($H$3,0,0,'Données projet'!$E$11+1,1))</f>
        <v>376.38993452481719</v>
      </c>
      <c r="BJ48" s="62">
        <f t="shared" si="38"/>
        <v>470.10036612616727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66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3.7052667731541566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2.5032395605322701E-2</v>
      </c>
      <c r="BS48" s="24">
        <f t="shared" si="9"/>
        <v>3.7302991687594793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>
        <f>BY48*VLOOKUP('Données projet'!$B$12,Paramètres!$A$1:$I$89,3,0)*VLOOKUP('Données projet'!$B$12,Paramètres!$A$1:$I$89,5,0)</f>
        <v>0</v>
      </c>
      <c r="CA48" s="14" t="e">
        <f t="shared" si="39"/>
        <v>#NUM!</v>
      </c>
      <c r="CB48" s="22" t="e">
        <f t="shared" si="10"/>
        <v>#NUM!</v>
      </c>
      <c r="CC48" s="62" t="e">
        <f t="shared" si="11"/>
        <v>#NUM!</v>
      </c>
      <c r="CD48" s="62">
        <f ca="1">AVERAGE(OFFSET($CC$3,0,0,'Données projet'!$E$12+1,1))-AVERAGE(OFFSET($H$3,0,0,'Données projet'!$E$12+1,1))</f>
        <v>152.56843845628913</v>
      </c>
      <c r="CE48" s="62">
        <f t="shared" si="40"/>
        <v>311.82523951987685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73.40986722787062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1.4693731061687383</v>
      </c>
      <c r="CN48" s="24">
        <f t="shared" si="12"/>
        <v>74.879240334039352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26.335920000000026</v>
      </c>
      <c r="D49" s="12">
        <f t="shared" si="32"/>
        <v>8.293707494129281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267.31642276169993</v>
      </c>
      <c r="H49" s="70">
        <f t="shared" si="1"/>
        <v>353.64660121894184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11.5</v>
      </c>
      <c r="N49" s="14">
        <f>IF('Données projet'!$A$36&gt;35,N48+M49-V48,IF(A49&lt;'Données projet'!$A$36,$K$205^A49,IF(A49='Données projet'!$A$36,'Données projet'!$B$36,N48+M49-V48)))</f>
        <v>330.99999999999989</v>
      </c>
      <c r="O49" s="14">
        <f>N49*VLOOKUP('Données projet'!$B$9,Paramètres!$A$1:$I$89,3,0)*VLOOKUP('Données projet'!$B$9,Paramètres!$A$1:$I$89,5,0)</f>
        <v>154.90799999999996</v>
      </c>
      <c r="P49" s="14">
        <f t="shared" si="33"/>
        <v>39.691847670151873</v>
      </c>
      <c r="Q49" s="22">
        <f t="shared" si="53"/>
        <v>338.92806802551439</v>
      </c>
      <c r="R49" s="62">
        <f t="shared" si="0"/>
        <v>632.26140135884771</v>
      </c>
      <c r="S49" s="62">
        <f ca="1">AVERAGE(OFFSET($R$3,0,0,'Données projet'!$E$9+1,1))-AVERAGE(OFFSET($H$3,0,0,'Données projet'!$E$9+1,1))</f>
        <v>300.81172286376216</v>
      </c>
      <c r="T49" s="62">
        <f t="shared" si="34"/>
        <v>217.90654346456347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17.399999999999999</v>
      </c>
      <c r="AI49" s="14">
        <f>IF('Données projet'!$A$62&gt;35,AI48+AH49-AQ48,IF(A49&lt;'Données projet'!$A$62,$AF$205^A49,IF(A49='Données projet'!$A$62,'Données projet'!$B$62,AI48+AH49-AQ48)))</f>
        <v>270.40000000000015</v>
      </c>
      <c r="AJ49" s="14">
        <f>AI49*VLOOKUP('Données projet'!$B$10,Paramètres!$A$1:$I$89,3,0)*VLOOKUP('Données projet'!$B$10,Paramètres!$A$1:$I$89,5,0)</f>
        <v>161.6992000000001</v>
      </c>
      <c r="AK49" s="14">
        <f t="shared" si="35"/>
        <v>41.225538754249229</v>
      </c>
      <c r="AL49" s="22">
        <f t="shared" si="4"/>
        <v>353.42725333031763</v>
      </c>
      <c r="AM49" s="62">
        <f t="shared" si="5"/>
        <v>646.76058666365088</v>
      </c>
      <c r="AN49" s="62">
        <f ca="1">AVERAGE(OFFSET($AM$3,0,0,'Données projet'!$E$10+1,1))-AVERAGE(OFFSET($H$3,0,0,'Données projet'!$E$10+1,1))</f>
        <v>279.33945837918748</v>
      </c>
      <c r="AO49" s="62">
        <f t="shared" si="36"/>
        <v>215.78305328671854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9.6341970000639225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0.40033701053973547</v>
      </c>
      <c r="AX49" s="23">
        <f t="shared" si="6"/>
        <v>10.034534010603657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17.8</v>
      </c>
      <c r="BD49" s="13">
        <f>IF('Données projet'!$A$88&gt;35,BD48+BC49-BL48,IF(A49&lt;'Données projet'!$A$88,$BA$205^A49,IF(A49='Données projet'!$A$88,'Données projet'!$B$88,BD48+BC49-BL48)))</f>
        <v>557.79999999999995</v>
      </c>
      <c r="BE49" s="14">
        <f>BD49*VLOOKUP('Données projet'!$B$11,Paramètres!$A$1:$I$89,3,0)*VLOOKUP('Données projet'!$B$11,Paramètres!$A$1:$I$89,5,0)</f>
        <v>311.81020000000001</v>
      </c>
      <c r="BF49" s="14">
        <f t="shared" si="37"/>
        <v>73.646743780370684</v>
      </c>
      <c r="BG49" s="22">
        <f t="shared" si="7"/>
        <v>671.33751041747894</v>
      </c>
      <c r="BH49" s="62">
        <f t="shared" si="8"/>
        <v>964.67084375081231</v>
      </c>
      <c r="BI49" s="62">
        <f ca="1">AVERAGE(OFFSET($BH$3,0,0,'Données projet'!$E$11+1,1))-AVERAGE(OFFSET($H$3,0,0,'Données projet'!$E$11+1,1))</f>
        <v>376.38993452481719</v>
      </c>
      <c r="BJ49" s="62">
        <f t="shared" si="38"/>
        <v>470.10036612616727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3.6326087517221799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1.7700576681868013E-2</v>
      </c>
      <c r="BS49" s="24">
        <f t="shared" si="9"/>
        <v>3.650309328404048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>
        <f>BY49*VLOOKUP('Données projet'!$B$12,Paramètres!$A$1:$I$89,3,0)*VLOOKUP('Données projet'!$B$12,Paramètres!$A$1:$I$89,5,0)</f>
        <v>0</v>
      </c>
      <c r="CA49" s="14" t="e">
        <f t="shared" si="39"/>
        <v>#NUM!</v>
      </c>
      <c r="CB49" s="22" t="e">
        <f t="shared" si="10"/>
        <v>#NUM!</v>
      </c>
      <c r="CC49" s="62" t="e">
        <f t="shared" si="11"/>
        <v>#NUM!</v>
      </c>
      <c r="CD49" s="62">
        <f ca="1">AVERAGE(OFFSET($CC$3,0,0,'Données projet'!$E$12+1,1))-AVERAGE(OFFSET($H$3,0,0,'Données projet'!$E$12+1,1))</f>
        <v>152.56843845628913</v>
      </c>
      <c r="CE49" s="62">
        <f t="shared" si="40"/>
        <v>311.82523951987685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71.970344507129866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1.0390036874650557</v>
      </c>
      <c r="CN49" s="24">
        <f t="shared" si="12"/>
        <v>73.009348194594921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26.908440000000027</v>
      </c>
      <c r="D50" s="12">
        <f t="shared" si="32"/>
        <v>8.4528188458945532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272.96410337181783</v>
      </c>
      <c r="H50" s="70">
        <f t="shared" si="1"/>
        <v>354.9208591565997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11.5</v>
      </c>
      <c r="N50" s="14">
        <f>IF('Données projet'!$A$36&gt;35,N49+M50-V49,IF(A50&lt;'Données projet'!$A$36,$K$205^A50,IF(A50='Données projet'!$A$36,'Données projet'!$B$36,N49+M50-V49)))</f>
        <v>342.49999999999989</v>
      </c>
      <c r="O50" s="14">
        <f>N50*VLOOKUP('Données projet'!$B$9,Paramètres!$A$1:$I$89,3,0)*VLOOKUP('Données projet'!$B$9,Paramètres!$A$1:$I$89,5,0)</f>
        <v>160.28999999999994</v>
      </c>
      <c r="P50" s="14">
        <f t="shared" si="33"/>
        <v>40.907918820862015</v>
      </c>
      <c r="Q50" s="22">
        <f t="shared" si="53"/>
        <v>350.41970861300121</v>
      </c>
      <c r="R50" s="62">
        <f t="shared" si="0"/>
        <v>643.75304194633452</v>
      </c>
      <c r="S50" s="62">
        <f ca="1">AVERAGE(OFFSET($R$3,0,0,'Données projet'!$E$9+1,1))-AVERAGE(OFFSET($H$3,0,0,'Données projet'!$E$9+1,1))</f>
        <v>300.81172286376216</v>
      </c>
      <c r="T50" s="62">
        <f t="shared" si="34"/>
        <v>217.90654346456347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17.399999999999999</v>
      </c>
      <c r="AI50" s="14">
        <f>IF('Données projet'!$A$62&gt;35,AI49+AH50-AQ49,IF(A50&lt;'Données projet'!$A$62,$AF$205^A50,IF(A50='Données projet'!$A$62,'Données projet'!$B$62,AI49+AH50-AQ49)))</f>
        <v>287.80000000000013</v>
      </c>
      <c r="AJ50" s="14">
        <f>AI50*VLOOKUP('Données projet'!$B$10,Paramètres!$A$1:$I$89,3,0)*VLOOKUP('Données projet'!$B$10,Paramètres!$A$1:$I$89,5,0)</f>
        <v>172.10440000000008</v>
      </c>
      <c r="AK50" s="14">
        <f t="shared" si="35"/>
        <v>43.561001176960559</v>
      </c>
      <c r="AL50" s="22">
        <f t="shared" si="4"/>
        <v>375.61724038320648</v>
      </c>
      <c r="AM50" s="62">
        <f t="shared" si="5"/>
        <v>668.95057371653979</v>
      </c>
      <c r="AN50" s="62">
        <f ca="1">AVERAGE(OFFSET($AM$3,0,0,'Données projet'!$E$10+1,1))-AVERAGE(OFFSET($H$3,0,0,'Données projet'!$E$10+1,1))</f>
        <v>279.33945837918748</v>
      </c>
      <c r="AO50" s="62">
        <f t="shared" si="36"/>
        <v>215.78305328671854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9.4452762731726043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0.2830810149125973</v>
      </c>
      <c r="AX50" s="23">
        <f t="shared" si="6"/>
        <v>9.7283572880852009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17.8</v>
      </c>
      <c r="BD50" s="13">
        <f>IF('Données projet'!$A$88&gt;35,BD49+BC50-BL49,IF(A50&lt;'Données projet'!$A$88,$BA$205^A50,IF(A50='Données projet'!$A$88,'Données projet'!$B$88,BD49+BC50-BL49)))</f>
        <v>575.59999999999991</v>
      </c>
      <c r="BE50" s="14">
        <f>BD50*VLOOKUP('Données projet'!$B$11,Paramètres!$A$1:$I$89,3,0)*VLOOKUP('Données projet'!$B$11,Paramètres!$A$1:$I$89,5,0)</f>
        <v>321.76039999999995</v>
      </c>
      <c r="BF50" s="14">
        <f t="shared" si="37"/>
        <v>75.719522083505169</v>
      </c>
      <c r="BG50" s="22">
        <f t="shared" si="7"/>
        <v>692.27753096210472</v>
      </c>
      <c r="BH50" s="62">
        <f t="shared" si="8"/>
        <v>985.61086429543798</v>
      </c>
      <c r="BI50" s="62">
        <f ca="1">AVERAGE(OFFSET($BH$3,0,0,'Données projet'!$E$11+1,1))-AVERAGE(OFFSET($H$3,0,0,'Données projet'!$E$11+1,1))</f>
        <v>376.38993452481719</v>
      </c>
      <c r="BJ50" s="62">
        <f t="shared" si="38"/>
        <v>470.10036612616727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3.561375509773467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1.251619780266135E-2</v>
      </c>
      <c r="BS50" s="24">
        <f t="shared" si="9"/>
        <v>3.5738917075761285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>
        <f>BY50*VLOOKUP('Données projet'!$B$12,Paramètres!$A$1:$I$89,3,0)*VLOOKUP('Données projet'!$B$12,Paramètres!$A$1:$I$89,5,0)</f>
        <v>0</v>
      </c>
      <c r="CA50" s="14" t="e">
        <f t="shared" si="39"/>
        <v>#NUM!</v>
      </c>
      <c r="CB50" s="22" t="e">
        <f t="shared" si="10"/>
        <v>#NUM!</v>
      </c>
      <c r="CC50" s="62" t="e">
        <f t="shared" si="11"/>
        <v>#NUM!</v>
      </c>
      <c r="CD50" s="62">
        <f ca="1">AVERAGE(OFFSET($CC$3,0,0,'Données projet'!$E$12+1,1))-AVERAGE(OFFSET($H$3,0,0,'Données projet'!$E$12+1,1))</f>
        <v>152.56843845628913</v>
      </c>
      <c r="CE50" s="62">
        <f t="shared" si="40"/>
        <v>311.82523951987685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70.559049948920674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0.73468655308436914</v>
      </c>
      <c r="CN50" s="24">
        <f t="shared" si="12"/>
        <v>71.293736502005046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27.480960000000028</v>
      </c>
      <c r="D51" s="12">
        <f t="shared" si="32"/>
        <v>8.6115365993279305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278.60874567902283</v>
      </c>
      <c r="H51" s="70">
        <f t="shared" si="1"/>
        <v>356.19443157716285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11.5</v>
      </c>
      <c r="N51" s="14">
        <f>IF('Données projet'!$A$36&gt;35,N50+M51-V50,IF(A51&lt;'Données projet'!$A$36,$K$205^A51,IF(A51='Données projet'!$A$36,'Données projet'!$B$36,N50+M51-V50)))</f>
        <v>353.99999999999989</v>
      </c>
      <c r="O51" s="14">
        <f>N51*VLOOKUP('Données projet'!$B$9,Paramètres!$A$1:$I$89,3,0)*VLOOKUP('Données projet'!$B$9,Paramètres!$A$1:$I$89,5,0)</f>
        <v>165.67199999999994</v>
      </c>
      <c r="P51" s="14">
        <f t="shared" si="33"/>
        <v>42.119245508815517</v>
      </c>
      <c r="Q51" s="22">
        <f t="shared" si="53"/>
        <v>361.90308592785351</v>
      </c>
      <c r="R51" s="62">
        <f t="shared" si="0"/>
        <v>655.23641926118682</v>
      </c>
      <c r="S51" s="62">
        <f ca="1">AVERAGE(OFFSET($R$3,0,0,'Données projet'!$E$9+1,1))-AVERAGE(OFFSET($H$3,0,0,'Données projet'!$E$9+1,1))</f>
        <v>300.81172286376216</v>
      </c>
      <c r="T51" s="62">
        <f t="shared" si="34"/>
        <v>217.90654346456347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17.399999999999999</v>
      </c>
      <c r="AI51" s="14">
        <f>IF('Données projet'!$A$62&gt;35,AI50+AH51-AQ50,IF(A51&lt;'Données projet'!$A$62,$AF$205^A51,IF(A51='Données projet'!$A$62,'Données projet'!$B$62,AI50+AH51-AQ50)))</f>
        <v>305.2000000000001</v>
      </c>
      <c r="AJ51" s="14">
        <f>AI51*VLOOKUP('Données projet'!$B$10,Paramètres!$A$1:$I$89,3,0)*VLOOKUP('Données projet'!$B$10,Paramètres!$A$1:$I$89,5,0)</f>
        <v>182.50960000000006</v>
      </c>
      <c r="AK51" s="14">
        <f t="shared" si="35"/>
        <v>45.880075205637056</v>
      </c>
      <c r="AL51" s="22">
        <f t="shared" si="4"/>
        <v>397.77868431648454</v>
      </c>
      <c r="AM51" s="62">
        <f t="shared" si="5"/>
        <v>691.11201764981786</v>
      </c>
      <c r="AN51" s="62">
        <f ca="1">AVERAGE(OFFSET($AM$3,0,0,'Données projet'!$E$10+1,1))-AVERAGE(OFFSET($H$3,0,0,'Données projet'!$E$10+1,1))</f>
        <v>279.33945837918748</v>
      </c>
      <c r="AO51" s="62">
        <f t="shared" si="36"/>
        <v>215.78305328671854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9.2600601665053599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0.20016850526986774</v>
      </c>
      <c r="AX51" s="23">
        <f t="shared" si="6"/>
        <v>9.4602286717752282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17.8</v>
      </c>
      <c r="BD51" s="13">
        <f>IF('Données projet'!$A$88&gt;35,BD50+BC51-BL50,IF(A51&lt;'Données projet'!$A$88,$BA$205^A51,IF(A51='Données projet'!$A$88,'Données projet'!$B$88,BD50+BC51-BL50)))</f>
        <v>593.39999999999986</v>
      </c>
      <c r="BE51" s="14">
        <f>BD51*VLOOKUP('Données projet'!$B$11,Paramètres!$A$1:$I$89,3,0)*VLOOKUP('Données projet'!$B$11,Paramètres!$A$1:$I$89,5,0)</f>
        <v>331.71059999999994</v>
      </c>
      <c r="BF51" s="14">
        <f t="shared" si="37"/>
        <v>77.784851407016433</v>
      </c>
      <c r="BG51" s="22">
        <f t="shared" si="7"/>
        <v>713.20457786722011</v>
      </c>
      <c r="BH51" s="62">
        <f t="shared" si="8"/>
        <v>1006.5379112005535</v>
      </c>
      <c r="BI51" s="62">
        <f ca="1">AVERAGE(OFFSET($BH$3,0,0,'Données projet'!$E$11+1,1))-AVERAGE(OFFSET($H$3,0,0,'Données projet'!$E$11+1,1))</f>
        <v>376.38993452481719</v>
      </c>
      <c r="BJ51" s="62">
        <f t="shared" si="38"/>
        <v>470.10036612616727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3.4915391082513807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8.8502883409340063E-3</v>
      </c>
      <c r="BS51" s="24">
        <f t="shared" si="9"/>
        <v>3.5003893965923147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>
        <f>BY51*VLOOKUP('Données projet'!$B$12,Paramètres!$A$1:$I$89,3,0)*VLOOKUP('Données projet'!$B$12,Paramètres!$A$1:$I$89,5,0)</f>
        <v>0</v>
      </c>
      <c r="CA51" s="14" t="e">
        <f t="shared" si="39"/>
        <v>#NUM!</v>
      </c>
      <c r="CB51" s="22" t="e">
        <f t="shared" si="10"/>
        <v>#NUM!</v>
      </c>
      <c r="CC51" s="62" t="e">
        <f t="shared" si="11"/>
        <v>#NUM!</v>
      </c>
      <c r="CD51" s="62">
        <f ca="1">AVERAGE(OFFSET($CC$3,0,0,'Données projet'!$E$12+1,1))-AVERAGE(OFFSET($H$3,0,0,'Données projet'!$E$12+1,1))</f>
        <v>152.56843845628913</v>
      </c>
      <c r="CE51" s="62">
        <f t="shared" si="40"/>
        <v>311.82523951987685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69.175430016193275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0.51950184373252783</v>
      </c>
      <c r="CN51" s="24">
        <f t="shared" si="12"/>
        <v>69.694931859925802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28.053480000000029</v>
      </c>
      <c r="D52" s="12">
        <f t="shared" si="32"/>
        <v>8.7698698991154274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284.25042027387371</v>
      </c>
      <c r="H52" s="70">
        <f t="shared" si="1"/>
        <v>357.46733440762608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11.5</v>
      </c>
      <c r="N52" s="14">
        <f>IF('Données projet'!$A$36&gt;35,N51+M52-V51,IF(A52&lt;'Données projet'!$A$36,$K$205^A52,IF(A52='Données projet'!$A$36,'Données projet'!$B$36,N51+M52-V51)))</f>
        <v>365.49999999999989</v>
      </c>
      <c r="O52" s="14">
        <f>N52*VLOOKUP('Données projet'!$B$9,Paramètres!$A$1:$I$89,3,0)*VLOOKUP('Données projet'!$B$9,Paramètres!$A$1:$I$89,5,0)</f>
        <v>171.05399999999995</v>
      </c>
      <c r="P52" s="14">
        <f t="shared" si="33"/>
        <v>43.32599953897904</v>
      </c>
      <c r="Q52" s="22">
        <f t="shared" si="53"/>
        <v>373.37849919705508</v>
      </c>
      <c r="R52" s="62">
        <f t="shared" si="0"/>
        <v>666.71183253038839</v>
      </c>
      <c r="S52" s="62">
        <f ca="1">AVERAGE(OFFSET($R$3,0,0,'Données projet'!$E$9+1,1))-AVERAGE(OFFSET($H$3,0,0,'Données projet'!$E$9+1,1))</f>
        <v>300.81172286376216</v>
      </c>
      <c r="T52" s="62">
        <f t="shared" si="34"/>
        <v>217.90654346456347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17.399999999999999</v>
      </c>
      <c r="AI52" s="14">
        <f>IF('Données projet'!$A$62&gt;35,AI51+AH52-AQ51,IF(A52&lt;'Données projet'!$A$62,$AF$205^A52,IF(A52='Données projet'!$A$62,'Données projet'!$B$62,AI51+AH52-AQ51)))</f>
        <v>322.60000000000008</v>
      </c>
      <c r="AJ52" s="14">
        <f>AI52*VLOOKUP('Données projet'!$B$10,Paramètres!$A$1:$I$89,3,0)*VLOOKUP('Données projet'!$B$10,Paramètres!$A$1:$I$89,5,0)</f>
        <v>192.91480000000007</v>
      </c>
      <c r="AK52" s="14">
        <f t="shared" si="35"/>
        <v>48.18380163388656</v>
      </c>
      <c r="AL52" s="22">
        <f t="shared" si="4"/>
        <v>419.91339784568589</v>
      </c>
      <c r="AM52" s="62">
        <f t="shared" si="5"/>
        <v>713.24673117901921</v>
      </c>
      <c r="AN52" s="62">
        <f ca="1">AVERAGE(OFFSET($AM$3,0,0,'Données projet'!$E$10+1,1))-AVERAGE(OFFSET($H$3,0,0,'Données projet'!$E$10+1,1))</f>
        <v>279.33945837918748</v>
      </c>
      <c r="AO52" s="62">
        <f t="shared" si="36"/>
        <v>215.78305328671854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9.0784760347191895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0.14154050745629865</v>
      </c>
      <c r="AX52" s="23">
        <f t="shared" si="6"/>
        <v>9.2200165421754878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17.8</v>
      </c>
      <c r="BD52" s="13">
        <f>IF('Données projet'!$A$88&gt;35,BD51+BC52-BL51,IF(A52&lt;'Données projet'!$A$88,$BA$205^A52,IF(A52='Données projet'!$A$88,'Données projet'!$B$88,BD51+BC52-BL51)))</f>
        <v>611.19999999999982</v>
      </c>
      <c r="BE52" s="14">
        <f>BD52*VLOOKUP('Données projet'!$B$11,Paramètres!$A$1:$I$89,3,0)*VLOOKUP('Données projet'!$B$11,Paramètres!$A$1:$I$89,5,0)</f>
        <v>341.66079999999988</v>
      </c>
      <c r="BF52" s="14">
        <f t="shared" si="37"/>
        <v>79.842980844864144</v>
      </c>
      <c r="BG52" s="22">
        <f t="shared" si="7"/>
        <v>734.11908497147158</v>
      </c>
      <c r="BH52" s="62">
        <f t="shared" si="8"/>
        <v>1027.452418304805</v>
      </c>
      <c r="BI52" s="62">
        <f ca="1">AVERAGE(OFFSET($BH$3,0,0,'Données projet'!$E$11+1,1))-AVERAGE(OFFSET($H$3,0,0,'Données projet'!$E$11+1,1))</f>
        <v>376.38993452481719</v>
      </c>
      <c r="BJ52" s="62">
        <f t="shared" si="38"/>
        <v>470.10036612616727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3.423072155967144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6.2580989013306752E-3</v>
      </c>
      <c r="BS52" s="24">
        <f t="shared" si="9"/>
        <v>3.4293302548684745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>
        <f>BY52*VLOOKUP('Données projet'!$B$12,Paramètres!$A$1:$I$89,3,0)*VLOOKUP('Données projet'!$B$12,Paramètres!$A$1:$I$89,5,0)</f>
        <v>0</v>
      </c>
      <c r="CA52" s="14" t="e">
        <f t="shared" si="39"/>
        <v>#NUM!</v>
      </c>
      <c r="CB52" s="22" t="e">
        <f t="shared" si="10"/>
        <v>#NUM!</v>
      </c>
      <c r="CC52" s="62" t="e">
        <f t="shared" si="11"/>
        <v>#NUM!</v>
      </c>
      <c r="CD52" s="62">
        <f ca="1">AVERAGE(OFFSET($CC$3,0,0,'Données projet'!$E$12+1,1))-AVERAGE(OFFSET($H$3,0,0,'Données projet'!$E$12+1,1))</f>
        <v>152.56843845628913</v>
      </c>
      <c r="CE52" s="62">
        <f t="shared" si="40"/>
        <v>311.82523951987685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67.818942026421837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0.36734327654218457</v>
      </c>
      <c r="CN52" s="24">
        <f t="shared" si="12"/>
        <v>68.186285302964023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28.62600000000003</v>
      </c>
      <c r="D53" s="12">
        <f t="shared" si="32"/>
        <v>8.9278274953538475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289.88919470097733</v>
      </c>
      <c r="H53" s="70">
        <f t="shared" si="1"/>
        <v>358.73958288774134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377</v>
      </c>
      <c r="L53" s="13">
        <f>VLOOKUP(A53,'Données projet'!$A$35:$I$55,9,0)</f>
        <v>11.5</v>
      </c>
      <c r="M53" s="13">
        <f t="array" ref="M53">INDEX(L:L,MIN(IF(ISNUMBER(L53:L249),ROW(L53:L249),"")))</f>
        <v>11.5</v>
      </c>
      <c r="N53" s="14">
        <f>IF('Données projet'!$A$36&gt;35,N52+M53-V52,IF(A53&lt;'Données projet'!$A$36,$K$205^A53,IF(A53='Données projet'!$A$36,'Données projet'!$B$36,N52+M53-V52)))</f>
        <v>376.99999999999989</v>
      </c>
      <c r="O53" s="14">
        <f>N53*VLOOKUP('Données projet'!$B$9,Paramètres!$A$1:$I$89,3,0)*VLOOKUP('Données projet'!$B$9,Paramètres!$A$1:$I$89,5,0)</f>
        <v>176.43599999999992</v>
      </c>
      <c r="P53" s="14">
        <f t="shared" si="33"/>
        <v>44.52834129105058</v>
      </c>
      <c r="Q53" s="22">
        <f t="shared" si="53"/>
        <v>384.84622774857962</v>
      </c>
      <c r="R53" s="62">
        <f t="shared" si="0"/>
        <v>678.17956108191288</v>
      </c>
      <c r="S53" s="62">
        <f ca="1">AVERAGE(OFFSET($R$3,0,0,'Données projet'!$E$9+1,1))-AVERAGE(OFFSET($H$3,0,0,'Données projet'!$E$9+1,1))</f>
        <v>300.81172286376216</v>
      </c>
      <c r="T53" s="62">
        <f t="shared" si="34"/>
        <v>217.90654346456347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340</v>
      </c>
      <c r="AG53" s="13">
        <f>VLOOKUP(A53,'Données projet'!$A$61:$I$81,9,0)</f>
        <v>17.399999999999999</v>
      </c>
      <c r="AH53" s="13">
        <f t="array" ref="AH53">INDEX(AG:AG,MIN(IF(ISNUMBER(AG53:AG249),ROW(AG53:AG249),"")))</f>
        <v>17.399999999999999</v>
      </c>
      <c r="AI53" s="14">
        <f>IF('Données projet'!$A$62&gt;35,AI52+AH53-AQ52,IF(A53&lt;'Données projet'!$A$62,$AF$205^A53,IF(A53='Données projet'!$A$62,'Données projet'!$B$62,AI52+AH53-AQ52)))</f>
        <v>340.00000000000006</v>
      </c>
      <c r="AJ53" s="14">
        <f>AI53*VLOOKUP('Données projet'!$B$10,Paramètres!$A$1:$I$89,3,0)*VLOOKUP('Données projet'!$B$10,Paramètres!$A$1:$I$89,5,0)</f>
        <v>203.32000000000005</v>
      </c>
      <c r="AK53" s="14">
        <f t="shared" si="35"/>
        <v>50.473102640215579</v>
      </c>
      <c r="AL53" s="22">
        <f t="shared" si="4"/>
        <v>442.02298709837555</v>
      </c>
      <c r="AM53" s="62">
        <f t="shared" si="5"/>
        <v>735.35632043170881</v>
      </c>
      <c r="AN53" s="62">
        <f ca="1">AVERAGE(OFFSET($AM$3,0,0,'Données projet'!$E$10+1,1))-AVERAGE(OFFSET($H$3,0,0,'Données projet'!$E$10+1,1))</f>
        <v>279.33945837918748</v>
      </c>
      <c r="AO53" s="62">
        <f t="shared" si="36"/>
        <v>215.78305328671854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53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8.9004526570019618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0.10008425263493387</v>
      </c>
      <c r="AX53" s="23">
        <f t="shared" si="6"/>
        <v>9.0005369096368959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629</v>
      </c>
      <c r="BB53" s="13">
        <f>VLOOKUP(A53,'Données projet'!$A$87:$I$107,9,0)</f>
        <v>17.8</v>
      </c>
      <c r="BC53" s="13">
        <f t="array" ref="BC53">INDEX(BB:BB,MIN(IF(ISNUMBER(BB53:BB249),ROW(BB53:BB249),"")))</f>
        <v>17.8</v>
      </c>
      <c r="BD53" s="13">
        <f>IF('Données projet'!$A$88&gt;35,BD52+BC53-BL52,IF(A53&lt;'Données projet'!$A$88,$BA$205^A53,IF(A53='Données projet'!$A$88,'Données projet'!$B$88,BD52+BC53-BL52)))</f>
        <v>628.99999999999977</v>
      </c>
      <c r="BE53" s="14">
        <f>BD53*VLOOKUP('Données projet'!$B$11,Paramètres!$A$1:$I$89,3,0)*VLOOKUP('Données projet'!$B$11,Paramètres!$A$1:$I$89,5,0)</f>
        <v>351.61099999999988</v>
      </c>
      <c r="BF53" s="14">
        <f t="shared" si="37"/>
        <v>81.89414415728541</v>
      </c>
      <c r="BG53" s="22">
        <f t="shared" si="7"/>
        <v>755.02145940727178</v>
      </c>
      <c r="BH53" s="62">
        <f t="shared" si="8"/>
        <v>1048.354792740605</v>
      </c>
      <c r="BI53" s="62">
        <f ca="1">AVERAGE(OFFSET($BH$3,0,0,'Données projet'!$E$11+1,1))-AVERAGE(OFFSET($H$3,0,0,'Données projet'!$E$11+1,1))</f>
        <v>376.38993452481719</v>
      </c>
      <c r="BJ53" s="62">
        <f t="shared" si="38"/>
        <v>470.10036612616727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48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3.3559477988564836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4.4251441704670031E-3</v>
      </c>
      <c r="BS53" s="24">
        <f t="shared" si="9"/>
        <v>3.3603729430269507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>
        <f>BY53*VLOOKUP('Données projet'!$B$12,Paramètres!$A$1:$I$89,3,0)*VLOOKUP('Données projet'!$B$12,Paramètres!$A$1:$I$89,5,0)</f>
        <v>0</v>
      </c>
      <c r="CA53" s="14" t="e">
        <f t="shared" si="39"/>
        <v>#NUM!</v>
      </c>
      <c r="CB53" s="22" t="e">
        <f t="shared" si="10"/>
        <v>#NUM!</v>
      </c>
      <c r="CC53" s="62" t="e">
        <f t="shared" si="11"/>
        <v>#NUM!</v>
      </c>
      <c r="CD53" s="62">
        <f ca="1">AVERAGE(OFFSET($CC$3,0,0,'Données projet'!$E$12+1,1))-AVERAGE(OFFSET($H$3,0,0,'Données projet'!$E$12+1,1))</f>
        <v>152.56843845628913</v>
      </c>
      <c r="CE53" s="62">
        <f t="shared" si="40"/>
        <v>311.82523951987685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66.489053938753841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0.25975092186626392</v>
      </c>
      <c r="CN53" s="24">
        <f t="shared" si="12"/>
        <v>66.748804860620112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29.19852000000003</v>
      </c>
      <c r="D54" s="12">
        <f t="shared" si="32"/>
        <v>9.085417768122694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295.52513364866667</v>
      </c>
      <c r="H54" s="70">
        <f t="shared" si="1"/>
        <v>360.01119161281372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13.5</v>
      </c>
      <c r="N54" s="14">
        <f>IF('Données projet'!$A$36&gt;35,N53+M54-V53,IF(A54&lt;'Données projet'!$A$36,$K$205^A54,IF(A54='Données projet'!$A$36,'Données projet'!$B$36,N53+M54-V53)))</f>
        <v>390.49999999999989</v>
      </c>
      <c r="O54" s="14">
        <f>N54*VLOOKUP('Données projet'!$B$9,Paramètres!$A$1:$I$89,3,0)*VLOOKUP('Données projet'!$B$9,Paramètres!$A$1:$I$89,5,0)</f>
        <v>182.75399999999996</v>
      </c>
      <c r="P54" s="14">
        <f t="shared" si="33"/>
        <v>45.934357911110212</v>
      </c>
      <c r="Q54" s="22">
        <f t="shared" si="53"/>
        <v>398.29889002851684</v>
      </c>
      <c r="R54" s="62">
        <f t="shared" si="0"/>
        <v>691.63222336185015</v>
      </c>
      <c r="S54" s="62">
        <f ca="1">AVERAGE(OFFSET($R$3,0,0,'Données projet'!$E$9+1,1))-AVERAGE(OFFSET($H$3,0,0,'Données projet'!$E$9+1,1))</f>
        <v>300.81172286376216</v>
      </c>
      <c r="T54" s="62">
        <f t="shared" si="34"/>
        <v>217.90654346456347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17.625</v>
      </c>
      <c r="AI54" s="14">
        <f>IF('Données projet'!$A$62&gt;35,AI53+AH54-AQ53,IF(A54&lt;'Données projet'!$A$62,$AF$205^A54,IF(A54='Données projet'!$A$62,'Données projet'!$B$62,AI53+AH54-AQ53)))</f>
        <v>304.62500000000006</v>
      </c>
      <c r="AJ54" s="14">
        <f>AI54*VLOOKUP('Données projet'!$B$10,Paramètres!$A$1:$I$89,3,0)*VLOOKUP('Données projet'!$B$10,Paramètres!$A$1:$I$89,5,0)</f>
        <v>182.16575000000003</v>
      </c>
      <c r="AK54" s="14">
        <f t="shared" si="35"/>
        <v>45.803689728693968</v>
      </c>
      <c r="AL54" s="22">
        <f t="shared" si="4"/>
        <v>397.04677419414202</v>
      </c>
      <c r="AM54" s="62">
        <f t="shared" si="5"/>
        <v>690.38010752747527</v>
      </c>
      <c r="AN54" s="62">
        <f ca="1">AVERAGE(OFFSET($AM$3,0,0,'Données projet'!$E$10+1,1))-AVERAGE(OFFSET($H$3,0,0,'Données projet'!$E$10+1,1))</f>
        <v>279.33945837918748</v>
      </c>
      <c r="AO54" s="62">
        <f t="shared" si="36"/>
        <v>215.78305328671854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8.7259202091382306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7.0770253728149324E-2</v>
      </c>
      <c r="AX54" s="23">
        <f t="shared" si="6"/>
        <v>8.7966904628663798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13.8</v>
      </c>
      <c r="BD54" s="13">
        <f>IF('Données projet'!$A$88&gt;35,BD53+BC54-BL53,IF(A54&lt;'Données projet'!$A$88,$BA$205^A54,IF(A54='Données projet'!$A$88,'Données projet'!$B$88,BD53+BC54-BL53)))</f>
        <v>594.79999999999973</v>
      </c>
      <c r="BE54" s="14">
        <f>BD54*VLOOKUP('Données projet'!$B$11,Paramètres!$A$1:$I$89,3,0)*VLOOKUP('Données projet'!$B$11,Paramètres!$A$1:$I$89,5,0)</f>
        <v>332.49319999999983</v>
      </c>
      <c r="BF54" s="14">
        <f t="shared" si="37"/>
        <v>77.946984490524827</v>
      </c>
      <c r="BG54" s="22">
        <f t="shared" si="7"/>
        <v>714.84998798766367</v>
      </c>
      <c r="BH54" s="62">
        <f t="shared" si="8"/>
        <v>1008.183321320997</v>
      </c>
      <c r="BI54" s="62">
        <f ca="1">AVERAGE(OFFSET($BH$3,0,0,'Données projet'!$E$11+1,1))-AVERAGE(OFFSET($H$3,0,0,'Données projet'!$E$11+1,1))</f>
        <v>376.38993452481719</v>
      </c>
      <c r="BJ54" s="62">
        <f t="shared" si="38"/>
        <v>470.10036612616727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3.2901397094469482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3.1290494506653376E-3</v>
      </c>
      <c r="BS54" s="24">
        <f t="shared" si="9"/>
        <v>3.2932687588976135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>
        <f>BY54*VLOOKUP('Données projet'!$B$12,Paramètres!$A$1:$I$89,3,0)*VLOOKUP('Données projet'!$B$12,Paramètres!$A$1:$I$89,5,0)</f>
        <v>0</v>
      </c>
      <c r="CA54" s="14" t="e">
        <f t="shared" si="39"/>
        <v>#NUM!</v>
      </c>
      <c r="CB54" s="22" t="e">
        <f t="shared" si="10"/>
        <v>#NUM!</v>
      </c>
      <c r="CC54" s="62" t="e">
        <f t="shared" si="11"/>
        <v>#NUM!</v>
      </c>
      <c r="CD54" s="62">
        <f ca="1">AVERAGE(OFFSET($CC$3,0,0,'Données projet'!$E$12+1,1))-AVERAGE(OFFSET($H$3,0,0,'Données projet'!$E$12+1,1))</f>
        <v>152.56843845628913</v>
      </c>
      <c r="CE54" s="62">
        <f t="shared" si="40"/>
        <v>311.82523951987685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65.185244145333371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0.18367163827109229</v>
      </c>
      <c r="CN54" s="24">
        <f t="shared" si="12"/>
        <v>65.368915783604464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29.771040000000031</v>
      </c>
      <c r="D55" s="12">
        <f t="shared" si="32"/>
        <v>9.2426487500743892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301.15829912338148</v>
      </c>
      <c r="H55" s="70">
        <f t="shared" si="1"/>
        <v>361.28217457304629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13.5</v>
      </c>
      <c r="N55" s="14">
        <f>IF('Données projet'!$A$36&gt;35,N54+M55-V54,IF(A55&lt;'Données projet'!$A$36,$K$205^A55,IF(A55='Données projet'!$A$36,'Données projet'!$B$36,N54+M55-V54)))</f>
        <v>403.99999999999989</v>
      </c>
      <c r="O55" s="14">
        <f>N55*VLOOKUP('Données projet'!$B$9,Paramètres!$A$1:$I$89,3,0)*VLOOKUP('Données projet'!$B$9,Paramètres!$A$1:$I$89,5,0)</f>
        <v>189.07199999999992</v>
      </c>
      <c r="P55" s="14">
        <f t="shared" si="33"/>
        <v>47.33472679972779</v>
      </c>
      <c r="Q55" s="22">
        <f t="shared" si="53"/>
        <v>411.74171584285909</v>
      </c>
      <c r="R55" s="62">
        <f t="shared" si="0"/>
        <v>705.07504917619235</v>
      </c>
      <c r="S55" s="62">
        <f ca="1">AVERAGE(OFFSET($R$3,0,0,'Données projet'!$E$9+1,1))-AVERAGE(OFFSET($H$3,0,0,'Données projet'!$E$9+1,1))</f>
        <v>300.81172286376216</v>
      </c>
      <c r="T55" s="62">
        <f t="shared" si="34"/>
        <v>217.90654346456347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17.625</v>
      </c>
      <c r="AI55" s="14">
        <f>IF('Données projet'!$A$62&gt;35,AI54+AH55-AQ54,IF(A55&lt;'Données projet'!$A$62,$AF$205^A55,IF(A55='Données projet'!$A$62,'Données projet'!$B$62,AI54+AH55-AQ54)))</f>
        <v>322.25000000000006</v>
      </c>
      <c r="AJ55" s="14">
        <f>AI55*VLOOKUP('Données projet'!$B$10,Paramètres!$A$1:$I$89,3,0)*VLOOKUP('Données projet'!$B$10,Paramètres!$A$1:$I$89,5,0)</f>
        <v>192.70550000000006</v>
      </c>
      <c r="AK55" s="14">
        <f t="shared" si="35"/>
        <v>48.137607387789963</v>
      </c>
      <c r="AL55" s="22">
        <f t="shared" si="4"/>
        <v>419.46841203373424</v>
      </c>
      <c r="AM55" s="62">
        <f t="shared" si="5"/>
        <v>712.8017453670675</v>
      </c>
      <c r="AN55" s="62">
        <f ca="1">AVERAGE(OFFSET($AM$3,0,0,'Données projet'!$E$10+1,1))-AVERAGE(OFFSET($H$3,0,0,'Données projet'!$E$10+1,1))</f>
        <v>279.33945837918748</v>
      </c>
      <c r="AO55" s="62">
        <f t="shared" si="36"/>
        <v>215.78305328671854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8.554810236122826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5.0042126317466934E-2</v>
      </c>
      <c r="AX55" s="23">
        <f t="shared" si="6"/>
        <v>8.6048523624402922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13.8</v>
      </c>
      <c r="BD55" s="13">
        <f>IF('Données projet'!$A$88&gt;35,BD54+BC55-BL54,IF(A55&lt;'Données projet'!$A$88,$BA$205^A55,IF(A55='Données projet'!$A$88,'Données projet'!$B$88,BD54+BC55-BL54)))</f>
        <v>608.59999999999968</v>
      </c>
      <c r="BE55" s="14">
        <f>BD55*VLOOKUP('Données projet'!$B$11,Paramètres!$A$1:$I$89,3,0)*VLOOKUP('Données projet'!$B$11,Paramètres!$A$1:$I$89,5,0)</f>
        <v>340.20739999999984</v>
      </c>
      <c r="BF55" s="14">
        <f t="shared" si="37"/>
        <v>79.542795053996059</v>
      </c>
      <c r="BG55" s="22">
        <f t="shared" si="7"/>
        <v>731.06492305237623</v>
      </c>
      <c r="BH55" s="62">
        <f t="shared" si="8"/>
        <v>1024.3982563857096</v>
      </c>
      <c r="BI55" s="62">
        <f ca="1">AVERAGE(OFFSET($BH$3,0,0,'Données projet'!$E$11+1,1))-AVERAGE(OFFSET($H$3,0,0,'Données projet'!$E$11+1,1))</f>
        <v>376.38993452481719</v>
      </c>
      <c r="BJ55" s="62">
        <f t="shared" si="38"/>
        <v>470.10036612616727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3.2256220765317627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2.2125720852335016E-3</v>
      </c>
      <c r="BS55" s="24">
        <f t="shared" si="9"/>
        <v>3.2278346486169962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>
        <f>BY55*VLOOKUP('Données projet'!$B$12,Paramètres!$A$1:$I$89,3,0)*VLOOKUP('Données projet'!$B$12,Paramètres!$A$1:$I$89,5,0)</f>
        <v>0</v>
      </c>
      <c r="CA55" s="14" t="e">
        <f t="shared" si="39"/>
        <v>#NUM!</v>
      </c>
      <c r="CB55" s="22" t="e">
        <f t="shared" si="10"/>
        <v>#NUM!</v>
      </c>
      <c r="CC55" s="62" t="e">
        <f t="shared" si="11"/>
        <v>#NUM!</v>
      </c>
      <c r="CD55" s="62">
        <f ca="1">AVERAGE(OFFSET($CC$3,0,0,'Données projet'!$E$12+1,1))-AVERAGE(OFFSET($H$3,0,0,'Données projet'!$E$12+1,1))</f>
        <v>152.56843845628913</v>
      </c>
      <c r="CE55" s="62">
        <f t="shared" si="40"/>
        <v>311.82523951987685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63.907001266716428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0.12987546093313196</v>
      </c>
      <c r="CN55" s="24">
        <f t="shared" si="12"/>
        <v>64.036876727649556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30.343560000000032</v>
      </c>
      <c r="D56" s="12">
        <f t="shared" si="32"/>
        <v>9.3995281472377208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306.78875061025639</v>
      </c>
      <c r="H56" s="70">
        <f t="shared" si="1"/>
        <v>362.55254518977239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13.5</v>
      </c>
      <c r="N56" s="14">
        <f>IF('Données projet'!$A$36&gt;35,N55+M56-V55,IF(A56&lt;'Données projet'!$A$36,$K$205^A56,IF(A56='Données projet'!$A$36,'Données projet'!$B$36,N55+M56-V55)))</f>
        <v>417.49999999999989</v>
      </c>
      <c r="O56" s="14">
        <f>N56*VLOOKUP('Données projet'!$B$9,Paramètres!$A$1:$I$89,3,0)*VLOOKUP('Données projet'!$B$9,Paramètres!$A$1:$I$89,5,0)</f>
        <v>195.38999999999996</v>
      </c>
      <c r="P56" s="14">
        <f t="shared" si="33"/>
        <v>48.729658318340213</v>
      </c>
      <c r="Q56" s="22">
        <f t="shared" si="53"/>
        <v>425.17507157110907</v>
      </c>
      <c r="R56" s="62">
        <f t="shared" si="0"/>
        <v>718.50840490444239</v>
      </c>
      <c r="S56" s="62">
        <f ca="1">AVERAGE(OFFSET($R$3,0,0,'Données projet'!$E$9+1,1))-AVERAGE(OFFSET($H$3,0,0,'Données projet'!$E$9+1,1))</f>
        <v>300.81172286376216</v>
      </c>
      <c r="T56" s="62">
        <f t="shared" si="34"/>
        <v>217.90654346456347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17.625</v>
      </c>
      <c r="AI56" s="14">
        <f>IF('Données projet'!$A$62&gt;35,AI55+AH56-AQ55,IF(A56&lt;'Données projet'!$A$62,$AF$205^A56,IF(A56='Données projet'!$A$62,'Données projet'!$B$62,AI55+AH56-AQ55)))</f>
        <v>339.87500000000006</v>
      </c>
      <c r="AJ56" s="14">
        <f>AI56*VLOOKUP('Données projet'!$B$10,Paramètres!$A$1:$I$89,3,0)*VLOOKUP('Données projet'!$B$10,Paramètres!$A$1:$I$89,5,0)</f>
        <v>203.24525000000006</v>
      </c>
      <c r="AK56" s="14">
        <f t="shared" si="35"/>
        <v>50.45670595349123</v>
      </c>
      <c r="AL56" s="22">
        <f t="shared" si="4"/>
        <v>441.86423995233059</v>
      </c>
      <c r="AM56" s="62">
        <f t="shared" si="5"/>
        <v>735.19757328566391</v>
      </c>
      <c r="AN56" s="62">
        <f ca="1">AVERAGE(OFFSET($AM$3,0,0,'Données projet'!$E$10+1,1))-AVERAGE(OFFSET($H$3,0,0,'Données projet'!$E$10+1,1))</f>
        <v>279.33945837918748</v>
      </c>
      <c r="AO56" s="62">
        <f t="shared" si="36"/>
        <v>215.78305328671854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8.3870556253114739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3.5385126864074662E-2</v>
      </c>
      <c r="AX56" s="23">
        <f t="shared" si="6"/>
        <v>8.4224407521755484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13.8</v>
      </c>
      <c r="BD56" s="13">
        <f>IF('Données projet'!$A$88&gt;35,BD55+BC56-BL55,IF(A56&lt;'Données projet'!$A$88,$BA$205^A56,IF(A56='Données projet'!$A$88,'Données projet'!$B$88,BD55+BC56-BL55)))</f>
        <v>622.39999999999964</v>
      </c>
      <c r="BE56" s="14">
        <f>BD56*VLOOKUP('Données projet'!$B$11,Paramètres!$A$1:$I$89,3,0)*VLOOKUP('Données projet'!$B$11,Paramètres!$A$1:$I$89,5,0)</f>
        <v>347.92159999999978</v>
      </c>
      <c r="BF56" s="14">
        <f t="shared" si="37"/>
        <v>81.134398856989449</v>
      </c>
      <c r="BG56" s="22">
        <f t="shared" si="7"/>
        <v>747.27253134258956</v>
      </c>
      <c r="BH56" s="62">
        <f t="shared" si="8"/>
        <v>1040.6058646759229</v>
      </c>
      <c r="BI56" s="62">
        <f ca="1">AVERAGE(OFFSET($BH$3,0,0,'Données projet'!$E$11+1,1))-AVERAGE(OFFSET($H$3,0,0,'Données projet'!$E$11+1,1))</f>
        <v>376.38993452481719</v>
      </c>
      <c r="BJ56" s="62">
        <f t="shared" si="38"/>
        <v>470.10036612616727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3.1623695950461732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1.5645247253326688E-3</v>
      </c>
      <c r="BS56" s="24">
        <f t="shared" si="9"/>
        <v>3.1639341197715058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>
        <f>BY56*VLOOKUP('Données projet'!$B$12,Paramètres!$A$1:$I$89,3,0)*VLOOKUP('Données projet'!$B$12,Paramètres!$A$1:$I$89,5,0)</f>
        <v>0</v>
      </c>
      <c r="CA56" s="14" t="e">
        <f t="shared" si="39"/>
        <v>#NUM!</v>
      </c>
      <c r="CB56" s="22" t="e">
        <f t="shared" si="10"/>
        <v>#NUM!</v>
      </c>
      <c r="CC56" s="62" t="e">
        <f t="shared" si="11"/>
        <v>#NUM!</v>
      </c>
      <c r="CD56" s="62">
        <f ca="1">AVERAGE(OFFSET($CC$3,0,0,'Données projet'!$E$12+1,1))-AVERAGE(OFFSET($H$3,0,0,'Données projet'!$E$12+1,1))</f>
        <v>152.56843845628913</v>
      </c>
      <c r="CE56" s="62">
        <f t="shared" si="40"/>
        <v>311.82523951987685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62.653823951297994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9.1835819135546143E-2</v>
      </c>
      <c r="CN56" s="24">
        <f t="shared" si="12"/>
        <v>62.745659770433541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30.916080000000033</v>
      </c>
      <c r="D57" s="12">
        <f t="shared" si="32"/>
        <v>9.5560633582067354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312.4165452212452</v>
      </c>
      <c r="H57" s="70">
        <f t="shared" si="1"/>
        <v>363.82231634887677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13.5</v>
      </c>
      <c r="N57" s="14">
        <f>IF('Données projet'!$A$36&gt;35,N56+M57-V56,IF(A57&lt;'Données projet'!$A$36,$K$205^A57,IF(A57='Données projet'!$A$36,'Données projet'!$B$36,N56+M57-V56)))</f>
        <v>430.99999999999989</v>
      </c>
      <c r="O57" s="14">
        <f>N57*VLOOKUP('Données projet'!$B$9,Paramètres!$A$1:$I$89,3,0)*VLOOKUP('Données projet'!$B$9,Paramètres!$A$1:$I$89,5,0)</f>
        <v>201.70799999999994</v>
      </c>
      <c r="P57" s="14">
        <f t="shared" si="33"/>
        <v>50.119348451854243</v>
      </c>
      <c r="Q57" s="22">
        <f t="shared" si="53"/>
        <v>438.59929855364607</v>
      </c>
      <c r="R57" s="62">
        <f t="shared" si="0"/>
        <v>731.93263188697938</v>
      </c>
      <c r="S57" s="62">
        <f ca="1">AVERAGE(OFFSET($R$3,0,0,'Données projet'!$E$9+1,1))-AVERAGE(OFFSET($H$3,0,0,'Données projet'!$E$9+1,1))</f>
        <v>300.81172286376216</v>
      </c>
      <c r="T57" s="62">
        <f t="shared" si="34"/>
        <v>217.90654346456347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17.625</v>
      </c>
      <c r="AI57" s="14">
        <f>IF('Données projet'!$A$62&gt;35,AI56+AH57-AQ56,IF(A57&lt;'Données projet'!$A$62,$AF$205^A57,IF(A57='Données projet'!$A$62,'Données projet'!$B$62,AI56+AH57-AQ56)))</f>
        <v>357.50000000000006</v>
      </c>
      <c r="AJ57" s="14">
        <f>AI57*VLOOKUP('Données projet'!$B$10,Paramètres!$A$1:$I$89,3,0)*VLOOKUP('Données projet'!$B$10,Paramètres!$A$1:$I$89,5,0)</f>
        <v>213.78500000000005</v>
      </c>
      <c r="AK57" s="14">
        <f t="shared" si="35"/>
        <v>52.761841557402377</v>
      </c>
      <c r="AL57" s="22">
        <f t="shared" si="4"/>
        <v>464.2357490458092</v>
      </c>
      <c r="AM57" s="62">
        <f t="shared" si="5"/>
        <v>757.56908237914251</v>
      </c>
      <c r="AN57" s="62">
        <f ca="1">AVERAGE(OFFSET($AM$3,0,0,'Données projet'!$E$10+1,1))-AVERAGE(OFFSET($H$3,0,0,'Données projet'!$E$10+1,1))</f>
        <v>279.33945837918748</v>
      </c>
      <c r="AO57" s="62">
        <f t="shared" si="36"/>
        <v>215.78305328671854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8.2225905800979238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2.5021063158733467E-2</v>
      </c>
      <c r="AX57" s="23">
        <f t="shared" si="6"/>
        <v>8.2476116432566577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13.8</v>
      </c>
      <c r="BD57" s="13">
        <f>IF('Données projet'!$A$88&gt;35,BD56+BC57-BL56,IF(A57&lt;'Données projet'!$A$88,$BA$205^A57,IF(A57='Données projet'!$A$88,'Données projet'!$B$88,BD56+BC57-BL56)))</f>
        <v>636.19999999999959</v>
      </c>
      <c r="BE57" s="14">
        <f>BD57*VLOOKUP('Données projet'!$B$11,Paramètres!$A$1:$I$89,3,0)*VLOOKUP('Données projet'!$B$11,Paramètres!$A$1:$I$89,5,0)</f>
        <v>355.63579999999973</v>
      </c>
      <c r="BF57" s="14">
        <f t="shared" si="37"/>
        <v>82.721899912765039</v>
      </c>
      <c r="BG57" s="22">
        <f t="shared" si="7"/>
        <v>763.47299401473185</v>
      </c>
      <c r="BH57" s="62">
        <f t="shared" si="8"/>
        <v>1056.8063273480652</v>
      </c>
      <c r="BI57" s="62">
        <f ca="1">AVERAGE(OFFSET($BH$3,0,0,'Données projet'!$E$11+1,1))-AVERAGE(OFFSET($H$3,0,0,'Données projet'!$E$11+1,1))</f>
        <v>376.38993452481719</v>
      </c>
      <c r="BJ57" s="62">
        <f t="shared" si="38"/>
        <v>470.10036612616727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3.1003574561423122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1.1062860426167508E-3</v>
      </c>
      <c r="BS57" s="24">
        <f t="shared" si="9"/>
        <v>3.1014637421849289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>
        <f>BY57*VLOOKUP('Données projet'!$B$12,Paramètres!$A$1:$I$89,3,0)*VLOOKUP('Données projet'!$B$12,Paramètres!$A$1:$I$89,5,0)</f>
        <v>0</v>
      </c>
      <c r="CA57" s="14" t="e">
        <f t="shared" si="39"/>
        <v>#NUM!</v>
      </c>
      <c r="CB57" s="22" t="e">
        <f t="shared" si="10"/>
        <v>#NUM!</v>
      </c>
      <c r="CC57" s="62" t="e">
        <f t="shared" si="11"/>
        <v>#NUM!</v>
      </c>
      <c r="CD57" s="62">
        <f ca="1">AVERAGE(OFFSET($CC$3,0,0,'Données projet'!$E$12+1,1))-AVERAGE(OFFSET($H$3,0,0,'Données projet'!$E$12+1,1))</f>
        <v>152.56843845628913</v>
      </c>
      <c r="CE57" s="62">
        <f t="shared" si="40"/>
        <v>311.82523951987685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61.425220678672225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6.4937730466565979E-2</v>
      </c>
      <c r="CN57" s="24">
        <f t="shared" si="12"/>
        <v>61.490158409138793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31.488600000000034</v>
      </c>
      <c r="D58" s="12">
        <f t="shared" si="32"/>
        <v>9.7122614918681229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318.04173783196467</v>
      </c>
      <c r="H58" s="70">
        <f t="shared" si="1"/>
        <v>365.09150043167034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13.5</v>
      </c>
      <c r="N58" s="14">
        <f>IF('Données projet'!$A$36&gt;35,N57+M58-V57,IF(A58&lt;'Données projet'!$A$36,$K$205^A58,IF(A58='Données projet'!$A$36,'Données projet'!$B$36,N57+M58-V57)))</f>
        <v>444.49999999999989</v>
      </c>
      <c r="O58" s="14">
        <f>N58*VLOOKUP('Données projet'!$B$9,Paramètres!$A$1:$I$89,3,0)*VLOOKUP('Données projet'!$B$9,Paramètres!$A$1:$I$89,5,0)</f>
        <v>208.02599999999995</v>
      </c>
      <c r="P58" s="14">
        <f t="shared" si="33"/>
        <v>51.503980210368603</v>
      </c>
      <c r="Q58" s="22">
        <f t="shared" si="53"/>
        <v>452.01471553305851</v>
      </c>
      <c r="R58" s="62">
        <f t="shared" si="0"/>
        <v>745.34804886639176</v>
      </c>
      <c r="S58" s="62">
        <f ca="1">AVERAGE(OFFSET($R$3,0,0,'Données projet'!$E$9+1,1))-AVERAGE(OFFSET($H$3,0,0,'Données projet'!$E$9+1,1))</f>
        <v>300.81172286376216</v>
      </c>
      <c r="T58" s="62">
        <f t="shared" si="34"/>
        <v>217.90654346456347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17.625</v>
      </c>
      <c r="AI58" s="14">
        <f>IF('Données projet'!$A$62&gt;35,AI57+AH58-AQ57,IF(A58&lt;'Données projet'!$A$62,$AF$205^A58,IF(A58='Données projet'!$A$62,'Données projet'!$B$62,AI57+AH58-AQ57)))</f>
        <v>375.12500000000006</v>
      </c>
      <c r="AJ58" s="14">
        <f>AI58*VLOOKUP('Données projet'!$B$10,Paramètres!$A$1:$I$89,3,0)*VLOOKUP('Données projet'!$B$10,Paramètres!$A$1:$I$89,5,0)</f>
        <v>224.32475000000005</v>
      </c>
      <c r="AK58" s="14">
        <f t="shared" si="35"/>
        <v>55.053781146410472</v>
      </c>
      <c r="AL58" s="22">
        <f t="shared" si="4"/>
        <v>486.58427507999835</v>
      </c>
      <c r="AM58" s="62">
        <f t="shared" si="5"/>
        <v>779.91760841333166</v>
      </c>
      <c r="AN58" s="62">
        <f ca="1">AVERAGE(OFFSET($AM$3,0,0,'Données projet'!$E$10+1,1))-AVERAGE(OFFSET($H$3,0,0,'Données projet'!$E$10+1,1))</f>
        <v>279.33945837918748</v>
      </c>
      <c r="AO58" s="62">
        <f t="shared" si="36"/>
        <v>215.78305328671854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8.061350594107239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1.7692563432037331E-2</v>
      </c>
      <c r="AX58" s="23">
        <f t="shared" si="6"/>
        <v>8.0790431575392763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650</v>
      </c>
      <c r="BB58" s="13">
        <f>VLOOKUP(A58,'Données projet'!$A$87:$I$107,9,0)</f>
        <v>13.8</v>
      </c>
      <c r="BC58" s="13">
        <f t="array" ref="BC58">INDEX(BB:BB,MIN(IF(ISNUMBER(BB58:BB254),ROW(BB58:BB254),"")))</f>
        <v>13.8</v>
      </c>
      <c r="BD58" s="13">
        <f>IF('Données projet'!$A$88&gt;35,BD57+BC58-BL57,IF(A58&lt;'Données projet'!$A$88,$BA$205^A58,IF(A58='Données projet'!$A$88,'Données projet'!$B$88,BD57+BC58-BL57)))</f>
        <v>649.99999999999955</v>
      </c>
      <c r="BE58" s="14">
        <f>BD58*VLOOKUP('Données projet'!$B$11,Paramètres!$A$1:$I$89,3,0)*VLOOKUP('Données projet'!$B$11,Paramètres!$A$1:$I$89,5,0)</f>
        <v>363.34999999999974</v>
      </c>
      <c r="BF58" s="14">
        <f t="shared" si="37"/>
        <v>84.305397464498199</v>
      </c>
      <c r="BG58" s="22">
        <f t="shared" si="7"/>
        <v>779.66648391733395</v>
      </c>
      <c r="BH58" s="62">
        <f t="shared" si="8"/>
        <v>1072.9998172506673</v>
      </c>
      <c r="BI58" s="62">
        <f ca="1">AVERAGE(OFFSET($BH$3,0,0,'Données projet'!$E$11+1,1))-AVERAGE(OFFSET($H$3,0,0,'Données projet'!$E$11+1,1))</f>
        <v>376.38993452481719</v>
      </c>
      <c r="BJ58" s="62">
        <f t="shared" si="38"/>
        <v>470.10036612616727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35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3.0395613374586858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7.8226236266633439E-4</v>
      </c>
      <c r="BS58" s="24">
        <f t="shared" si="9"/>
        <v>3.0403435998213522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>
        <f>BY58*VLOOKUP('Données projet'!$B$12,Paramètres!$A$1:$I$89,3,0)*VLOOKUP('Données projet'!$B$12,Paramètres!$A$1:$I$89,5,0)</f>
        <v>0</v>
      </c>
      <c r="CA58" s="14" t="e">
        <f t="shared" si="39"/>
        <v>#NUM!</v>
      </c>
      <c r="CB58" s="22" t="e">
        <f t="shared" si="10"/>
        <v>#NUM!</v>
      </c>
      <c r="CC58" s="62" t="e">
        <f t="shared" si="11"/>
        <v>#NUM!</v>
      </c>
      <c r="CD58" s="62">
        <f ca="1">AVERAGE(OFFSET($CC$3,0,0,'Données projet'!$E$12+1,1))-AVERAGE(OFFSET($H$3,0,0,'Données projet'!$E$12+1,1))</f>
        <v>152.56843845628913</v>
      </c>
      <c r="CE58" s="62">
        <f t="shared" si="40"/>
        <v>311.82523951987685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60.220709566848647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4.5917909567773071E-2</v>
      </c>
      <c r="CN58" s="24">
        <f t="shared" si="12"/>
        <v>60.266627476416417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32.061120000000031</v>
      </c>
      <c r="D59" s="12">
        <f t="shared" si="32"/>
        <v>9.8681293838027937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323.66438120830259</v>
      </c>
      <c r="H59" s="70">
        <f t="shared" si="1"/>
        <v>366.36010934345654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13.5</v>
      </c>
      <c r="N59" s="14">
        <f>IF('Données projet'!$A$36&gt;35,N58+M59-V58,IF(A59&lt;'Données projet'!$A$36,$K$205^A59,IF(A59='Données projet'!$A$36,'Données projet'!$B$36,N58+M59-V58)))</f>
        <v>457.99999999999989</v>
      </c>
      <c r="O59" s="14">
        <f>N59*VLOOKUP('Données projet'!$B$9,Paramètres!$A$1:$I$89,3,0)*VLOOKUP('Données projet'!$B$9,Paramètres!$A$1:$I$89,5,0)</f>
        <v>214.34399999999997</v>
      </c>
      <c r="P59" s="14">
        <f t="shared" si="33"/>
        <v>52.883724855822585</v>
      </c>
      <c r="Q59" s="22">
        <f t="shared" si="53"/>
        <v>465.4216207905576</v>
      </c>
      <c r="R59" s="62">
        <f t="shared" si="0"/>
        <v>758.75495412389091</v>
      </c>
      <c r="S59" s="62">
        <f ca="1">AVERAGE(OFFSET($R$3,0,0,'Données projet'!$E$9+1,1))-AVERAGE(OFFSET($H$3,0,0,'Données projet'!$E$9+1,1))</f>
        <v>300.81172286376216</v>
      </c>
      <c r="T59" s="62">
        <f t="shared" si="34"/>
        <v>217.90654346456347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17.625</v>
      </c>
      <c r="AI59" s="14">
        <f>IF('Données projet'!$A$62&gt;35,AI58+AH59-AQ58,IF(A59&lt;'Données projet'!$A$62,$AF$205^A59,IF(A59='Données projet'!$A$62,'Données projet'!$B$62,AI58+AH59-AQ58)))</f>
        <v>392.75000000000006</v>
      </c>
      <c r="AJ59" s="14">
        <f>AI59*VLOOKUP('Données projet'!$B$10,Paramètres!$A$1:$I$89,3,0)*VLOOKUP('Données projet'!$B$10,Paramètres!$A$1:$I$89,5,0)</f>
        <v>234.86450000000002</v>
      </c>
      <c r="AK59" s="14">
        <f t="shared" si="35"/>
        <v>57.33321552572081</v>
      </c>
      <c r="AL59" s="22">
        <f t="shared" si="4"/>
        <v>508.9110212072971</v>
      </c>
      <c r="AM59" s="62">
        <f t="shared" si="5"/>
        <v>802.24435454063041</v>
      </c>
      <c r="AN59" s="62">
        <f ca="1">AVERAGE(OFFSET($AM$3,0,0,'Données projet'!$E$10+1,1))-AVERAGE(OFFSET($H$3,0,0,'Données projet'!$E$10+1,1))</f>
        <v>279.33945837918748</v>
      </c>
      <c r="AO59" s="62">
        <f t="shared" si="36"/>
        <v>215.78305328671854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7.9032724258951514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1.2510531579366733E-2</v>
      </c>
      <c r="AX59" s="23">
        <f t="shared" si="6"/>
        <v>7.9157829574745184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10.199999999999999</v>
      </c>
      <c r="BD59" s="13">
        <f>IF('Données projet'!$A$88&gt;35,BD58+BC59-BL58,IF(A59&lt;'Données projet'!$A$88,$BA$205^A59,IF(A59='Données projet'!$A$88,'Données projet'!$B$88,BD58+BC59-BL58)))</f>
        <v>625.19999999999959</v>
      </c>
      <c r="BE59" s="14">
        <f>BD59*VLOOKUP('Données projet'!$B$11,Paramètres!$A$1:$I$89,3,0)*VLOOKUP('Données projet'!$B$11,Paramètres!$A$1:$I$89,5,0)</f>
        <v>349.48679999999979</v>
      </c>
      <c r="BF59" s="14">
        <f t="shared" si="37"/>
        <v>81.45682900536228</v>
      </c>
      <c r="BG59" s="22">
        <f t="shared" si="7"/>
        <v>750.56015385100557</v>
      </c>
      <c r="BH59" s="62">
        <f t="shared" si="8"/>
        <v>1043.8934871843389</v>
      </c>
      <c r="BI59" s="62">
        <f ca="1">AVERAGE(OFFSET($BH$3,0,0,'Données projet'!$E$11+1,1))-AVERAGE(OFFSET($H$3,0,0,'Données projet'!$E$11+1,1))</f>
        <v>376.38993452481719</v>
      </c>
      <c r="BJ59" s="62">
        <f t="shared" si="38"/>
        <v>470.10036612616727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2.9799573935804746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5.5314302130837539E-4</v>
      </c>
      <c r="BS59" s="24">
        <f t="shared" si="9"/>
        <v>2.9805105366017828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>
        <f>BY59*VLOOKUP('Données projet'!$B$12,Paramètres!$A$1:$I$89,3,0)*VLOOKUP('Données projet'!$B$12,Paramètres!$A$1:$I$89,5,0)</f>
        <v>0</v>
      </c>
      <c r="CA59" s="14" t="e">
        <f t="shared" si="39"/>
        <v>#NUM!</v>
      </c>
      <c r="CB59" s="22" t="e">
        <f t="shared" si="10"/>
        <v>#NUM!</v>
      </c>
      <c r="CC59" s="62" t="e">
        <f t="shared" si="11"/>
        <v>#NUM!</v>
      </c>
      <c r="CD59" s="62">
        <f ca="1">AVERAGE(OFFSET($CC$3,0,0,'Données projet'!$E$12+1,1))-AVERAGE(OFFSET($H$3,0,0,'Données projet'!$E$12+1,1))</f>
        <v>152.56843845628913</v>
      </c>
      <c r="CE59" s="62">
        <f t="shared" si="40"/>
        <v>311.82523951987685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59.039818183248698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3.246886523328299E-2</v>
      </c>
      <c r="CN59" s="24">
        <f t="shared" si="12"/>
        <v>59.072287048481982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32.633640000000028</v>
      </c>
      <c r="D60" s="12">
        <f t="shared" si="32"/>
        <v>10.023673611482744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329.28452612372666</v>
      </c>
      <c r="H60" s="70">
        <f t="shared" si="1"/>
        <v>367.62815453999912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13.5</v>
      </c>
      <c r="N60" s="14">
        <f>IF('Données projet'!$A$36&gt;35,N59+M60-V59,IF(A60&lt;'Données projet'!$A$36,$K$205^A60,IF(A60='Données projet'!$A$36,'Données projet'!$B$36,N59+M60-V59)))</f>
        <v>471.49999999999989</v>
      </c>
      <c r="O60" s="14">
        <f>N60*VLOOKUP('Données projet'!$B$9,Paramètres!$A$1:$I$89,3,0)*VLOOKUP('Données projet'!$B$9,Paramètres!$A$1:$I$89,5,0)</f>
        <v>220.66199999999995</v>
      </c>
      <c r="P60" s="14">
        <f t="shared" si="33"/>
        <v>54.258742979954953</v>
      </c>
      <c r="Q60" s="22">
        <f t="shared" si="53"/>
        <v>478.82029402342147</v>
      </c>
      <c r="R60" s="62">
        <f t="shared" si="0"/>
        <v>772.15362735675478</v>
      </c>
      <c r="S60" s="62">
        <f ca="1">AVERAGE(OFFSET($R$3,0,0,'Données projet'!$E$9+1,1))-AVERAGE(OFFSET($H$3,0,0,'Données projet'!$E$9+1,1))</f>
        <v>300.81172286376216</v>
      </c>
      <c r="T60" s="62">
        <f t="shared" si="34"/>
        <v>217.90654346456347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17.625</v>
      </c>
      <c r="AI60" s="14">
        <f>IF('Données projet'!$A$62&gt;35,AI59+AH60-AQ59,IF(A60&lt;'Données projet'!$A$62,$AF$205^A60,IF(A60='Données projet'!$A$62,'Données projet'!$B$62,AI59+AH60-AQ59)))</f>
        <v>410.37500000000006</v>
      </c>
      <c r="AJ60" s="14">
        <f>AI60*VLOOKUP('Données projet'!$B$10,Paramètres!$A$1:$I$89,3,0)*VLOOKUP('Données projet'!$B$10,Paramètres!$A$1:$I$89,5,0)</f>
        <v>245.40425000000005</v>
      </c>
      <c r="AK60" s="14">
        <f t="shared" si="35"/>
        <v>59.60076999447687</v>
      </c>
      <c r="AL60" s="22">
        <f t="shared" si="4"/>
        <v>531.21707649038069</v>
      </c>
      <c r="AM60" s="62">
        <f t="shared" si="5"/>
        <v>824.55040982371406</v>
      </c>
      <c r="AN60" s="62">
        <f ca="1">AVERAGE(OFFSET($AM$3,0,0,'Données projet'!$E$10+1,1))-AVERAGE(OFFSET($H$3,0,0,'Données projet'!$E$10+1,1))</f>
        <v>279.33945837918748</v>
      </c>
      <c r="AO60" s="62">
        <f t="shared" si="36"/>
        <v>215.78305328671854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7.7482940741435407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8.8462817160186655E-3</v>
      </c>
      <c r="AX60" s="23">
        <f t="shared" si="6"/>
        <v>7.7571403558595593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10.199999999999999</v>
      </c>
      <c r="BD60" s="13">
        <f>IF('Données projet'!$A$88&gt;35,BD59+BC60-BL59,IF(A60&lt;'Données projet'!$A$88,$BA$205^A60,IF(A60='Données projet'!$A$88,'Données projet'!$B$88,BD59+BC60-BL59)))</f>
        <v>635.39999999999964</v>
      </c>
      <c r="BE60" s="14">
        <f>BD60*VLOOKUP('Données projet'!$B$11,Paramètres!$A$1:$I$89,3,0)*VLOOKUP('Données projet'!$B$11,Paramètres!$A$1:$I$89,5,0)</f>
        <v>355.18859999999984</v>
      </c>
      <c r="BF60" s="14">
        <f t="shared" si="37"/>
        <v>82.629981116726043</v>
      </c>
      <c r="BG60" s="22">
        <f t="shared" si="7"/>
        <v>762.53402877829774</v>
      </c>
      <c r="BH60" s="62">
        <f t="shared" si="8"/>
        <v>1055.8673621116311</v>
      </c>
      <c r="BI60" s="62">
        <f ca="1">AVERAGE(OFFSET($BH$3,0,0,'Données projet'!$E$11+1,1))-AVERAGE(OFFSET($H$3,0,0,'Données projet'!$E$11+1,1))</f>
        <v>376.38993452481719</v>
      </c>
      <c r="BJ60" s="62">
        <f t="shared" si="38"/>
        <v>470.10036612616727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2.9215222466868989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3.911311813331672E-4</v>
      </c>
      <c r="BS60" s="24">
        <f t="shared" si="9"/>
        <v>2.9219133778682322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>
        <f>BY60*VLOOKUP('Données projet'!$B$12,Paramètres!$A$1:$I$89,3,0)*VLOOKUP('Données projet'!$B$12,Paramètres!$A$1:$I$89,5,0)</f>
        <v>0</v>
      </c>
      <c r="CA60" s="14" t="e">
        <f t="shared" si="39"/>
        <v>#NUM!</v>
      </c>
      <c r="CB60" s="22" t="e">
        <f t="shared" si="10"/>
        <v>#NUM!</v>
      </c>
      <c r="CC60" s="62" t="e">
        <f t="shared" si="11"/>
        <v>#NUM!</v>
      </c>
      <c r="CD60" s="62">
        <f ca="1">AVERAGE(OFFSET($CC$3,0,0,'Données projet'!$E$12+1,1))-AVERAGE(OFFSET($H$3,0,0,'Données projet'!$E$12+1,1))</f>
        <v>152.56843845628913</v>
      </c>
      <c r="CE60" s="62">
        <f t="shared" si="40"/>
        <v>311.82523951987685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57.882083359408519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2.2958954783886536E-2</v>
      </c>
      <c r="CN60" s="24">
        <f t="shared" si="12"/>
        <v>57.905042314192407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33.206160000000025</v>
      </c>
      <c r="D61" s="12">
        <f t="shared" si="32"/>
        <v>10.178900508371349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334.90222146812994</v>
      </c>
      <c r="H61" s="70">
        <f t="shared" si="1"/>
        <v>368.89564705208011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13.5</v>
      </c>
      <c r="N61" s="14">
        <f>IF('Données projet'!$A$36&gt;35,N60+M61-V60,IF(A61&lt;'Données projet'!$A$36,$K$205^A61,IF(A61='Données projet'!$A$36,'Données projet'!$B$36,N60+M61-V60)))</f>
        <v>484.99999999999989</v>
      </c>
      <c r="O61" s="14">
        <f>N61*VLOOKUP('Données projet'!$B$9,Paramètres!$A$1:$I$89,3,0)*VLOOKUP('Données projet'!$B$9,Paramètres!$A$1:$I$89,5,0)</f>
        <v>226.97999999999996</v>
      </c>
      <c r="P61" s="14">
        <f t="shared" si="33"/>
        <v>55.629185455335929</v>
      </c>
      <c r="Q61" s="22">
        <f t="shared" si="53"/>
        <v>492.21099800137659</v>
      </c>
      <c r="R61" s="62">
        <f t="shared" si="0"/>
        <v>785.54433133470991</v>
      </c>
      <c r="S61" s="62">
        <f ca="1">AVERAGE(OFFSET($R$3,0,0,'Données projet'!$E$9+1,1))-AVERAGE(OFFSET($H$3,0,0,'Données projet'!$E$9+1,1))</f>
        <v>300.81172286376216</v>
      </c>
      <c r="T61" s="62">
        <f t="shared" si="34"/>
        <v>217.90654346456347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>
        <f>VLOOKUP(A61,'Données projet'!$A$61:$I$81,2,0)</f>
        <v>428</v>
      </c>
      <c r="AG61" s="13">
        <f>VLOOKUP(A61,'Données projet'!$A$61:$I$81,9,0)</f>
        <v>17.625</v>
      </c>
      <c r="AH61" s="13">
        <f t="array" ref="AH61">INDEX(AG:AG,MIN(IF(ISNUMBER(AG61:AG257),ROW(AG61:AG257),"")))</f>
        <v>17.625</v>
      </c>
      <c r="AI61" s="14">
        <f>IF('Données projet'!$A$62&gt;35,AI60+AH61-AQ60,IF(A61&lt;'Données projet'!$A$62,$AF$205^A61,IF(A61='Données projet'!$A$62,'Données projet'!$B$62,AI60+AH61-AQ60)))</f>
        <v>428.00000000000006</v>
      </c>
      <c r="AJ61" s="14">
        <f>AI61*VLOOKUP('Données projet'!$B$10,Paramètres!$A$1:$I$89,3,0)*VLOOKUP('Données projet'!$B$10,Paramètres!$A$1:$I$89,5,0)</f>
        <v>255.94400000000005</v>
      </c>
      <c r="AK61" s="14">
        <f t="shared" si="35"/>
        <v>61.857013102708898</v>
      </c>
      <c r="AL61" s="22">
        <f t="shared" si="4"/>
        <v>553.50343115388478</v>
      </c>
      <c r="AM61" s="62">
        <f t="shared" si="5"/>
        <v>846.83676448721803</v>
      </c>
      <c r="AN61" s="62">
        <f ca="1">AVERAGE(OFFSET($AM$3,0,0,'Données projet'!$E$10+1,1))-AVERAGE(OFFSET($H$3,0,0,'Données projet'!$E$10+1,1))</f>
        <v>279.33945837918748</v>
      </c>
      <c r="AO61" s="62">
        <f t="shared" si="36"/>
        <v>215.78305328671854</v>
      </c>
      <c r="AP61" s="16">
        <f>IF(ISNA(VLOOKUP(A61,'Données projet'!$A$61:$I$81,3,0)),0,VLOOKUP(A61,'Données projet'!$A$61:$I$81,3,0))</f>
        <v>8</v>
      </c>
      <c r="AQ61" s="16">
        <f>IF(ISNA(VLOOKUP(A61,'Données projet'!$A$61:$I$81,4,0)),0,VLOOKUP(A61,'Données projet'!$A$61:$I$81,4,0))</f>
        <v>78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7.5963547533423181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6.2552657896833667E-3</v>
      </c>
      <c r="AX61" s="23">
        <f t="shared" si="6"/>
        <v>7.6026100191320012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10.199999999999999</v>
      </c>
      <c r="BD61" s="13">
        <f>IF('Données projet'!$A$88&gt;35,BD60+BC61-BL60,IF(A61&lt;'Données projet'!$A$88,$BA$205^A61,IF(A61='Données projet'!$A$88,'Données projet'!$B$88,BD60+BC61-BL60)))</f>
        <v>645.59999999999968</v>
      </c>
      <c r="BE61" s="14">
        <f>BD61*VLOOKUP('Données projet'!$B$11,Paramètres!$A$1:$I$89,3,0)*VLOOKUP('Données projet'!$B$11,Paramètres!$A$1:$I$89,5,0)</f>
        <v>360.89039999999977</v>
      </c>
      <c r="BF61" s="14">
        <f t="shared" si="37"/>
        <v>83.800943075865291</v>
      </c>
      <c r="BG61" s="22">
        <f t="shared" si="7"/>
        <v>774.50408919046504</v>
      </c>
      <c r="BH61" s="62">
        <f t="shared" si="8"/>
        <v>1067.8374225237983</v>
      </c>
      <c r="BI61" s="62">
        <f ca="1">AVERAGE(OFFSET($BH$3,0,0,'Données projet'!$E$11+1,1))-AVERAGE(OFFSET($H$3,0,0,'Données projet'!$E$11+1,1))</f>
        <v>376.38993452481719</v>
      </c>
      <c r="BJ61" s="62">
        <f t="shared" si="38"/>
        <v>470.10036612616727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2.8642329773819859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2.765715106541877E-4</v>
      </c>
      <c r="BS61" s="24">
        <f t="shared" si="9"/>
        <v>2.8645095488926402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>
        <f>BY61*VLOOKUP('Données projet'!$B$12,Paramètres!$A$1:$I$89,3,0)*VLOOKUP('Données projet'!$B$12,Paramètres!$A$1:$I$89,5,0)</f>
        <v>0</v>
      </c>
      <c r="CA61" s="14" t="e">
        <f t="shared" si="39"/>
        <v>#NUM!</v>
      </c>
      <c r="CB61" s="22" t="e">
        <f t="shared" si="10"/>
        <v>#NUM!</v>
      </c>
      <c r="CC61" s="62" t="e">
        <f t="shared" si="11"/>
        <v>#NUM!</v>
      </c>
      <c r="CD61" s="62">
        <f ca="1">AVERAGE(OFFSET($CC$3,0,0,'Données projet'!$E$12+1,1))-AVERAGE(OFFSET($H$3,0,0,'Données projet'!$E$12+1,1))</f>
        <v>152.56843845628913</v>
      </c>
      <c r="CE61" s="62">
        <f t="shared" si="40"/>
        <v>311.82523951987685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56.747051009315328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1.6234432616641495E-2</v>
      </c>
      <c r="CN61" s="24">
        <f t="shared" si="12"/>
        <v>56.76328544193197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33.778680000000023</v>
      </c>
      <c r="D62" s="12">
        <f t="shared" si="32"/>
        <v>10.333816177023609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340.51751434895436</v>
      </c>
      <c r="H62" s="70">
        <f t="shared" si="1"/>
        <v>370.16259750831614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13.5</v>
      </c>
      <c r="N62" s="14">
        <f>IF('Données projet'!$A$36&gt;35,N61+M62-V61,IF(A62&lt;'Données projet'!$A$36,$K$205^A62,IF(A62='Données projet'!$A$36,'Données projet'!$B$36,N61+M62-V61)))</f>
        <v>498.49999999999989</v>
      </c>
      <c r="O62" s="14">
        <f>N62*VLOOKUP('Données projet'!$B$9,Paramètres!$A$1:$I$89,3,0)*VLOOKUP('Données projet'!$B$9,Paramètres!$A$1:$I$89,5,0)</f>
        <v>233.29799999999994</v>
      </c>
      <c r="P62" s="14">
        <f t="shared" si="33"/>
        <v>56.995194277534011</v>
      </c>
      <c r="Q62" s="22">
        <f t="shared" si="53"/>
        <v>505.59398003337168</v>
      </c>
      <c r="R62" s="62">
        <f t="shared" si="0"/>
        <v>798.92731336670499</v>
      </c>
      <c r="S62" s="62">
        <f ca="1">AVERAGE(OFFSET($R$3,0,0,'Données projet'!$E$9+1,1))-AVERAGE(OFFSET($H$3,0,0,'Données projet'!$E$9+1,1))</f>
        <v>300.81172286376216</v>
      </c>
      <c r="T62" s="62">
        <f t="shared" si="34"/>
        <v>217.90654346456347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16.625</v>
      </c>
      <c r="AI62" s="14">
        <f>IF('Données projet'!$A$62&gt;35,AI61+AH62-AQ61,IF(A62&lt;'Données projet'!$A$62,$AF$205^A62,IF(A62='Données projet'!$A$62,'Données projet'!$B$62,AI61+AH62-AQ61)))</f>
        <v>366.62500000000006</v>
      </c>
      <c r="AJ62" s="14">
        <f>AI62*VLOOKUP('Données projet'!$B$10,Paramètres!$A$1:$I$89,3,0)*VLOOKUP('Données projet'!$B$10,Paramètres!$A$1:$I$89,5,0)</f>
        <v>219.24175000000005</v>
      </c>
      <c r="AK62" s="14">
        <f t="shared" si="35"/>
        <v>53.950050729111297</v>
      </c>
      <c r="AL62" s="22">
        <f t="shared" si="4"/>
        <v>475.80905293653558</v>
      </c>
      <c r="AM62" s="62">
        <f t="shared" si="5"/>
        <v>769.14238626986889</v>
      </c>
      <c r="AN62" s="62">
        <f ca="1">AVERAGE(OFFSET($AM$3,0,0,'Données projet'!$E$10+1,1))-AVERAGE(OFFSET($H$3,0,0,'Données projet'!$E$10+1,1))</f>
        <v>279.33945837918748</v>
      </c>
      <c r="AO62" s="62">
        <f t="shared" si="36"/>
        <v>215.78305328671854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7.4473948699481722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4.4231408580093327E-3</v>
      </c>
      <c r="AX62" s="23">
        <f t="shared" si="6"/>
        <v>7.451818010806182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10.199999999999999</v>
      </c>
      <c r="BD62" s="13">
        <f>IF('Données projet'!$A$88&gt;35,BD61+BC62-BL61,IF(A62&lt;'Données projet'!$A$88,$BA$205^A62,IF(A62='Données projet'!$A$88,'Données projet'!$B$88,BD61+BC62-BL61)))</f>
        <v>655.79999999999973</v>
      </c>
      <c r="BE62" s="14">
        <f>BD62*VLOOKUP('Données projet'!$B$11,Paramètres!$A$1:$I$89,3,0)*VLOOKUP('Données projet'!$B$11,Paramètres!$A$1:$I$89,5,0)</f>
        <v>366.59219999999982</v>
      </c>
      <c r="BF62" s="14">
        <f t="shared" si="37"/>
        <v>84.969753481055022</v>
      </c>
      <c r="BG62" s="22">
        <f t="shared" si="7"/>
        <v>786.47040231283711</v>
      </c>
      <c r="BH62" s="62">
        <f t="shared" si="8"/>
        <v>1079.8037356461705</v>
      </c>
      <c r="BI62" s="62">
        <f ca="1">AVERAGE(OFFSET($BH$3,0,0,'Données projet'!$E$11+1,1))-AVERAGE(OFFSET($H$3,0,0,'Données projet'!$E$11+1,1))</f>
        <v>376.38993452481719</v>
      </c>
      <c r="BJ62" s="62">
        <f t="shared" si="38"/>
        <v>470.10036612616727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2.8080671157051387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1.955655906665836E-4</v>
      </c>
      <c r="BS62" s="24">
        <f t="shared" si="9"/>
        <v>2.8082626812958051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>
        <f>BY62*VLOOKUP('Données projet'!$B$12,Paramètres!$A$1:$I$89,3,0)*VLOOKUP('Données projet'!$B$12,Paramètres!$A$1:$I$89,5,0)</f>
        <v>0</v>
      </c>
      <c r="CA62" s="14" t="e">
        <f t="shared" si="39"/>
        <v>#NUM!</v>
      </c>
      <c r="CB62" s="22" t="e">
        <f t="shared" si="10"/>
        <v>#NUM!</v>
      </c>
      <c r="CC62" s="62" t="e">
        <f t="shared" si="11"/>
        <v>#NUM!</v>
      </c>
      <c r="CD62" s="62">
        <f ca="1">AVERAGE(OFFSET($CC$3,0,0,'Données projet'!$E$12+1,1))-AVERAGE(OFFSET($H$3,0,0,'Données projet'!$E$12+1,1))</f>
        <v>152.56843845628913</v>
      </c>
      <c r="CE62" s="62">
        <f t="shared" si="40"/>
        <v>311.82523951987685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55.634275951306094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1.1479477391943268E-2</v>
      </c>
      <c r="CN62" s="24">
        <f t="shared" si="12"/>
        <v>55.645755428698038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34.35120000000002</v>
      </c>
      <c r="D63" s="12">
        <f t="shared" si="32"/>
        <v>10.488426501273121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346.1304501852664</v>
      </c>
      <c r="H63" s="70">
        <f t="shared" si="1"/>
        <v>371.42901615638402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512</v>
      </c>
      <c r="L63" s="13">
        <f>VLOOKUP(A63,'Données projet'!$A$35:$I$55,9,0)</f>
        <v>13.5</v>
      </c>
      <c r="M63" s="13">
        <f t="array" ref="M63">INDEX(L:L,MIN(IF(ISNUMBER(L63:L259),ROW(L63:L259),"")))</f>
        <v>13.5</v>
      </c>
      <c r="N63" s="14">
        <f>IF('Données projet'!$A$36&gt;35,N62+M63-V62,IF(A63&lt;'Données projet'!$A$36,$K$205^A63,IF(A63='Données projet'!$A$36,'Données projet'!$B$36,N62+M63-V62)))</f>
        <v>511.99999999999989</v>
      </c>
      <c r="O63" s="14">
        <f>N63*VLOOKUP('Données projet'!$B$9,Paramètres!$A$1:$I$89,3,0)*VLOOKUP('Données projet'!$B$9,Paramètres!$A$1:$I$89,5,0)</f>
        <v>239.61599999999996</v>
      </c>
      <c r="P63" s="14">
        <f t="shared" si="33"/>
        <v>58.356903313490157</v>
      </c>
      <c r="Q63" s="22">
        <f t="shared" si="53"/>
        <v>518.96947327099531</v>
      </c>
      <c r="R63" s="62">
        <f t="shared" si="0"/>
        <v>812.30280660432868</v>
      </c>
      <c r="S63" s="62">
        <f ca="1">AVERAGE(OFFSET($R$3,0,0,'Données projet'!$E$9+1,1))-AVERAGE(OFFSET($H$3,0,0,'Données projet'!$E$9+1,1))</f>
        <v>300.81172286376216</v>
      </c>
      <c r="T63" s="62">
        <f t="shared" si="34"/>
        <v>217.90654346456347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102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16.625</v>
      </c>
      <c r="AI63" s="14">
        <f>IF('Données projet'!$A$62&gt;35,AI62+AH63-AQ62,IF(A63&lt;'Données projet'!$A$62,$AF$205^A63,IF(A63='Données projet'!$A$62,'Données projet'!$B$62,AI62+AH63-AQ62)))</f>
        <v>383.25000000000006</v>
      </c>
      <c r="AJ63" s="14">
        <f>AI63*VLOOKUP('Données projet'!$B$10,Paramètres!$A$1:$I$89,3,0)*VLOOKUP('Données projet'!$B$10,Paramètres!$A$1:$I$89,5,0)</f>
        <v>229.18350000000007</v>
      </c>
      <c r="AK63" s="14">
        <f t="shared" si="35"/>
        <v>56.106098616839645</v>
      </c>
      <c r="AL63" s="22">
        <f t="shared" si="4"/>
        <v>496.87938425766248</v>
      </c>
      <c r="AM63" s="62">
        <f t="shared" si="5"/>
        <v>790.21271759099579</v>
      </c>
      <c r="AN63" s="62">
        <f ca="1">AVERAGE(OFFSET($AM$3,0,0,'Données projet'!$E$10+1,1))-AVERAGE(OFFSET($H$3,0,0,'Données projet'!$E$10+1,1))</f>
        <v>279.33945837918748</v>
      </c>
      <c r="AO63" s="62">
        <f t="shared" si="36"/>
        <v>215.78305328671854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7.3013559990108288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3.1276328948416834E-3</v>
      </c>
      <c r="AX63" s="23">
        <f t="shared" si="6"/>
        <v>7.3044836319056703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666</v>
      </c>
      <c r="BB63" s="13">
        <f>VLOOKUP(A63,'Données projet'!$A$87:$I$107,9,0)</f>
        <v>10.199999999999999</v>
      </c>
      <c r="BC63" s="13">
        <f t="array" ref="BC63">INDEX(BB:BB,MIN(IF(ISNUMBER(BB63:BB259),ROW(BB63:BB259),"")))</f>
        <v>10.199999999999999</v>
      </c>
      <c r="BD63" s="13">
        <f>IF('Données projet'!$A$88&gt;35,BD62+BC63-BL62,IF(A63&lt;'Données projet'!$A$88,$BA$205^A63,IF(A63='Données projet'!$A$88,'Données projet'!$B$88,BD62+BC63-BL62)))</f>
        <v>665.99999999999977</v>
      </c>
      <c r="BE63" s="14">
        <f>BD63*VLOOKUP('Données projet'!$B$11,Paramètres!$A$1:$I$89,3,0)*VLOOKUP('Données projet'!$B$11,Paramètres!$A$1:$I$89,5,0)</f>
        <v>372.29399999999987</v>
      </c>
      <c r="BF63" s="14">
        <f t="shared" si="37"/>
        <v>86.136449661008839</v>
      </c>
      <c r="BG63" s="22">
        <f t="shared" si="7"/>
        <v>798.43303315959008</v>
      </c>
      <c r="BH63" s="62">
        <f t="shared" si="8"/>
        <v>1091.7663664929235</v>
      </c>
      <c r="BI63" s="62">
        <f ca="1">AVERAGE(OFFSET($BH$3,0,0,'Données projet'!$E$11+1,1))-AVERAGE(OFFSET($H$3,0,0,'Données projet'!$E$11+1,1))</f>
        <v>376.38993452481719</v>
      </c>
      <c r="BJ63" s="62">
        <f t="shared" si="38"/>
        <v>470.10036612616727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666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2.7530026323179815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1.3828575532709385E-4</v>
      </c>
      <c r="BS63" s="24">
        <f t="shared" si="9"/>
        <v>2.7531409180733086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>
        <f>BY63*VLOOKUP('Données projet'!$B$12,Paramètres!$A$1:$I$89,3,0)*VLOOKUP('Données projet'!$B$12,Paramètres!$A$1:$I$89,5,0)</f>
        <v>0</v>
      </c>
      <c r="CA63" s="14" t="e">
        <f t="shared" si="39"/>
        <v>#NUM!</v>
      </c>
      <c r="CB63" s="22" t="e">
        <f t="shared" si="10"/>
        <v>#NUM!</v>
      </c>
      <c r="CC63" s="62" t="e">
        <f t="shared" si="11"/>
        <v>#NUM!</v>
      </c>
      <c r="CD63" s="62">
        <f ca="1">AVERAGE(OFFSET($CC$3,0,0,'Données projet'!$E$12+1,1))-AVERAGE(OFFSET($H$3,0,0,'Données projet'!$E$12+1,1))</f>
        <v>152.56843845628913</v>
      </c>
      <c r="CE63" s="62">
        <f t="shared" si="40"/>
        <v>311.82523951987685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54.543321733458654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8.1172163083207474E-3</v>
      </c>
      <c r="CN63" s="24">
        <f t="shared" si="12"/>
        <v>54.551438949766975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34.923720000000017</v>
      </c>
      <c r="D64" s="12">
        <f t="shared" si="32"/>
        <v>10.642737157583532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351.7410727953818</v>
      </c>
      <c r="H64" s="70">
        <f t="shared" si="1"/>
        <v>372.6949128827913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15.5</v>
      </c>
      <c r="N64" s="14">
        <f>IF('Données projet'!$A$36&gt;35,N63+M64-V63,IF(A64&lt;'Données projet'!$A$36,$K$205^A64,IF(A64='Données projet'!$A$36,'Données projet'!$B$36,N63+M64-V63)))</f>
        <v>425.49999999999989</v>
      </c>
      <c r="O64" s="14">
        <f>N64*VLOOKUP('Données projet'!$B$9,Paramètres!$A$1:$I$89,3,0)*VLOOKUP('Données projet'!$B$9,Paramètres!$A$1:$I$89,5,0)</f>
        <v>199.13399999999993</v>
      </c>
      <c r="P64" s="14">
        <f t="shared" si="33"/>
        <v>49.553799097205186</v>
      </c>
      <c r="Q64" s="22">
        <f t="shared" si="53"/>
        <v>433.13125009429888</v>
      </c>
      <c r="R64" s="62">
        <f t="shared" si="0"/>
        <v>726.46458342763219</v>
      </c>
      <c r="S64" s="62">
        <f ca="1">AVERAGE(OFFSET($R$3,0,0,'Données projet'!$E$9+1,1))-AVERAGE(OFFSET($H$3,0,0,'Données projet'!$E$9+1,1))</f>
        <v>300.81172286376216</v>
      </c>
      <c r="T64" s="62">
        <f t="shared" si="34"/>
        <v>217.90654346456347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16.625</v>
      </c>
      <c r="AI64" s="14">
        <f>IF('Données projet'!$A$62&gt;35,AI63+AH64-AQ63,IF(A64&lt;'Données projet'!$A$62,$AF$205^A64,IF(A64='Données projet'!$A$62,'Données projet'!$B$62,AI63+AH64-AQ63)))</f>
        <v>399.87500000000006</v>
      </c>
      <c r="AJ64" s="14">
        <f>AI64*VLOOKUP('Données projet'!$B$10,Paramètres!$A$1:$I$89,3,0)*VLOOKUP('Données projet'!$B$10,Paramètres!$A$1:$I$89,5,0)</f>
        <v>239.12525000000005</v>
      </c>
      <c r="AK64" s="14">
        <f t="shared" si="35"/>
        <v>58.251283780505084</v>
      </c>
      <c r="AL64" s="22">
        <f t="shared" si="4"/>
        <v>517.93079633437981</v>
      </c>
      <c r="AM64" s="62">
        <f t="shared" si="5"/>
        <v>811.26412966771318</v>
      </c>
      <c r="AN64" s="62">
        <f ca="1">AVERAGE(OFFSET($AM$3,0,0,'Données projet'!$E$10+1,1))-AVERAGE(OFFSET($H$3,0,0,'Données projet'!$E$10+1,1))</f>
        <v>279.33945837918748</v>
      </c>
      <c r="AO64" s="62">
        <f t="shared" si="36"/>
        <v>215.78305328671854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7.1581808612576507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2.2115704290046664E-3</v>
      </c>
      <c r="AX64" s="23">
        <f t="shared" si="6"/>
        <v>7.1603924316866552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-2.2737367544323206E-13</v>
      </c>
      <c r="BE64" s="14">
        <f>BD64*VLOOKUP('Données projet'!$B$11,Paramètres!$A$1:$I$89,3,0)*VLOOKUP('Données projet'!$B$11,Paramètres!$A$1:$I$89,5,0)</f>
        <v>-1.2710188457276673E-13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376.38993452481719</v>
      </c>
      <c r="BJ64" s="62">
        <f t="shared" si="38"/>
        <v>470.10036612616727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2.6990179298640276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9.7782795333291799E-5</v>
      </c>
      <c r="BS64" s="24">
        <f t="shared" si="9"/>
        <v>2.6991157126593608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>
        <f>BY64*VLOOKUP('Données projet'!$B$12,Paramètres!$A$1:$I$89,3,0)*VLOOKUP('Données projet'!$B$12,Paramètres!$A$1:$I$89,5,0)</f>
        <v>0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152.56843845628913</v>
      </c>
      <c r="CE64" s="62">
        <f t="shared" si="40"/>
        <v>311.82523951987685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53.47376046240683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5.7397386959716339E-3</v>
      </c>
      <c r="CN64" s="24">
        <f t="shared" si="12"/>
        <v>53.479500201102802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35.496240000000014</v>
      </c>
      <c r="D65" s="12">
        <f t="shared" si="32"/>
        <v>10.796753625634583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357.34942447858288</v>
      </c>
      <c r="H65" s="70">
        <f t="shared" si="1"/>
        <v>373.96029723131358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15.5</v>
      </c>
      <c r="N65" s="14">
        <f>IF('Données projet'!$A$36&gt;35,N64+M65-V64,IF(A65&lt;'Données projet'!$A$36,$K$205^A65,IF(A65='Données projet'!$A$36,'Données projet'!$B$36,N64+M65-V64)))</f>
        <v>440.99999999999989</v>
      </c>
      <c r="O65" s="14">
        <f>N65*VLOOKUP('Données projet'!$B$9,Paramètres!$A$1:$I$89,3,0)*VLOOKUP('Données projet'!$B$9,Paramètres!$A$1:$I$89,5,0)</f>
        <v>206.38799999999995</v>
      </c>
      <c r="P65" s="14">
        <f t="shared" si="33"/>
        <v>51.145477584014834</v>
      </c>
      <c r="Q65" s="22">
        <f t="shared" si="53"/>
        <v>448.53747345882579</v>
      </c>
      <c r="R65" s="62">
        <f t="shared" si="0"/>
        <v>741.8708067921591</v>
      </c>
      <c r="S65" s="62">
        <f ca="1">AVERAGE(OFFSET($R$3,0,0,'Données projet'!$E$9+1,1))-AVERAGE(OFFSET($H$3,0,0,'Données projet'!$E$9+1,1))</f>
        <v>300.81172286376216</v>
      </c>
      <c r="T65" s="62">
        <f t="shared" si="34"/>
        <v>217.90654346456347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16.625</v>
      </c>
      <c r="AI65" s="14">
        <f>IF('Données projet'!$A$62&gt;35,AI64+AH65-AQ64,IF(A65&lt;'Données projet'!$A$62,$AF$205^A65,IF(A65='Données projet'!$A$62,'Données projet'!$B$62,AI64+AH65-AQ64)))</f>
        <v>416.50000000000006</v>
      </c>
      <c r="AJ65" s="14">
        <f>AI65*VLOOKUP('Données projet'!$B$10,Paramètres!$A$1:$I$89,3,0)*VLOOKUP('Données projet'!$B$10,Paramètres!$A$1:$I$89,5,0)</f>
        <v>249.06700000000004</v>
      </c>
      <c r="AK65" s="14">
        <f t="shared" si="35"/>
        <v>60.386109489804014</v>
      </c>
      <c r="AL65" s="22">
        <f t="shared" si="4"/>
        <v>538.96416569474195</v>
      </c>
      <c r="AM65" s="62">
        <f t="shared" si="5"/>
        <v>832.29749902807521</v>
      </c>
      <c r="AN65" s="62">
        <f ca="1">AVERAGE(OFFSET($AM$3,0,0,'Données projet'!$E$10+1,1))-AVERAGE(OFFSET($H$3,0,0,'Données projet'!$E$10+1,1))</f>
        <v>279.33945837918748</v>
      </c>
      <c r="AO65" s="62">
        <f t="shared" si="36"/>
        <v>215.78305328671854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7.0178133006276013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1.5638164474208417E-3</v>
      </c>
      <c r="AX65" s="23">
        <f t="shared" si="6"/>
        <v>7.0193771170750221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-2.2737367544323206E-13</v>
      </c>
      <c r="BE65" s="14">
        <f>BD65*VLOOKUP('Données projet'!$B$11,Paramètres!$A$1:$I$89,3,0)*VLOOKUP('Données projet'!$B$11,Paramètres!$A$1:$I$89,5,0)</f>
        <v>-1.2710188457276673E-13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376.38993452481719</v>
      </c>
      <c r="BJ65" s="62">
        <f t="shared" si="38"/>
        <v>470.10036612616727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2.6460918344977786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6.9142877663546924E-5</v>
      </c>
      <c r="BS65" s="24">
        <f t="shared" si="9"/>
        <v>2.646160977375442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>
        <f>BY65*VLOOKUP('Données projet'!$B$12,Paramètres!$A$1:$I$89,3,0)*VLOOKUP('Données projet'!$B$12,Paramètres!$A$1:$I$89,5,0)</f>
        <v>0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152.56843845628913</v>
      </c>
      <c r="CE65" s="62">
        <f t="shared" si="40"/>
        <v>311.82523951987685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52.425172635512375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4.0586081541603737E-3</v>
      </c>
      <c r="CN65" s="24">
        <f t="shared" si="12"/>
        <v>52.429231243666536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36.068760000000012</v>
      </c>
      <c r="D66" s="12">
        <f t="shared" si="32"/>
        <v>10.950481198205729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362.95554609141277</v>
      </c>
      <c r="H66" s="70">
        <f t="shared" si="1"/>
        <v>375.22517842020829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15.5</v>
      </c>
      <c r="N66" s="14">
        <f>IF('Données projet'!$A$36&gt;35,N65+M66-V65,IF(A66&lt;'Données projet'!$A$36,$K$205^A66,IF(A66='Données projet'!$A$36,'Données projet'!$B$36,N65+M66-V65)))</f>
        <v>456.49999999999989</v>
      </c>
      <c r="O66" s="14">
        <f>N66*VLOOKUP('Données projet'!$B$9,Paramètres!$A$1:$I$89,3,0)*VLOOKUP('Données projet'!$B$9,Paramètres!$A$1:$I$89,5,0)</f>
        <v>213.64199999999994</v>
      </c>
      <c r="P66" s="14">
        <f t="shared" si="33"/>
        <v>52.730656153675348</v>
      </c>
      <c r="Q66" s="22">
        <f t="shared" si="53"/>
        <v>463.93237613431779</v>
      </c>
      <c r="R66" s="62">
        <f t="shared" si="0"/>
        <v>757.26570946765105</v>
      </c>
      <c r="S66" s="62">
        <f ca="1">AVERAGE(OFFSET($R$3,0,0,'Données projet'!$E$9+1,1))-AVERAGE(OFFSET($H$3,0,0,'Données projet'!$E$9+1,1))</f>
        <v>300.81172286376216</v>
      </c>
      <c r="T66" s="62">
        <f t="shared" si="34"/>
        <v>217.90654346456347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16.625</v>
      </c>
      <c r="AI66" s="14">
        <f>IF('Données projet'!$A$62&gt;35,AI65+AH66-AQ65,IF(A66&lt;'Données projet'!$A$62,$AF$205^A66,IF(A66='Données projet'!$A$62,'Données projet'!$B$62,AI65+AH66-AQ65)))</f>
        <v>433.12500000000006</v>
      </c>
      <c r="AJ66" s="14">
        <f>AI66*VLOOKUP('Données projet'!$B$10,Paramètres!$A$1:$I$89,3,0)*VLOOKUP('Données projet'!$B$10,Paramètres!$A$1:$I$89,5,0)</f>
        <v>259.00875000000008</v>
      </c>
      <c r="AK66" s="14">
        <f t="shared" si="35"/>
        <v>62.511036563235727</v>
      </c>
      <c r="AL66" s="22">
        <f t="shared" si="4"/>
        <v>559.98029493096897</v>
      </c>
      <c r="AM66" s="62">
        <f t="shared" si="5"/>
        <v>853.31362826430222</v>
      </c>
      <c r="AN66" s="62">
        <f ca="1">AVERAGE(OFFSET($AM$3,0,0,'Données projet'!$E$10+1,1))-AVERAGE(OFFSET($H$3,0,0,'Données projet'!$E$10+1,1))</f>
        <v>279.33945837918748</v>
      </c>
      <c r="AO66" s="62">
        <f t="shared" si="36"/>
        <v>215.78305328671854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6.8801982622457487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1.1057852145023332E-3</v>
      </c>
      <c r="AX66" s="23">
        <f t="shared" si="6"/>
        <v>6.8813040474602509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-2.2737367544323206E-13</v>
      </c>
      <c r="BE66" s="14">
        <f>BD66*VLOOKUP('Données projet'!$B$11,Paramètres!$A$1:$I$89,3,0)*VLOOKUP('Données projet'!$B$11,Paramètres!$A$1:$I$89,5,0)</f>
        <v>-1.2710188457276673E-13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376.38993452481719</v>
      </c>
      <c r="BJ66" s="62">
        <f t="shared" si="38"/>
        <v>470.10036612616727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2.5942035875799312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4.88913976666459E-5</v>
      </c>
      <c r="BS66" s="24">
        <f t="shared" si="9"/>
        <v>2.594252478977598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>
        <f>BY66*VLOOKUP('Données projet'!$B$12,Paramètres!$A$1:$I$89,3,0)*VLOOKUP('Données projet'!$B$12,Paramètres!$A$1:$I$89,5,0)</f>
        <v>0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152.56843845628913</v>
      </c>
      <c r="CE66" s="62">
        <f t="shared" si="40"/>
        <v>311.82523951987685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51.397146976327896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2.869869347985817E-3</v>
      </c>
      <c r="CN66" s="24">
        <f t="shared" si="12"/>
        <v>51.400016845675879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36.641280000000009</v>
      </c>
      <c r="D67" s="12">
        <f t="shared" si="32"/>
        <v>11.103924990414537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368.55947711898949</v>
      </c>
      <c r="H67" s="70">
        <f t="shared" si="1"/>
        <v>376.4895653583053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15.5</v>
      </c>
      <c r="N67" s="14">
        <f>IF('Données projet'!$A$36&gt;35,N66+M67-V66,IF(A67&lt;'Données projet'!$A$36,$K$205^A67,IF(A67='Données projet'!$A$36,'Données projet'!$B$36,N66+M67-V66)))</f>
        <v>471.99999999999989</v>
      </c>
      <c r="O67" s="14">
        <f>N67*VLOOKUP('Données projet'!$B$9,Paramètres!$A$1:$I$89,3,0)*VLOOKUP('Données projet'!$B$9,Paramètres!$A$1:$I$89,5,0)</f>
        <v>220.89599999999996</v>
      </c>
      <c r="P67" s="14">
        <f t="shared" si="33"/>
        <v>54.309580803412281</v>
      </c>
      <c r="Q67" s="22">
        <f t="shared" ref="Q67:Q98" si="54">(O67+P67)*0.475*44/12</f>
        <v>479.31638656594299</v>
      </c>
      <c r="R67" s="62">
        <f t="shared" ref="R67:R130" si="55">Q67+(I67+J67)*44/12</f>
        <v>772.64971989927631</v>
      </c>
      <c r="S67" s="62">
        <f ca="1">AVERAGE(OFFSET($R$3,0,0,'Données projet'!$E$9+1,1))-AVERAGE(OFFSET($H$3,0,0,'Données projet'!$E$9+1,1))</f>
        <v>300.81172286376216</v>
      </c>
      <c r="T67" s="62">
        <f t="shared" si="34"/>
        <v>217.90654346456347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16.625</v>
      </c>
      <c r="AI67" s="14">
        <f>IF('Données projet'!$A$62&gt;35,AI66+AH67-AQ66,IF(A67&lt;'Données projet'!$A$62,$AF$205^A67,IF(A67='Données projet'!$A$62,'Données projet'!$B$62,AI66+AH67-AQ66)))</f>
        <v>449.75000000000006</v>
      </c>
      <c r="AJ67" s="14">
        <f>AI67*VLOOKUP('Données projet'!$B$10,Paramètres!$A$1:$I$89,3,0)*VLOOKUP('Données projet'!$B$10,Paramètres!$A$1:$I$89,5,0)</f>
        <v>268.95050000000009</v>
      </c>
      <c r="AK67" s="14">
        <f t="shared" si="35"/>
        <v>64.626488439895155</v>
      </c>
      <c r="AL67" s="22">
        <f t="shared" si="4"/>
        <v>580.97992153281746</v>
      </c>
      <c r="AM67" s="62">
        <f t="shared" si="5"/>
        <v>874.31325486615083</v>
      </c>
      <c r="AN67" s="62">
        <f ca="1">AVERAGE(OFFSET($AM$3,0,0,'Données projet'!$E$10+1,1))-AVERAGE(OFFSET($H$3,0,0,'Données projet'!$E$10+1,1))</f>
        <v>279.33945837918748</v>
      </c>
      <c r="AO67" s="62">
        <f t="shared" si="36"/>
        <v>215.78305328671854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6.7452817708296786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7.8190822371042084E-4</v>
      </c>
      <c r="AX67" s="23">
        <f t="shared" si="6"/>
        <v>6.746063679053389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-2.2737367544323206E-13</v>
      </c>
      <c r="BE67" s="14">
        <f>BD67*VLOOKUP('Données projet'!$B$11,Paramètres!$A$1:$I$89,3,0)*VLOOKUP('Données projet'!$B$11,Paramètres!$A$1:$I$89,5,0)</f>
        <v>-1.2710188457276673E-13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376.38993452481719</v>
      </c>
      <c r="BJ67" s="62">
        <f t="shared" si="38"/>
        <v>470.10036612616727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2.5433328375354374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3.4571438831773462E-5</v>
      </c>
      <c r="BS67" s="24">
        <f t="shared" si="9"/>
        <v>2.5433674089742691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>
        <f>BY67*VLOOKUP('Données projet'!$B$12,Paramètres!$A$1:$I$89,3,0)*VLOOKUP('Données projet'!$B$12,Paramètres!$A$1:$I$89,5,0)</f>
        <v>0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152.56843845628913</v>
      </c>
      <c r="CE67" s="62">
        <f t="shared" si="40"/>
        <v>311.82523951987685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50.389280273286289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2.0293040770801869E-3</v>
      </c>
      <c r="CN67" s="24">
        <f t="shared" si="12"/>
        <v>50.391309577363366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37.213800000000006</v>
      </c>
      <c r="D68" s="12">
        <f t="shared" si="32"/>
        <v>11.257089948361209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374.16125574173572</v>
      </c>
      <c r="H68" s="70">
        <f t="shared" ref="H68:H131" si="56">(B68+E68+F68)*44/12+(C68+D68)*0.475*44/12</f>
        <v>377.75346666006243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15.5</v>
      </c>
      <c r="N68" s="14">
        <f>IF('Données projet'!$A$36&gt;35,N67+M68-V67,IF(A68&lt;'Données projet'!$A$36,$K$205^A68,IF(A68='Données projet'!$A$36,'Données projet'!$B$36,N67+M68-V67)))</f>
        <v>487.49999999999989</v>
      </c>
      <c r="O68" s="14">
        <f>N68*VLOOKUP('Données projet'!$B$9,Paramètres!$A$1:$I$89,3,0)*VLOOKUP('Données projet'!$B$9,Paramètres!$A$1:$I$89,5,0)</f>
        <v>228.14999999999992</v>
      </c>
      <c r="P68" s="14">
        <f t="shared" si="33"/>
        <v>55.882480456847652</v>
      </c>
      <c r="Q68" s="22">
        <f t="shared" si="54"/>
        <v>494.68990346234278</v>
      </c>
      <c r="R68" s="62">
        <f t="shared" si="55"/>
        <v>788.0232367956761</v>
      </c>
      <c r="S68" s="62">
        <f ca="1">AVERAGE(OFFSET($R$3,0,0,'Données projet'!$E$9+1,1))-AVERAGE(OFFSET($H$3,0,0,'Données projet'!$E$9+1,1))</f>
        <v>300.81172286376216</v>
      </c>
      <c r="T68" s="62">
        <f t="shared" si="34"/>
        <v>217.90654346456347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16.625</v>
      </c>
      <c r="AI68" s="14">
        <f>IF('Données projet'!$A$62&gt;35,AI67+AH68-AQ67,IF(A68&lt;'Données projet'!$A$62,$AF$205^A68,IF(A68='Données projet'!$A$62,'Données projet'!$B$62,AI67+AH68-AQ67)))</f>
        <v>466.37500000000006</v>
      </c>
      <c r="AJ68" s="14">
        <f>AI68*VLOOKUP('Données projet'!$B$10,Paramètres!$A$1:$I$89,3,0)*VLOOKUP('Données projet'!$B$10,Paramètres!$A$1:$I$89,5,0)</f>
        <v>278.89225000000005</v>
      </c>
      <c r="AK68" s="14">
        <f t="shared" si="35"/>
        <v>66.732855480271084</v>
      </c>
      <c r="AL68" s="22">
        <f t="shared" ref="AL68:AL131" si="58">(AJ68+AK68)*0.475*44/12</f>
        <v>601.96372537813886</v>
      </c>
      <c r="AM68" s="62">
        <f t="shared" ref="AM68:AM131" si="59">AL68+(AD68+AE68)*44/12</f>
        <v>895.29705871147212</v>
      </c>
      <c r="AN68" s="62">
        <f ca="1">AVERAGE(OFFSET($AM$3,0,0,'Données projet'!$E$10+1,1))-AVERAGE(OFFSET($H$3,0,0,'Données projet'!$E$10+1,1))</f>
        <v>279.33945837918748</v>
      </c>
      <c r="AO68" s="62">
        <f t="shared" si="36"/>
        <v>215.78305328671854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6.6130109095193434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5.5289260725116659E-4</v>
      </c>
      <c r="AX68" s="23">
        <f t="shared" ref="AX68:AX131" si="60">SUM(AU68:AW68)</f>
        <v>6.6135638021265946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-2.2737367544323206E-13</v>
      </c>
      <c r="BE68" s="14">
        <f>BD68*VLOOKUP('Données projet'!$B$11,Paramètres!$A$1:$I$89,3,0)*VLOOKUP('Données projet'!$B$11,Paramètres!$A$1:$I$89,5,0)</f>
        <v>-1.2710188457276673E-13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376.38993452481719</v>
      </c>
      <c r="BJ68" s="62">
        <f t="shared" si="38"/>
        <v>470.10036612616727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2.4934596318712221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2.444569883332295E-5</v>
      </c>
      <c r="BS68" s="24">
        <f t="shared" ref="BS68:BS131" si="63">SUM(BP68:BR68)</f>
        <v>2.4934840775700553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>
        <f>BY68*VLOOKUP('Données projet'!$B$12,Paramètres!$A$1:$I$89,3,0)*VLOOKUP('Données projet'!$B$12,Paramètres!$A$1:$I$89,5,0)</f>
        <v>0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152.56843845628913</v>
      </c>
      <c r="CE68" s="62">
        <f t="shared" si="40"/>
        <v>311.82523951987685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49.40117722155334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1.4349346739929085E-3</v>
      </c>
      <c r="CN68" s="24">
        <f t="shared" ref="CN68:CN131" si="66">SUM(CK68:CM68)</f>
        <v>49.402612156227335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37.786320000000003</v>
      </c>
      <c r="D69" s="12">
        <f t="shared" ref="D69:D132" si="86">IFERROR(EXP(-1.0587+0.8836*LN(C69)+0.284),0)</f>
        <v>11.409980857226079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379.76091889788563</v>
      </c>
      <c r="H69" s="70">
        <f t="shared" si="56"/>
        <v>379.01689065966872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15.5</v>
      </c>
      <c r="N69" s="14">
        <f>IF('Données projet'!$A$36&gt;35,N68+M69-V68,IF(A69&lt;'Données projet'!$A$36,$K$205^A69,IF(A69='Données projet'!$A$36,'Données projet'!$B$36,N68+M69-V68)))</f>
        <v>502.99999999999989</v>
      </c>
      <c r="O69" s="14">
        <f>N69*VLOOKUP('Données projet'!$B$9,Paramètres!$A$1:$I$89,3,0)*VLOOKUP('Données projet'!$B$9,Paramètres!$A$1:$I$89,5,0)</f>
        <v>235.40399999999994</v>
      </c>
      <c r="P69" s="14">
        <f t="shared" ref="P69:P132" si="87">EXP(-1.0587+0.8836*LN(O69)+0.284)</f>
        <v>57.449568653781753</v>
      </c>
      <c r="Q69" s="22">
        <f t="shared" si="54"/>
        <v>510.05329873866975</v>
      </c>
      <c r="R69" s="62">
        <f t="shared" si="55"/>
        <v>803.38663207200307</v>
      </c>
      <c r="S69" s="62">
        <f ca="1">AVERAGE(OFFSET($R$3,0,0,'Données projet'!$E$9+1,1))-AVERAGE(OFFSET($H$3,0,0,'Données projet'!$E$9+1,1))</f>
        <v>300.81172286376216</v>
      </c>
      <c r="T69" s="62">
        <f t="shared" ref="T69:T132" si="88">$T$3</f>
        <v>217.90654346456347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>
        <f>VLOOKUP(A69,'Données projet'!$A$61:$I$81,2,0)</f>
        <v>483</v>
      </c>
      <c r="AG69" s="13">
        <f>VLOOKUP(A69,'Données projet'!$A$61:$I$81,9,0)</f>
        <v>16.625</v>
      </c>
      <c r="AH69" s="13">
        <f t="array" ref="AH69">INDEX(AG:AG,MIN(IF(ISNUMBER(AG69:AG265),ROW(AG69:AG265),"")))</f>
        <v>16.625</v>
      </c>
      <c r="AI69" s="14">
        <f>IF('Données projet'!$A$62&gt;35,AI68+AH69-AQ68,IF(A69&lt;'Données projet'!$A$62,$AF$205^A69,IF(A69='Données projet'!$A$62,'Données projet'!$B$62,AI68+AH69-AQ68)))</f>
        <v>483.00000000000006</v>
      </c>
      <c r="AJ69" s="14">
        <f>AI69*VLOOKUP('Données projet'!$B$10,Paramètres!$A$1:$I$89,3,0)*VLOOKUP('Données projet'!$B$10,Paramètres!$A$1:$I$89,5,0)</f>
        <v>288.83400000000006</v>
      </c>
      <c r="AK69" s="14">
        <f t="shared" ref="AK69:AK132" si="89">EXP(-1.0587+0.8836*LN(AJ69)+0.284)</f>
        <v>68.830498636563377</v>
      </c>
      <c r="AL69" s="22">
        <f t="shared" si="58"/>
        <v>622.932335125348</v>
      </c>
      <c r="AM69" s="62">
        <f t="shared" si="59"/>
        <v>916.26566845868138</v>
      </c>
      <c r="AN69" s="62">
        <f ca="1">AVERAGE(OFFSET($AM$3,0,0,'Données projet'!$E$10+1,1))-AVERAGE(OFFSET($H$3,0,0,'Données projet'!$E$10+1,1))</f>
        <v>279.33945837918748</v>
      </c>
      <c r="AO69" s="62">
        <f t="shared" ref="AO69:AO132" si="90">$AO$3</f>
        <v>215.78305328671854</v>
      </c>
      <c r="AP69" s="16">
        <f>IF(ISNA(VLOOKUP(A69,'Données projet'!$A$61:$I$81,3,0)),0,VLOOKUP(A69,'Données projet'!$A$61:$I$81,3,0))</f>
        <v>9</v>
      </c>
      <c r="AQ69" s="16">
        <f>IF(ISNA(VLOOKUP(A69,'Données projet'!$A$61:$I$81,4,0)),0,VLOOKUP(A69,'Données projet'!$A$61:$I$81,4,0))</f>
        <v>65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6.483333799122045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3.9095411185521042E-4</v>
      </c>
      <c r="AX69" s="23">
        <f t="shared" si="60"/>
        <v>6.4837247532339006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-2.2737367544323206E-13</v>
      </c>
      <c r="BE69" s="14">
        <f>BD69*VLOOKUP('Données projet'!$B$11,Paramètres!$A$1:$I$89,3,0)*VLOOKUP('Données projet'!$B$11,Paramètres!$A$1:$I$89,5,0)</f>
        <v>-1.2710188457276673E-13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376.38993452481719</v>
      </c>
      <c r="BJ69" s="62">
        <f t="shared" ref="BJ69:BJ132" si="92">$BJ$3</f>
        <v>470.10036612616727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2.4445644093504306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1.7285719415886731E-5</v>
      </c>
      <c r="BS69" s="24">
        <f t="shared" si="63"/>
        <v>2.4445816950698465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>
        <f>BY69*VLOOKUP('Données projet'!$B$12,Paramètres!$A$1:$I$89,3,0)*VLOOKUP('Données projet'!$B$12,Paramètres!$A$1:$I$89,5,0)</f>
        <v>0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152.56843845628913</v>
      </c>
      <c r="CE69" s="62">
        <f t="shared" ref="CE69:CE132" si="94">$CE$3</f>
        <v>311.82523951987685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48.432450267981523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1.0146520385400934E-3</v>
      </c>
      <c r="CN69" s="24">
        <f t="shared" si="66"/>
        <v>48.433464920020064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38.358840000000001</v>
      </c>
      <c r="D70" s="12">
        <f t="shared" si="86"/>
        <v>11.562602348862415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385.35850234209579</v>
      </c>
      <c r="H70" s="70">
        <f t="shared" si="56"/>
        <v>380.27984542426867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15.5</v>
      </c>
      <c r="N70" s="14">
        <f>IF('Données projet'!$A$36&gt;35,N69+M70-V69,IF(A70&lt;'Données projet'!$A$36,$K$205^A70,IF(A70='Données projet'!$A$36,'Données projet'!$B$36,N69+M70-V69)))</f>
        <v>518.49999999999989</v>
      </c>
      <c r="O70" s="14">
        <f>N70*VLOOKUP('Données projet'!$B$9,Paramètres!$A$1:$I$89,3,0)*VLOOKUP('Données projet'!$B$9,Paramètres!$A$1:$I$89,5,0)</f>
        <v>242.65799999999993</v>
      </c>
      <c r="P70" s="14">
        <f t="shared" si="87"/>
        <v>59.011045025839607</v>
      </c>
      <c r="Q70" s="22">
        <f t="shared" si="54"/>
        <v>525.40692008667054</v>
      </c>
      <c r="R70" s="62">
        <f t="shared" si="55"/>
        <v>818.74025342000391</v>
      </c>
      <c r="S70" s="62">
        <f ca="1">AVERAGE(OFFSET($R$3,0,0,'Données projet'!$E$9+1,1))-AVERAGE(OFFSET($H$3,0,0,'Données projet'!$E$9+1,1))</f>
        <v>300.81172286376216</v>
      </c>
      <c r="T70" s="62">
        <f t="shared" si="88"/>
        <v>217.90654346456347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12.875</v>
      </c>
      <c r="AI70" s="14">
        <f>IF('Données projet'!$A$62&gt;35,AI69+AH70-AQ69,IF(A70&lt;'Données projet'!$A$62,$AF$205^A70,IF(A70='Données projet'!$A$62,'Données projet'!$B$62,AI69+AH70-AQ69)))</f>
        <v>430.87500000000006</v>
      </c>
      <c r="AJ70" s="14">
        <f>AI70*VLOOKUP('Données projet'!$B$10,Paramètres!$A$1:$I$89,3,0)*VLOOKUP('Données projet'!$B$10,Paramètres!$A$1:$I$89,5,0)</f>
        <v>257.66325000000006</v>
      </c>
      <c r="AK70" s="14">
        <f t="shared" si="89"/>
        <v>62.224015868041043</v>
      </c>
      <c r="AL70" s="22">
        <f t="shared" si="58"/>
        <v>557.13698805350487</v>
      </c>
      <c r="AM70" s="62">
        <f t="shared" si="59"/>
        <v>850.47032138683812</v>
      </c>
      <c r="AN70" s="62">
        <f ca="1">AVERAGE(OFFSET($AM$3,0,0,'Données projet'!$E$10+1,1))-AVERAGE(OFFSET($H$3,0,0,'Données projet'!$E$10+1,1))</f>
        <v>279.33945837918748</v>
      </c>
      <c r="AO70" s="62">
        <f t="shared" si="90"/>
        <v>215.78305328671854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6.3561995777644107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2.764463036255833E-4</v>
      </c>
      <c r="AX70" s="23">
        <f t="shared" si="60"/>
        <v>6.3564760240680362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-2.2737367544323206E-13</v>
      </c>
      <c r="BE70" s="14">
        <f>BD70*VLOOKUP('Données projet'!$B$11,Paramètres!$A$1:$I$89,3,0)*VLOOKUP('Données projet'!$B$11,Paramètres!$A$1:$I$89,5,0)</f>
        <v>-1.2710188457276673E-13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376.38993452481719</v>
      </c>
      <c r="BJ70" s="62">
        <f t="shared" si="92"/>
        <v>470.10036612616727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2.3966279923201306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1.2222849416661475E-5</v>
      </c>
      <c r="BS70" s="24">
        <f t="shared" si="63"/>
        <v>2.3966402151695472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>
        <f>BY70*VLOOKUP('Données projet'!$B$12,Paramètres!$A$1:$I$89,3,0)*VLOOKUP('Données projet'!$B$12,Paramètres!$A$1:$I$89,5,0)</f>
        <v>0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152.56843845628913</v>
      </c>
      <c r="CE70" s="62">
        <f t="shared" si="94"/>
        <v>311.82523951987685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47.482719459104146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7.1746733699645424E-4</v>
      </c>
      <c r="CN70" s="24">
        <f t="shared" si="66"/>
        <v>47.483436926441144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38.931359999999998</v>
      </c>
      <c r="D71" s="12">
        <f t="shared" si="86"/>
        <v>11.714958908923073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390.95404070045879</v>
      </c>
      <c r="H71" s="70">
        <f t="shared" si="56"/>
        <v>381.54233876637431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15.5</v>
      </c>
      <c r="N71" s="14">
        <f>IF('Données projet'!$A$36&gt;35,N70+M71-V70,IF(A71&lt;'Données projet'!$A$36,$K$205^A71,IF(A71='Données projet'!$A$36,'Données projet'!$B$36,N70+M71-V70)))</f>
        <v>533.99999999999989</v>
      </c>
      <c r="O71" s="14">
        <f>N71*VLOOKUP('Données projet'!$B$9,Paramètres!$A$1:$I$89,3,0)*VLOOKUP('Données projet'!$B$9,Paramètres!$A$1:$I$89,5,0)</f>
        <v>249.91199999999995</v>
      </c>
      <c r="P71" s="14">
        <f t="shared" si="87"/>
        <v>60.56709659070836</v>
      </c>
      <c r="Q71" s="22">
        <f t="shared" si="54"/>
        <v>540.7510932288169</v>
      </c>
      <c r="R71" s="62">
        <f t="shared" si="55"/>
        <v>834.08442656215016</v>
      </c>
      <c r="S71" s="62">
        <f ca="1">AVERAGE(OFFSET($R$3,0,0,'Données projet'!$E$9+1,1))-AVERAGE(OFFSET($H$3,0,0,'Données projet'!$E$9+1,1))</f>
        <v>300.81172286376216</v>
      </c>
      <c r="T71" s="62">
        <f t="shared" si="88"/>
        <v>217.90654346456347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12.875</v>
      </c>
      <c r="AI71" s="14">
        <f>IF('Données projet'!$A$62&gt;35,AI70+AH71-AQ70,IF(A71&lt;'Données projet'!$A$62,$AF$205^A71,IF(A71='Données projet'!$A$62,'Données projet'!$B$62,AI70+AH71-AQ70)))</f>
        <v>443.75000000000006</v>
      </c>
      <c r="AJ71" s="14">
        <f>AI71*VLOOKUP('Données projet'!$B$10,Paramètres!$A$1:$I$89,3,0)*VLOOKUP('Données projet'!$B$10,Paramètres!$A$1:$I$89,5,0)</f>
        <v>265.36250000000007</v>
      </c>
      <c r="AK71" s="14">
        <f t="shared" si="89"/>
        <v>63.864084559847946</v>
      </c>
      <c r="AL71" s="22">
        <f t="shared" si="58"/>
        <v>573.40296810840198</v>
      </c>
      <c r="AM71" s="62">
        <f t="shared" si="59"/>
        <v>866.73630144173535</v>
      </c>
      <c r="AN71" s="62">
        <f ca="1">AVERAGE(OFFSET($AM$3,0,0,'Données projet'!$E$10+1,1))-AVERAGE(OFFSET($H$3,0,0,'Données projet'!$E$10+1,1))</f>
        <v>279.33945837918748</v>
      </c>
      <c r="AO71" s="62">
        <f t="shared" si="90"/>
        <v>215.78305328671854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6.2315583809433814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1.9547705592760521E-4</v>
      </c>
      <c r="AX71" s="23">
        <f t="shared" si="60"/>
        <v>6.2317538579993093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-2.2737367544323206E-13</v>
      </c>
      <c r="BE71" s="14">
        <f>BD71*VLOOKUP('Données projet'!$B$11,Paramètres!$A$1:$I$89,3,0)*VLOOKUP('Données projet'!$B$11,Paramètres!$A$1:$I$89,5,0)</f>
        <v>-1.2710188457276673E-13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376.38993452481719</v>
      </c>
      <c r="BJ71" s="62">
        <f t="shared" si="92"/>
        <v>470.10036612616727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2.3496315791894675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8.6428597079433655E-6</v>
      </c>
      <c r="BS71" s="24">
        <f t="shared" si="63"/>
        <v>2.3496402220491754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>
        <f>BY71*VLOOKUP('Données projet'!$B$12,Paramètres!$A$1:$I$89,3,0)*VLOOKUP('Données projet'!$B$12,Paramètres!$A$1:$I$89,5,0)</f>
        <v>0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152.56843845628913</v>
      </c>
      <c r="CE71" s="62">
        <f t="shared" si="94"/>
        <v>311.82523951987685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46.551612292110264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5.0732601927004671E-4</v>
      </c>
      <c r="CN71" s="24">
        <f t="shared" si="66"/>
        <v>46.552119618129531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39.503879999999995</v>
      </c>
      <c r="D72" s="12">
        <f t="shared" si="86"/>
        <v>11.867054883555944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396.54756752218623</v>
      </c>
      <c r="H72" s="70">
        <f t="shared" si="56"/>
        <v>382.80437825552656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15.5</v>
      </c>
      <c r="N72" s="14">
        <f>IF('Données projet'!$A$36&gt;35,N71+M72-V71,IF(A72&lt;'Données projet'!$A$36,$K$205^A72,IF(A72='Données projet'!$A$36,'Données projet'!$B$36,N71+M72-V71)))</f>
        <v>549.49999999999989</v>
      </c>
      <c r="O72" s="14">
        <f>N72*VLOOKUP('Données projet'!$B$9,Paramètres!$A$1:$I$89,3,0)*VLOOKUP('Données projet'!$B$9,Paramètres!$A$1:$I$89,5,0)</f>
        <v>257.16599999999994</v>
      </c>
      <c r="P72" s="14">
        <f t="shared" si="87"/>
        <v>62.117898891884423</v>
      </c>
      <c r="Q72" s="22">
        <f t="shared" si="54"/>
        <v>556.08612390336521</v>
      </c>
      <c r="R72" s="62">
        <f t="shared" si="55"/>
        <v>849.41945723669846</v>
      </c>
      <c r="S72" s="62">
        <f ca="1">AVERAGE(OFFSET($R$3,0,0,'Données projet'!$E$9+1,1))-AVERAGE(OFFSET($H$3,0,0,'Données projet'!$E$9+1,1))</f>
        <v>300.81172286376216</v>
      </c>
      <c r="T72" s="62">
        <f t="shared" si="88"/>
        <v>217.90654346456347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12.875</v>
      </c>
      <c r="AI72" s="14">
        <f>IF('Données projet'!$A$62&gt;35,AI71+AH72-AQ71,IF(A72&lt;'Données projet'!$A$62,$AF$205^A72,IF(A72='Données projet'!$A$62,'Données projet'!$B$62,AI71+AH72-AQ71)))</f>
        <v>456.62500000000006</v>
      </c>
      <c r="AJ72" s="14">
        <f>AI72*VLOOKUP('Données projet'!$B$10,Paramètres!$A$1:$I$89,3,0)*VLOOKUP('Données projet'!$B$10,Paramètres!$A$1:$I$89,5,0)</f>
        <v>273.06175000000007</v>
      </c>
      <c r="AK72" s="14">
        <f t="shared" si="89"/>
        <v>65.49862286970442</v>
      </c>
      <c r="AL72" s="22">
        <f t="shared" si="58"/>
        <v>589.65931608140193</v>
      </c>
      <c r="AM72" s="62">
        <f t="shared" si="59"/>
        <v>882.9926494147353</v>
      </c>
      <c r="AN72" s="62">
        <f ca="1">AVERAGE(OFFSET($AM$3,0,0,'Données projet'!$E$10+1,1))-AVERAGE(OFFSET($H$3,0,0,'Données projet'!$E$10+1,1))</f>
        <v>279.33945837918748</v>
      </c>
      <c r="AO72" s="62">
        <f t="shared" si="90"/>
        <v>215.78305328671854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6.1093613219683887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1.3822315181279165E-4</v>
      </c>
      <c r="AX72" s="23">
        <f t="shared" si="60"/>
        <v>6.1094995451202019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-2.2737367544323206E-13</v>
      </c>
      <c r="BE72" s="14">
        <f>BD72*VLOOKUP('Données projet'!$B$11,Paramètres!$A$1:$I$89,3,0)*VLOOKUP('Données projet'!$B$11,Paramètres!$A$1:$I$89,5,0)</f>
        <v>-1.2710188457276673E-13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376.38993452481719</v>
      </c>
      <c r="BJ72" s="62">
        <f t="shared" si="92"/>
        <v>470.10036612616727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2.3035567370553154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6.1114247083307375E-6</v>
      </c>
      <c r="BS72" s="24">
        <f t="shared" si="63"/>
        <v>2.3035628484800239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>
        <f>BY72*VLOOKUP('Données projet'!$B$12,Paramètres!$A$1:$I$89,3,0)*VLOOKUP('Données projet'!$B$12,Paramètres!$A$1:$I$89,5,0)</f>
        <v>0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152.56843845628913</v>
      </c>
      <c r="CE72" s="62">
        <f t="shared" si="94"/>
        <v>311.82523951987685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45.638763568741837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3.5873366849822712E-4</v>
      </c>
      <c r="CN72" s="24">
        <f t="shared" si="66"/>
        <v>45.639122302410335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40.076399999999992</v>
      </c>
      <c r="D73" s="12">
        <f t="shared" si="86"/>
        <v>12.01889448570034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402.13911532821317</v>
      </c>
      <c r="H73" s="70">
        <f t="shared" si="56"/>
        <v>384.06597122926138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565</v>
      </c>
      <c r="L73" s="13">
        <f>VLOOKUP(A73,'Données projet'!$A$35:$I$55,9,0)</f>
        <v>15.5</v>
      </c>
      <c r="M73" s="13">
        <f t="array" ref="M73">INDEX(L:L,MIN(IF(ISNUMBER(L73:L269),ROW(L73:L269),"")))</f>
        <v>15.5</v>
      </c>
      <c r="N73" s="14">
        <f>IF('Données projet'!$A$36&gt;35,N72+M73-V72,IF(A73&lt;'Données projet'!$A$36,$K$205^A73,IF(A73='Données projet'!$A$36,'Données projet'!$B$36,N72+M73-V72)))</f>
        <v>564.99999999999989</v>
      </c>
      <c r="O73" s="14">
        <f>N73*VLOOKUP('Données projet'!$B$9,Paramètres!$A$1:$I$89,3,0)*VLOOKUP('Données projet'!$B$9,Paramètres!$A$1:$I$89,5,0)</f>
        <v>264.41999999999996</v>
      </c>
      <c r="P73" s="14">
        <f t="shared" si="87"/>
        <v>63.663617006208391</v>
      </c>
      <c r="Q73" s="22">
        <f t="shared" si="54"/>
        <v>571.41229961914621</v>
      </c>
      <c r="R73" s="62">
        <f t="shared" si="55"/>
        <v>864.74563295247958</v>
      </c>
      <c r="S73" s="62">
        <f ca="1">AVERAGE(OFFSET($R$3,0,0,'Données projet'!$E$9+1,1))-AVERAGE(OFFSET($H$3,0,0,'Données projet'!$E$9+1,1))</f>
        <v>300.81172286376216</v>
      </c>
      <c r="T73" s="62">
        <f t="shared" si="88"/>
        <v>217.90654346456347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113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12.875</v>
      </c>
      <c r="AI73" s="14">
        <f>IF('Données projet'!$A$62&gt;35,AI72+AH73-AQ72,IF(A73&lt;'Données projet'!$A$62,$AF$205^A73,IF(A73='Données projet'!$A$62,'Données projet'!$B$62,AI72+AH73-AQ72)))</f>
        <v>469.50000000000006</v>
      </c>
      <c r="AJ73" s="14">
        <f>AI73*VLOOKUP('Données projet'!$B$10,Paramètres!$A$1:$I$89,3,0)*VLOOKUP('Données projet'!$B$10,Paramètres!$A$1:$I$89,5,0)</f>
        <v>280.76100000000002</v>
      </c>
      <c r="AK73" s="14">
        <f t="shared" si="89"/>
        <v>67.12780464438184</v>
      </c>
      <c r="AL73" s="22">
        <f t="shared" si="58"/>
        <v>605.90633475563175</v>
      </c>
      <c r="AM73" s="62">
        <f t="shared" si="59"/>
        <v>899.23966808896512</v>
      </c>
      <c r="AN73" s="62">
        <f ca="1">AVERAGE(OFFSET($AM$3,0,0,'Données projet'!$E$10+1,1))-AVERAGE(OFFSET($H$3,0,0,'Données projet'!$E$10+1,1))</f>
        <v>279.33945837918748</v>
      </c>
      <c r="AO73" s="62">
        <f t="shared" si="90"/>
        <v>215.78305328671854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5.9895604727870495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9.7738527963802605E-5</v>
      </c>
      <c r="AX73" s="23">
        <f t="shared" si="60"/>
        <v>5.989658211315013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-2.2737367544323206E-13</v>
      </c>
      <c r="BE73" s="14">
        <f>BD73*VLOOKUP('Données projet'!$B$11,Paramètres!$A$1:$I$89,3,0)*VLOOKUP('Données projet'!$B$11,Paramètres!$A$1:$I$89,5,0)</f>
        <v>-1.2710188457276673E-13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376.38993452481719</v>
      </c>
      <c r="BJ73" s="62">
        <f t="shared" si="92"/>
        <v>470.10036612616727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2.2583853944725352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4.3214298539716828E-6</v>
      </c>
      <c r="BS73" s="24">
        <f t="shared" si="63"/>
        <v>2.2583897159023891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>
        <f>BY73*VLOOKUP('Données projet'!$B$12,Paramètres!$A$1:$I$89,3,0)*VLOOKUP('Données projet'!$B$12,Paramètres!$A$1:$I$89,5,0)</f>
        <v>0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152.56843845628913</v>
      </c>
      <c r="CE73" s="62">
        <f t="shared" si="94"/>
        <v>311.82523951987685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44.743815252055924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2.5366300963502336E-4</v>
      </c>
      <c r="CN73" s="24">
        <f t="shared" si="66"/>
        <v>44.744068915065561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40.64891999999999</v>
      </c>
      <c r="D74" s="12">
        <f t="shared" si="86"/>
        <v>12.170481801013304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407.72871565694476</v>
      </c>
      <c r="H74" s="70">
        <f t="shared" si="56"/>
        <v>385.32712480343145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17</v>
      </c>
      <c r="N74" s="14">
        <f>IF('Données projet'!$A$36&gt;35,N73+M74-V73,IF(A74&lt;'Données projet'!$A$36,$K$205^A74,IF(A74='Données projet'!$A$36,'Données projet'!$B$36,N73+M74-V73)))</f>
        <v>468.99999999999989</v>
      </c>
      <c r="O74" s="14">
        <f>N74*VLOOKUP('Données projet'!$B$9,Paramètres!$A$1:$I$89,3,0)*VLOOKUP('Données projet'!$B$9,Paramètres!$A$1:$I$89,5,0)</f>
        <v>219.49199999999993</v>
      </c>
      <c r="P74" s="14">
        <f t="shared" si="87"/>
        <v>54.004459579686618</v>
      </c>
      <c r="Q74" s="22">
        <f t="shared" si="54"/>
        <v>476.33966710128726</v>
      </c>
      <c r="R74" s="62">
        <f t="shared" si="55"/>
        <v>769.67300043462058</v>
      </c>
      <c r="S74" s="62">
        <f ca="1">AVERAGE(OFFSET($R$3,0,0,'Données projet'!$E$9+1,1))-AVERAGE(OFFSET($H$3,0,0,'Données projet'!$E$9+1,1))</f>
        <v>300.81172286376216</v>
      </c>
      <c r="T74" s="62">
        <f t="shared" si="88"/>
        <v>217.90654346456347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12.875</v>
      </c>
      <c r="AI74" s="14">
        <f>IF('Données projet'!$A$62&gt;35,AI73+AH74-AQ73,IF(A74&lt;'Données projet'!$A$62,$AF$205^A74,IF(A74='Données projet'!$A$62,'Données projet'!$B$62,AI73+AH74-AQ73)))</f>
        <v>482.37500000000006</v>
      </c>
      <c r="AJ74" s="14">
        <f>AI74*VLOOKUP('Données projet'!$B$10,Paramètres!$A$1:$I$89,3,0)*VLOOKUP('Données projet'!$B$10,Paramètres!$A$1:$I$89,5,0)</f>
        <v>288.46025000000009</v>
      </c>
      <c r="AK74" s="14">
        <f t="shared" si="89"/>
        <v>68.75179365327233</v>
      </c>
      <c r="AL74" s="22">
        <f t="shared" si="58"/>
        <v>622.14430936278279</v>
      </c>
      <c r="AM74" s="62">
        <f t="shared" si="59"/>
        <v>915.47764269611616</v>
      </c>
      <c r="AN74" s="62">
        <f ca="1">AVERAGE(OFFSET($AM$3,0,0,'Données projet'!$E$10+1,1))-AVERAGE(OFFSET($H$3,0,0,'Données projet'!$E$10+1,1))</f>
        <v>279.33945837918748</v>
      </c>
      <c r="AO74" s="62">
        <f t="shared" si="90"/>
        <v>215.78305328671854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5.8721088451868537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6.9111575906395824E-5</v>
      </c>
      <c r="AX74" s="23">
        <f t="shared" si="60"/>
        <v>5.8721779567627603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-2.2737367544323206E-13</v>
      </c>
      <c r="BE74" s="14">
        <f>BD74*VLOOKUP('Données projet'!$B$11,Paramètres!$A$1:$I$89,3,0)*VLOOKUP('Données projet'!$B$11,Paramètres!$A$1:$I$89,5,0)</f>
        <v>-1.2710188457276673E-13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376.38993452481719</v>
      </c>
      <c r="BJ74" s="62">
        <f t="shared" si="92"/>
        <v>470.10036612616727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2.2140998343660048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3.0557123541653687E-6</v>
      </c>
      <c r="BS74" s="24">
        <f t="shared" si="63"/>
        <v>2.214102890078359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>
        <f>BY74*VLOOKUP('Données projet'!$B$12,Paramètres!$A$1:$I$89,3,0)*VLOOKUP('Données projet'!$B$12,Paramètres!$A$1:$I$89,5,0)</f>
        <v>0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152.56843845628913</v>
      </c>
      <c r="CE74" s="62">
        <f t="shared" si="94"/>
        <v>311.82523951987685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43.866416325995644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1.7936683424911356E-4</v>
      </c>
      <c r="CN74" s="24">
        <f t="shared" si="66"/>
        <v>43.86659569282989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41.221439999999987</v>
      </c>
      <c r="D75" s="12">
        <f t="shared" si="86"/>
        <v>12.321820793452531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413.31639910735277</v>
      </c>
      <c r="H75" s="70">
        <f t="shared" si="56"/>
        <v>386.58784588192975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17</v>
      </c>
      <c r="N75" s="14">
        <f>IF('Données projet'!$A$36&gt;35,N74+M75-V74,IF(A75&lt;'Données projet'!$A$36,$K$205^A75,IF(A75='Données projet'!$A$36,'Données projet'!$B$36,N74+M75-V74)))</f>
        <v>485.99999999999989</v>
      </c>
      <c r="O75" s="14">
        <f>N75*VLOOKUP('Données projet'!$B$9,Paramètres!$A$1:$I$89,3,0)*VLOOKUP('Données projet'!$B$9,Paramètres!$A$1:$I$89,5,0)</f>
        <v>227.44799999999995</v>
      </c>
      <c r="P75" s="14">
        <f t="shared" si="87"/>
        <v>55.730521649800686</v>
      </c>
      <c r="Q75" s="22">
        <f t="shared" si="54"/>
        <v>493.20259187340275</v>
      </c>
      <c r="R75" s="62">
        <f t="shared" si="55"/>
        <v>786.53592520673601</v>
      </c>
      <c r="S75" s="62">
        <f ca="1">AVERAGE(OFFSET($R$3,0,0,'Données projet'!$E$9+1,1))-AVERAGE(OFFSET($H$3,0,0,'Données projet'!$E$9+1,1))</f>
        <v>300.81172286376216</v>
      </c>
      <c r="T75" s="62">
        <f t="shared" si="88"/>
        <v>217.90654346456347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12.875</v>
      </c>
      <c r="AI75" s="14">
        <f>IF('Données projet'!$A$62&gt;35,AI74+AH75-AQ74,IF(A75&lt;'Données projet'!$A$62,$AF$205^A75,IF(A75='Données projet'!$A$62,'Données projet'!$B$62,AI74+AH75-AQ74)))</f>
        <v>495.25000000000006</v>
      </c>
      <c r="AJ75" s="14">
        <f>AI75*VLOOKUP('Données projet'!$B$10,Paramètres!$A$1:$I$89,3,0)*VLOOKUP('Données projet'!$B$10,Paramètres!$A$1:$I$89,5,0)</f>
        <v>296.15950000000004</v>
      </c>
      <c r="AK75" s="14">
        <f t="shared" si="89"/>
        <v>70.370744425720076</v>
      </c>
      <c r="AL75" s="22">
        <f t="shared" si="58"/>
        <v>638.37350904146251</v>
      </c>
      <c r="AM75" s="62">
        <f t="shared" si="59"/>
        <v>931.70684237479577</v>
      </c>
      <c r="AN75" s="62">
        <f ca="1">AVERAGE(OFFSET($AM$3,0,0,'Données projet'!$E$10+1,1))-AVERAGE(OFFSET($H$3,0,0,'Données projet'!$E$10+1,1))</f>
        <v>279.33945837918748</v>
      </c>
      <c r="AO75" s="62">
        <f t="shared" si="90"/>
        <v>215.78305328671854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5.7569603723654783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4.8869263981901303E-5</v>
      </c>
      <c r="AX75" s="23">
        <f t="shared" si="60"/>
        <v>5.7570092416294605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-2.2737367544323206E-13</v>
      </c>
      <c r="BE75" s="14">
        <f>BD75*VLOOKUP('Données projet'!$B$11,Paramètres!$A$1:$I$89,3,0)*VLOOKUP('Données projet'!$B$11,Paramètres!$A$1:$I$89,5,0)</f>
        <v>-1.2710188457276673E-13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376.38993452481719</v>
      </c>
      <c r="BJ75" s="62">
        <f t="shared" si="92"/>
        <v>470.10036612616727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2.1706826870816389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2.1607149269858414E-6</v>
      </c>
      <c r="BS75" s="24">
        <f t="shared" si="63"/>
        <v>2.1706848477965659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>
        <f>BY75*VLOOKUP('Données projet'!$B$12,Paramètres!$A$1:$I$89,3,0)*VLOOKUP('Données projet'!$B$12,Paramètres!$A$1:$I$89,5,0)</f>
        <v>0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152.56843845628913</v>
      </c>
      <c r="CE75" s="62">
        <f t="shared" si="94"/>
        <v>311.82523951987685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43.006222657714908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1.2683150481751168E-4</v>
      </c>
      <c r="CN75" s="24">
        <f t="shared" si="66"/>
        <v>43.006349489219723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41.793959999999984</v>
      </c>
      <c r="D76" s="12">
        <f t="shared" si="86"/>
        <v>12.472915310540367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418.90219537960974</v>
      </c>
      <c r="H76" s="70">
        <f t="shared" si="56"/>
        <v>387.84814116585773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17</v>
      </c>
      <c r="N76" s="14">
        <f>IF('Données projet'!$A$36&gt;35,N75+M76-V75,IF(A76&lt;'Données projet'!$A$36,$K$205^A76,IF(A76='Données projet'!$A$36,'Données projet'!$B$36,N75+M76-V75)))</f>
        <v>502.99999999999989</v>
      </c>
      <c r="O76" s="14">
        <f>N76*VLOOKUP('Données projet'!$B$9,Paramètres!$A$1:$I$89,3,0)*VLOOKUP('Données projet'!$B$9,Paramètres!$A$1:$I$89,5,0)</f>
        <v>235.40399999999994</v>
      </c>
      <c r="P76" s="14">
        <f t="shared" si="87"/>
        <v>57.449568653781753</v>
      </c>
      <c r="Q76" s="22">
        <f t="shared" si="54"/>
        <v>510.05329873866975</v>
      </c>
      <c r="R76" s="62">
        <f t="shared" si="55"/>
        <v>803.38663207200307</v>
      </c>
      <c r="S76" s="62">
        <f ca="1">AVERAGE(OFFSET($R$3,0,0,'Données projet'!$E$9+1,1))-AVERAGE(OFFSET($H$3,0,0,'Données projet'!$E$9+1,1))</f>
        <v>300.81172286376216</v>
      </c>
      <c r="T76" s="62">
        <f t="shared" si="88"/>
        <v>217.90654346456347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12.875</v>
      </c>
      <c r="AI76" s="14">
        <f>IF('Données projet'!$A$62&gt;35,AI75+AH76-AQ75,IF(A76&lt;'Données projet'!$A$62,$AF$205^A76,IF(A76='Données projet'!$A$62,'Données projet'!$B$62,AI75+AH76-AQ75)))</f>
        <v>508.12500000000006</v>
      </c>
      <c r="AJ76" s="14">
        <f>AI76*VLOOKUP('Données projet'!$B$10,Paramètres!$A$1:$I$89,3,0)*VLOOKUP('Données projet'!$B$10,Paramètres!$A$1:$I$89,5,0)</f>
        <v>303.85875000000004</v>
      </c>
      <c r="AK76" s="14">
        <f t="shared" si="89"/>
        <v>71.984802998830631</v>
      </c>
      <c r="AL76" s="22">
        <f t="shared" si="58"/>
        <v>654.59418813963009</v>
      </c>
      <c r="AM76" s="62">
        <f t="shared" si="59"/>
        <v>947.92752147296346</v>
      </c>
      <c r="AN76" s="62">
        <f ca="1">AVERAGE(OFFSET($AM$3,0,0,'Données projet'!$E$10+1,1))-AVERAGE(OFFSET($H$3,0,0,'Données projet'!$E$10+1,1))</f>
        <v>279.33945837918748</v>
      </c>
      <c r="AO76" s="62">
        <f t="shared" si="90"/>
        <v>215.78305328671854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5.6440698908624967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3.4555787953197912E-5</v>
      </c>
      <c r="AX76" s="23">
        <f t="shared" si="60"/>
        <v>5.6441044466504495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-2.2737367544323206E-13</v>
      </c>
      <c r="BE76" s="14">
        <f>BD76*VLOOKUP('Données projet'!$B$11,Paramètres!$A$1:$I$89,3,0)*VLOOKUP('Données projet'!$B$11,Paramètres!$A$1:$I$89,5,0)</f>
        <v>-1.2710188457276673E-13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376.38993452481719</v>
      </c>
      <c r="BJ76" s="62">
        <f t="shared" si="92"/>
        <v>470.10036612616727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2.1281169235736743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1.5278561770826844E-6</v>
      </c>
      <c r="BS76" s="24">
        <f t="shared" si="63"/>
        <v>2.1281184514298515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>
        <f>BY76*VLOOKUP('Données projet'!$B$12,Paramètres!$A$1:$I$89,3,0)*VLOOKUP('Données projet'!$B$12,Paramètres!$A$1:$I$89,5,0)</f>
        <v>0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152.56843845628913</v>
      </c>
      <c r="CE76" s="62">
        <f t="shared" si="94"/>
        <v>311.82523951987685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42.162896862602821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8.968341712455678E-5</v>
      </c>
      <c r="CN76" s="24">
        <f t="shared" si="66"/>
        <v>42.162986546019944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42.366479999999981</v>
      </c>
      <c r="D77" s="12">
        <f t="shared" si="86"/>
        <v>12.623769088331139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424.48613331343319</v>
      </c>
      <c r="H77" s="70">
        <f t="shared" si="56"/>
        <v>389.10801716217668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17</v>
      </c>
      <c r="N77" s="14">
        <f>IF('Données projet'!$A$36&gt;35,N76+M77-V76,IF(A77&lt;'Données projet'!$A$36,$K$205^A77,IF(A77='Données projet'!$A$36,'Données projet'!$B$36,N76+M77-V76)))</f>
        <v>519.99999999999989</v>
      </c>
      <c r="O77" s="14">
        <f>N77*VLOOKUP('Données projet'!$B$9,Paramètres!$A$1:$I$89,3,0)*VLOOKUP('Données projet'!$B$9,Paramètres!$A$1:$I$89,5,0)</f>
        <v>243.35999999999996</v>
      </c>
      <c r="P77" s="14">
        <f t="shared" si="87"/>
        <v>59.161864860837127</v>
      </c>
      <c r="Q77" s="22">
        <f t="shared" si="54"/>
        <v>526.89224796595784</v>
      </c>
      <c r="R77" s="62">
        <f t="shared" si="55"/>
        <v>820.22558129929121</v>
      </c>
      <c r="S77" s="62">
        <f ca="1">AVERAGE(OFFSET($R$3,0,0,'Données projet'!$E$9+1,1))-AVERAGE(OFFSET($H$3,0,0,'Données projet'!$E$9+1,1))</f>
        <v>300.81172286376216</v>
      </c>
      <c r="T77" s="62">
        <f t="shared" si="88"/>
        <v>217.90654346456347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>
        <f>VLOOKUP(A77,'Données projet'!$A$61:$I$81,2,0)</f>
        <v>521</v>
      </c>
      <c r="AG77" s="13">
        <f>VLOOKUP(A77,'Données projet'!$A$61:$I$81,9,0)</f>
        <v>12.875</v>
      </c>
      <c r="AH77" s="13">
        <f t="array" ref="AH77">INDEX(AG:AG,MIN(IF(ISNUMBER(AG77:AG273),ROW(AG77:AG273),"")))</f>
        <v>12.875</v>
      </c>
      <c r="AI77" s="14">
        <f>IF('Données projet'!$A$62&gt;35,AI76+AH77-AQ76,IF(A77&lt;'Données projet'!$A$62,$AF$205^A77,IF(A77='Données projet'!$A$62,'Données projet'!$B$62,AI76+AH77-AQ76)))</f>
        <v>521</v>
      </c>
      <c r="AJ77" s="14">
        <f>AI77*VLOOKUP('Données projet'!$B$10,Paramètres!$A$1:$I$89,3,0)*VLOOKUP('Données projet'!$B$10,Paramètres!$A$1:$I$89,5,0)</f>
        <v>311.55799999999999</v>
      </c>
      <c r="AK77" s="14">
        <f t="shared" si="89"/>
        <v>73.594107587354372</v>
      </c>
      <c r="AL77" s="22">
        <f t="shared" si="58"/>
        <v>670.80658738130876</v>
      </c>
      <c r="AM77" s="62">
        <f t="shared" si="59"/>
        <v>964.13992071464213</v>
      </c>
      <c r="AN77" s="62">
        <f ca="1">AVERAGE(OFFSET($AM$3,0,0,'Données projet'!$E$10+1,1))-AVERAGE(OFFSET($H$3,0,0,'Données projet'!$E$10+1,1))</f>
        <v>279.33945837918748</v>
      </c>
      <c r="AO77" s="62">
        <f t="shared" si="90"/>
        <v>215.78305328671854</v>
      </c>
      <c r="AP77" s="16">
        <f>IF(ISNA(VLOOKUP(A77,'Données projet'!$A$61:$I$81,3,0)),0,VLOOKUP(A77,'Données projet'!$A$61:$I$81,3,0))</f>
        <v>10</v>
      </c>
      <c r="AQ77" s="16">
        <f>IF(ISNA(VLOOKUP(A77,'Données projet'!$A$61:$I$81,4,0)),0,VLOOKUP(A77,'Données projet'!$A$61:$I$81,4,0))</f>
        <v>37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5.5333931228453936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2.4434631990950651E-5</v>
      </c>
      <c r="AX77" s="23">
        <f t="shared" si="60"/>
        <v>5.5334175574773843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-2.2737367544323206E-13</v>
      </c>
      <c r="BE77" s="14">
        <f>BD77*VLOOKUP('Données projet'!$B$11,Paramètres!$A$1:$I$89,3,0)*VLOOKUP('Données projet'!$B$11,Paramètres!$A$1:$I$89,5,0)</f>
        <v>-1.2710188457276673E-13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376.38993452481719</v>
      </c>
      <c r="BJ77" s="62">
        <f t="shared" si="92"/>
        <v>470.10036612616727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2.0863858487255489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1.0803574634929207E-6</v>
      </c>
      <c r="BS77" s="24">
        <f t="shared" si="63"/>
        <v>2.0863869290830124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>
        <f>BY77*VLOOKUP('Données projet'!$B$12,Paramètres!$A$1:$I$89,3,0)*VLOOKUP('Données projet'!$B$12,Paramètres!$A$1:$I$89,5,0)</f>
        <v>0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152.56843845628913</v>
      </c>
      <c r="CE77" s="62">
        <f t="shared" si="94"/>
        <v>311.82523951987685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41.33610817195494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6.3415752408755839E-5</v>
      </c>
      <c r="CN77" s="24">
        <f t="shared" si="66"/>
        <v>41.336171587707348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42.938999999999979</v>
      </c>
      <c r="D78" s="12">
        <f t="shared" si="86"/>
        <v>12.774385756102291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430.06824092429821</v>
      </c>
      <c r="H78" s="70">
        <f t="shared" si="56"/>
        <v>390.36748019187809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17</v>
      </c>
      <c r="N78" s="14">
        <f>IF('Données projet'!$A$36&gt;35,N77+M78-V77,IF(A78&lt;'Données projet'!$A$36,$K$205^A78,IF(A78='Données projet'!$A$36,'Données projet'!$B$36,N77+M78-V77)))</f>
        <v>536.99999999999989</v>
      </c>
      <c r="O78" s="14">
        <f>N78*VLOOKUP('Données projet'!$B$9,Paramètres!$A$1:$I$89,3,0)*VLOOKUP('Données projet'!$B$9,Paramètres!$A$1:$I$89,5,0)</f>
        <v>251.31599999999997</v>
      </c>
      <c r="P78" s="14">
        <f t="shared" si="87"/>
        <v>60.86765628024984</v>
      </c>
      <c r="Q78" s="22">
        <f t="shared" si="54"/>
        <v>543.71986802143499</v>
      </c>
      <c r="R78" s="62">
        <f t="shared" si="55"/>
        <v>837.05320135476836</v>
      </c>
      <c r="S78" s="62">
        <f ca="1">AVERAGE(OFFSET($R$3,0,0,'Données projet'!$E$9+1,1))-AVERAGE(OFFSET($H$3,0,0,'Données projet'!$E$9+1,1))</f>
        <v>300.81172286376216</v>
      </c>
      <c r="T78" s="62">
        <f t="shared" si="88"/>
        <v>217.90654346456347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8.875</v>
      </c>
      <c r="AI78" s="14">
        <f>IF('Données projet'!$A$62&gt;35,AI77+AH78-AQ77,IF(A78&lt;'Données projet'!$A$62,$AF$205^A78,IF(A78='Données projet'!$A$62,'Données projet'!$B$62,AI77+AH78-AQ77)))</f>
        <v>492.875</v>
      </c>
      <c r="AJ78" s="14">
        <f>AI78*VLOOKUP('Données projet'!$B$10,Paramètres!$A$1:$I$89,3,0)*VLOOKUP('Données projet'!$B$10,Paramètres!$A$1:$I$89,5,0)</f>
        <v>294.73925000000003</v>
      </c>
      <c r="AK78" s="14">
        <f t="shared" si="89"/>
        <v>70.072475236035828</v>
      </c>
      <c r="AL78" s="22">
        <f t="shared" si="58"/>
        <v>635.38042145276233</v>
      </c>
      <c r="AM78" s="62">
        <f t="shared" si="59"/>
        <v>928.71375478609571</v>
      </c>
      <c r="AN78" s="62">
        <f ca="1">AVERAGE(OFFSET($AM$3,0,0,'Données projet'!$E$10+1,1))-AVERAGE(OFFSET($H$3,0,0,'Données projet'!$E$10+1,1))</f>
        <v>279.33945837918748</v>
      </c>
      <c r="AO78" s="62">
        <f t="shared" si="90"/>
        <v>215.78305328671854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5.4248866587429436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1.7277893976598956E-5</v>
      </c>
      <c r="AX78" s="23">
        <f t="shared" si="60"/>
        <v>5.4249039366369205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-2.2737367544323206E-13</v>
      </c>
      <c r="BE78" s="14">
        <f>BD78*VLOOKUP('Données projet'!$B$11,Paramètres!$A$1:$I$89,3,0)*VLOOKUP('Données projet'!$B$11,Paramètres!$A$1:$I$89,5,0)</f>
        <v>-1.2710188457276673E-13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376.38993452481719</v>
      </c>
      <c r="BJ78" s="62">
        <f t="shared" si="92"/>
        <v>470.10036612616727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2.045473094801753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7.6392808854134218E-7</v>
      </c>
      <c r="BS78" s="24">
        <f t="shared" si="63"/>
        <v>2.0454738587298413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>
        <f>BY78*VLOOKUP('Données projet'!$B$12,Paramètres!$A$1:$I$89,3,0)*VLOOKUP('Données projet'!$B$12,Paramètres!$A$1:$I$89,5,0)</f>
        <v>0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152.56843845628913</v>
      </c>
      <c r="CE78" s="62">
        <f t="shared" si="94"/>
        <v>311.82523951987685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40.525532303239359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4.484170856227839E-5</v>
      </c>
      <c r="CN78" s="24">
        <f t="shared" si="66"/>
        <v>40.525577144947924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43.511519999999976</v>
      </c>
      <c r="D79" s="12">
        <f t="shared" si="86"/>
        <v>12.924768840788325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435.6485454376641</v>
      </c>
      <c r="H79" s="70">
        <f t="shared" si="56"/>
        <v>391.62653639770627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17</v>
      </c>
      <c r="N79" s="14">
        <f>IF('Données projet'!$A$36&gt;35,N78+M79-V78,IF(A79&lt;'Données projet'!$A$36,$K$205^A79,IF(A79='Données projet'!$A$36,'Données projet'!$B$36,N78+M79-V78)))</f>
        <v>553.99999999999989</v>
      </c>
      <c r="O79" s="14">
        <f>N79*VLOOKUP('Données projet'!$B$9,Paramètres!$A$1:$I$89,3,0)*VLOOKUP('Données projet'!$B$9,Paramètres!$A$1:$I$89,5,0)</f>
        <v>259.27199999999993</v>
      </c>
      <c r="P79" s="14">
        <f t="shared" si="87"/>
        <v>62.567172460757938</v>
      </c>
      <c r="Q79" s="22">
        <f t="shared" si="54"/>
        <v>560.53655870248667</v>
      </c>
      <c r="R79" s="62">
        <f t="shared" si="55"/>
        <v>853.86989203581993</v>
      </c>
      <c r="S79" s="62">
        <f ca="1">AVERAGE(OFFSET($R$3,0,0,'Données projet'!$E$9+1,1))-AVERAGE(OFFSET($H$3,0,0,'Données projet'!$E$9+1,1))</f>
        <v>300.81172286376216</v>
      </c>
      <c r="T79" s="62">
        <f t="shared" si="88"/>
        <v>217.90654346456347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8.875</v>
      </c>
      <c r="AI79" s="14">
        <f>IF('Données projet'!$A$62&gt;35,AI78+AH79-AQ78,IF(A79&lt;'Données projet'!$A$62,$AF$205^A79,IF(A79='Données projet'!$A$62,'Données projet'!$B$62,AI78+AH79-AQ78)))</f>
        <v>501.75</v>
      </c>
      <c r="AJ79" s="14">
        <f>AI79*VLOOKUP('Données projet'!$B$10,Paramètres!$A$1:$I$89,3,0)*VLOOKUP('Données projet'!$B$10,Paramètres!$A$1:$I$89,5,0)</f>
        <v>300.04650000000004</v>
      </c>
      <c r="AK79" s="14">
        <f t="shared" si="89"/>
        <v>71.186211573839699</v>
      </c>
      <c r="AL79" s="22">
        <f t="shared" si="58"/>
        <v>646.56363932443753</v>
      </c>
      <c r="AM79" s="62">
        <f t="shared" si="59"/>
        <v>939.8969726577709</v>
      </c>
      <c r="AN79" s="62">
        <f ca="1">AVERAGE(OFFSET($AM$3,0,0,'Données projet'!$E$10+1,1))-AVERAGE(OFFSET($H$3,0,0,'Données projet'!$E$10+1,1))</f>
        <v>279.33945837918748</v>
      </c>
      <c r="AO79" s="62">
        <f t="shared" si="90"/>
        <v>215.78305328671854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5.318507940219134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1.2217315995475326E-5</v>
      </c>
      <c r="AX79" s="23">
        <f t="shared" si="60"/>
        <v>5.3185201575351293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-2.2737367544323206E-13</v>
      </c>
      <c r="BE79" s="14">
        <f>BD79*VLOOKUP('Données projet'!$B$11,Paramètres!$A$1:$I$89,3,0)*VLOOKUP('Données projet'!$B$11,Paramètres!$A$1:$I$89,5,0)</f>
        <v>-1.2710188457276673E-13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376.38993452481719</v>
      </c>
      <c r="BJ79" s="62">
        <f t="shared" si="92"/>
        <v>470.10036612616727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2.0053626150280865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5.4017873174646034E-7</v>
      </c>
      <c r="BS79" s="24">
        <f t="shared" si="63"/>
        <v>2.0053631552068185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>
        <f>BY79*VLOOKUP('Données projet'!$B$12,Paramètres!$A$1:$I$89,3,0)*VLOOKUP('Données projet'!$B$12,Paramètres!$A$1:$I$89,5,0)</f>
        <v>0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152.56843845628913</v>
      </c>
      <c r="CE79" s="62">
        <f t="shared" si="94"/>
        <v>311.82523951987685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39.73085133290683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3.170787620437792E-5</v>
      </c>
      <c r="CN79" s="24">
        <f t="shared" si="66"/>
        <v>39.730883040783034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44.084039999999973</v>
      </c>
      <c r="D80" s="12">
        <f t="shared" si="86"/>
        <v>13.074921771174637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441.22707332134786</v>
      </c>
      <c r="H80" s="70">
        <f t="shared" si="56"/>
        <v>392.8851917514624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17</v>
      </c>
      <c r="N80" s="14">
        <f>IF('Données projet'!$A$36&gt;35,N79+M80-V79,IF(A80&lt;'Données projet'!$A$36,$K$205^A80,IF(A80='Données projet'!$A$36,'Données projet'!$B$36,N79+M80-V79)))</f>
        <v>570.99999999999989</v>
      </c>
      <c r="O80" s="14">
        <f>N80*VLOOKUP('Données projet'!$B$9,Paramètres!$A$1:$I$89,3,0)*VLOOKUP('Données projet'!$B$9,Paramètres!$A$1:$I$89,5,0)</f>
        <v>267.22799999999995</v>
      </c>
      <c r="P80" s="14">
        <f t="shared" si="87"/>
        <v>64.260628062866161</v>
      </c>
      <c r="Q80" s="22">
        <f t="shared" si="54"/>
        <v>577.34269387615848</v>
      </c>
      <c r="R80" s="62">
        <f t="shared" si="55"/>
        <v>870.67602720949185</v>
      </c>
      <c r="S80" s="62">
        <f ca="1">AVERAGE(OFFSET($R$3,0,0,'Données projet'!$E$9+1,1))-AVERAGE(OFFSET($H$3,0,0,'Données projet'!$E$9+1,1))</f>
        <v>300.81172286376216</v>
      </c>
      <c r="T80" s="62">
        <f t="shared" si="88"/>
        <v>217.90654346456347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8.875</v>
      </c>
      <c r="AI80" s="14">
        <f>IF('Données projet'!$A$62&gt;35,AI79+AH80-AQ79,IF(A80&lt;'Données projet'!$A$62,$AF$205^A80,IF(A80='Données projet'!$A$62,'Données projet'!$B$62,AI79+AH80-AQ79)))</f>
        <v>510.625</v>
      </c>
      <c r="AJ80" s="14">
        <f>AI80*VLOOKUP('Données projet'!$B$10,Paramètres!$A$1:$I$89,3,0)*VLOOKUP('Données projet'!$B$10,Paramètres!$A$1:$I$89,5,0)</f>
        <v>305.35375000000005</v>
      </c>
      <c r="AK80" s="14">
        <f t="shared" si="89"/>
        <v>72.297657079406008</v>
      </c>
      <c r="AL80" s="22">
        <f t="shared" si="58"/>
        <v>657.74286732996552</v>
      </c>
      <c r="AM80" s="62">
        <f t="shared" si="59"/>
        <v>951.07620066329878</v>
      </c>
      <c r="AN80" s="62">
        <f ca="1">AVERAGE(OFFSET($AM$3,0,0,'Données projet'!$E$10+1,1))-AVERAGE(OFFSET($H$3,0,0,'Données projet'!$E$10+1,1))</f>
        <v>279.33945837918748</v>
      </c>
      <c r="AO80" s="62">
        <f t="shared" si="90"/>
        <v>215.78305328671854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5.2142152434809645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8.638946988299478E-6</v>
      </c>
      <c r="AX80" s="23">
        <f t="shared" si="60"/>
        <v>5.2142238824279525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-2.2737367544323206E-13</v>
      </c>
      <c r="BE80" s="14">
        <f>BD80*VLOOKUP('Données projet'!$B$11,Paramètres!$A$1:$I$89,3,0)*VLOOKUP('Données projet'!$B$11,Paramètres!$A$1:$I$89,5,0)</f>
        <v>-1.2710188457276673E-13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376.38993452481719</v>
      </c>
      <c r="BJ80" s="62">
        <f t="shared" si="92"/>
        <v>470.10036612616727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1.9660386772978049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3.8196404427067109E-7</v>
      </c>
      <c r="BS80" s="24">
        <f t="shared" si="63"/>
        <v>1.9660390592618491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>
        <f>BY80*VLOOKUP('Données projet'!$B$12,Paramètres!$A$1:$I$89,3,0)*VLOOKUP('Données projet'!$B$12,Paramètres!$A$1:$I$89,5,0)</f>
        <v>0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152.56843845628913</v>
      </c>
      <c r="CE80" s="62">
        <f t="shared" si="94"/>
        <v>311.82523951987685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38.951753571694987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2.2420854281139195E-5</v>
      </c>
      <c r="CN80" s="24">
        <f t="shared" si="66"/>
        <v>38.951775992549265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44.656559999999971</v>
      </c>
      <c r="D81" s="12">
        <f t="shared" si="86"/>
        <v>13.224847881867289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446.80385031616839</v>
      </c>
      <c r="H81" s="70">
        <f t="shared" si="56"/>
        <v>394.14345206091878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17</v>
      </c>
      <c r="N81" s="14">
        <f>IF('Données projet'!$A$36&gt;35,N80+M81-V80,IF(A81&lt;'Données projet'!$A$36,$K$205^A81,IF(A81='Données projet'!$A$36,'Données projet'!$B$36,N80+M81-V80)))</f>
        <v>587.99999999999989</v>
      </c>
      <c r="O81" s="14">
        <f>N81*VLOOKUP('Données projet'!$B$9,Paramètres!$A$1:$I$89,3,0)*VLOOKUP('Données projet'!$B$9,Paramètres!$A$1:$I$89,5,0)</f>
        <v>275.18399999999997</v>
      </c>
      <c r="P81" s="14">
        <f t="shared" si="87"/>
        <v>65.948224238651079</v>
      </c>
      <c r="Q81" s="22">
        <f t="shared" si="54"/>
        <v>594.13862388231712</v>
      </c>
      <c r="R81" s="62">
        <f t="shared" si="55"/>
        <v>887.47195721565049</v>
      </c>
      <c r="S81" s="62">
        <f ca="1">AVERAGE(OFFSET($R$3,0,0,'Données projet'!$E$9+1,1))-AVERAGE(OFFSET($H$3,0,0,'Données projet'!$E$9+1,1))</f>
        <v>300.81172286376216</v>
      </c>
      <c r="T81" s="62">
        <f t="shared" si="88"/>
        <v>217.90654346456347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8.875</v>
      </c>
      <c r="AI81" s="14">
        <f>IF('Données projet'!$A$62&gt;35,AI80+AH81-AQ80,IF(A81&lt;'Données projet'!$A$62,$AF$205^A81,IF(A81='Données projet'!$A$62,'Données projet'!$B$62,AI80+AH81-AQ80)))</f>
        <v>519.5</v>
      </c>
      <c r="AJ81" s="14">
        <f>AI81*VLOOKUP('Données projet'!$B$10,Paramètres!$A$1:$I$89,3,0)*VLOOKUP('Données projet'!$B$10,Paramètres!$A$1:$I$89,5,0)</f>
        <v>310.661</v>
      </c>
      <c r="AK81" s="14">
        <f t="shared" si="89"/>
        <v>73.406856163089444</v>
      </c>
      <c r="AL81" s="22">
        <f t="shared" si="58"/>
        <v>668.91818281738085</v>
      </c>
      <c r="AM81" s="62">
        <f t="shared" si="59"/>
        <v>962.25151615071422</v>
      </c>
      <c r="AN81" s="62">
        <f ca="1">AVERAGE(OFFSET($AM$3,0,0,'Données projet'!$E$10+1,1))-AVERAGE(OFFSET($H$3,0,0,'Données projet'!$E$10+1,1))</f>
        <v>279.33945837918748</v>
      </c>
      <c r="AO81" s="62">
        <f t="shared" si="90"/>
        <v>215.78305328671854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5.1119676629135675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6.1086579977376628E-6</v>
      </c>
      <c r="AX81" s="23">
        <f t="shared" si="60"/>
        <v>5.1119737715715656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-2.2737367544323206E-13</v>
      </c>
      <c r="BE81" s="14">
        <f>BD81*VLOOKUP('Données projet'!$B$11,Paramètres!$A$1:$I$89,3,0)*VLOOKUP('Données projet'!$B$11,Paramètres!$A$1:$I$89,5,0)</f>
        <v>-1.2710188457276673E-13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376.38993452481719</v>
      </c>
      <c r="BJ81" s="62">
        <f t="shared" si="92"/>
        <v>470.10036612616727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1.9274858580011804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2.7008936587323017E-7</v>
      </c>
      <c r="BS81" s="24">
        <f t="shared" si="63"/>
        <v>1.9274861280905464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>
        <f>BY81*VLOOKUP('Données projet'!$B$12,Paramètres!$A$1:$I$89,3,0)*VLOOKUP('Données projet'!$B$12,Paramètres!$A$1:$I$89,5,0)</f>
        <v>0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152.56843845628913</v>
      </c>
      <c r="CE81" s="62">
        <f t="shared" si="94"/>
        <v>311.82523951987685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38.187933442377798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1.585393810218896E-5</v>
      </c>
      <c r="CN81" s="24">
        <f t="shared" si="66"/>
        <v>38.1879492963159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45.229079999999968</v>
      </c>
      <c r="D82" s="12">
        <f t="shared" si="86"/>
        <v>13.3745504170535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452.37890146497421</v>
      </c>
      <c r="H82" s="70">
        <f t="shared" si="56"/>
        <v>395.40132297636808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17</v>
      </c>
      <c r="N82" s="14">
        <f>IF('Données projet'!$A$36&gt;35,N81+M82-V81,IF(A82&lt;'Données projet'!$A$36,$K$205^A82,IF(A82='Données projet'!$A$36,'Données projet'!$B$36,N81+M82-V81)))</f>
        <v>604.99999999999989</v>
      </c>
      <c r="O82" s="14">
        <f>N82*VLOOKUP('Données projet'!$B$9,Paramètres!$A$1:$I$89,3,0)*VLOOKUP('Données projet'!$B$9,Paramètres!$A$1:$I$89,5,0)</f>
        <v>283.13999999999993</v>
      </c>
      <c r="P82" s="14">
        <f t="shared" si="87"/>
        <v>67.630149847511944</v>
      </c>
      <c r="Q82" s="22">
        <f t="shared" si="54"/>
        <v>610.92467765108313</v>
      </c>
      <c r="R82" s="62">
        <f t="shared" si="55"/>
        <v>904.25801098441639</v>
      </c>
      <c r="S82" s="62">
        <f ca="1">AVERAGE(OFFSET($R$3,0,0,'Données projet'!$E$9+1,1))-AVERAGE(OFFSET($H$3,0,0,'Données projet'!$E$9+1,1))</f>
        <v>300.81172286376216</v>
      </c>
      <c r="T82" s="62">
        <f t="shared" si="88"/>
        <v>217.90654346456347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8.875</v>
      </c>
      <c r="AI82" s="14">
        <f>IF('Données projet'!$A$62&gt;35,AI81+AH82-AQ81,IF(A82&lt;'Données projet'!$A$62,$AF$205^A82,IF(A82='Données projet'!$A$62,'Données projet'!$B$62,AI81+AH82-AQ81)))</f>
        <v>528.375</v>
      </c>
      <c r="AJ82" s="14">
        <f>AI82*VLOOKUP('Données projet'!$B$10,Paramètres!$A$1:$I$89,3,0)*VLOOKUP('Données projet'!$B$10,Paramètres!$A$1:$I$89,5,0)</f>
        <v>315.96825000000001</v>
      </c>
      <c r="AK82" s="14">
        <f t="shared" si="89"/>
        <v>74.513851630905478</v>
      </c>
      <c r="AL82" s="22">
        <f t="shared" si="58"/>
        <v>680.08966034049365</v>
      </c>
      <c r="AM82" s="62">
        <f t="shared" si="59"/>
        <v>973.42299367382702</v>
      </c>
      <c r="AN82" s="62">
        <f ca="1">AVERAGE(OFFSET($AM$3,0,0,'Données projet'!$E$10+1,1))-AVERAGE(OFFSET($H$3,0,0,'Données projet'!$E$10+1,1))</f>
        <v>279.33945837918748</v>
      </c>
      <c r="AO82" s="62">
        <f t="shared" si="90"/>
        <v>215.78305328671854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5.0117250950362306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4.319473494149739E-6</v>
      </c>
      <c r="AX82" s="23">
        <f t="shared" si="60"/>
        <v>5.0117294145097251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-2.2737367544323206E-13</v>
      </c>
      <c r="BE82" s="14">
        <f>BD82*VLOOKUP('Données projet'!$B$11,Paramètres!$A$1:$I$89,3,0)*VLOOKUP('Données projet'!$B$11,Paramètres!$A$1:$I$89,5,0)</f>
        <v>-1.2710188457276673E-13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376.38993452481719</v>
      </c>
      <c r="BJ82" s="62">
        <f t="shared" si="92"/>
        <v>470.10036612616727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1.8896890359760647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1.9098202213533555E-7</v>
      </c>
      <c r="BS82" s="24">
        <f t="shared" si="63"/>
        <v>1.8896892269580869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>
        <f>BY82*VLOOKUP('Données projet'!$B$12,Paramètres!$A$1:$I$89,3,0)*VLOOKUP('Données projet'!$B$12,Paramètres!$A$1:$I$89,5,0)</f>
        <v>0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152.56843845628913</v>
      </c>
      <c r="CE82" s="62">
        <f t="shared" si="94"/>
        <v>311.82523951987685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37.43909135991224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1.1210427140569598E-5</v>
      </c>
      <c r="CN82" s="24">
        <f t="shared" si="66"/>
        <v>37.439102570339379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45.801599999999965</v>
      </c>
      <c r="D83" s="12">
        <f t="shared" si="86"/>
        <v>13.524032534066192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457.95225114015983</v>
      </c>
      <c r="H83" s="70">
        <f t="shared" si="56"/>
        <v>396.65880999683185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622</v>
      </c>
      <c r="L83" s="13">
        <f>VLOOKUP(A83,'Données projet'!$A$35:$I$55,9,0)</f>
        <v>17</v>
      </c>
      <c r="M83" s="13">
        <f t="array" ref="M83">INDEX(L:L,MIN(IF(ISNUMBER(L83:L279),ROW(L83:L279),"")))</f>
        <v>17</v>
      </c>
      <c r="N83" s="14">
        <f>IF('Données projet'!$A$36&gt;35,N82+M83-V82,IF(A83&lt;'Données projet'!$A$36,$K$205^A83,IF(A83='Données projet'!$A$36,'Données projet'!$B$36,N82+M83-V82)))</f>
        <v>621.99999999999989</v>
      </c>
      <c r="O83" s="14">
        <f>N83*VLOOKUP('Données projet'!$B$9,Paramètres!$A$1:$I$89,3,0)*VLOOKUP('Données projet'!$B$9,Paramètres!$A$1:$I$89,5,0)</f>
        <v>291.09599999999995</v>
      </c>
      <c r="P83" s="14">
        <f t="shared" si="87"/>
        <v>69.306582531434373</v>
      </c>
      <c r="Q83" s="22">
        <f t="shared" si="54"/>
        <v>627.7011645755814</v>
      </c>
      <c r="R83" s="62">
        <f t="shared" si="55"/>
        <v>921.03449790891477</v>
      </c>
      <c r="S83" s="62">
        <f ca="1">AVERAGE(OFFSET($R$3,0,0,'Données projet'!$E$9+1,1))-AVERAGE(OFFSET($H$3,0,0,'Données projet'!$E$9+1,1))</f>
        <v>300.81172286376216</v>
      </c>
      <c r="T83" s="62">
        <f t="shared" si="88"/>
        <v>217.90654346456347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124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8.875</v>
      </c>
      <c r="AI83" s="14">
        <f>IF('Données projet'!$A$62&gt;35,AI82+AH83-AQ82,IF(A83&lt;'Données projet'!$A$62,$AF$205^A83,IF(A83='Données projet'!$A$62,'Données projet'!$B$62,AI82+AH83-AQ82)))</f>
        <v>537.25</v>
      </c>
      <c r="AJ83" s="14">
        <f>AI83*VLOOKUP('Données projet'!$B$10,Paramètres!$A$1:$I$89,3,0)*VLOOKUP('Données projet'!$B$10,Paramètres!$A$1:$I$89,5,0)</f>
        <v>321.27550000000002</v>
      </c>
      <c r="AK83" s="14">
        <f t="shared" si="89"/>
        <v>75.618684768443416</v>
      </c>
      <c r="AL83" s="22">
        <f t="shared" si="58"/>
        <v>691.25737180503893</v>
      </c>
      <c r="AM83" s="62">
        <f t="shared" si="59"/>
        <v>984.59070513837219</v>
      </c>
      <c r="AN83" s="62">
        <f ca="1">AVERAGE(OFFSET($AM$3,0,0,'Données projet'!$E$10+1,1))-AVERAGE(OFFSET($H$3,0,0,'Données projet'!$E$10+1,1))</f>
        <v>279.33945837918748</v>
      </c>
      <c r="AO83" s="62">
        <f t="shared" si="90"/>
        <v>215.78305328671854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4.9134482227730389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3.0543289988688314E-6</v>
      </c>
      <c r="AX83" s="23">
        <f t="shared" si="60"/>
        <v>4.9134512771020376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-2.2737367544323206E-13</v>
      </c>
      <c r="BE83" s="14">
        <f>BD83*VLOOKUP('Données projet'!$B$11,Paramètres!$A$1:$I$89,3,0)*VLOOKUP('Données projet'!$B$11,Paramètres!$A$1:$I$89,5,0)</f>
        <v>-1.2710188457276673E-13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376.38993452481719</v>
      </c>
      <c r="BJ83" s="62">
        <f t="shared" si="92"/>
        <v>470.10036612616727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1.8526333865770765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1.3504468293661509E-7</v>
      </c>
      <c r="BS83" s="24">
        <f t="shared" si="63"/>
        <v>1.8526335216217595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>
        <f>BY83*VLOOKUP('Données projet'!$B$12,Paramètres!$A$1:$I$89,3,0)*VLOOKUP('Données projet'!$B$12,Paramètres!$A$1:$I$89,5,0)</f>
        <v>0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152.56843845628913</v>
      </c>
      <c r="CE83" s="62">
        <f t="shared" si="94"/>
        <v>311.82523951987685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36.70493361393526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7.9269690510944799E-6</v>
      </c>
      <c r="CN83" s="24">
        <f t="shared" si="66"/>
        <v>36.704941540904315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46.374119999999962</v>
      </c>
      <c r="D84" s="12">
        <f t="shared" si="86"/>
        <v>13.673297306765317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463.52392306976708</v>
      </c>
      <c r="H84" s="70">
        <f t="shared" si="56"/>
        <v>397.91591847594952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17.5</v>
      </c>
      <c r="N84" s="14">
        <f>IF('Données projet'!$A$36&gt;35,N83+M84-V83,IF(A84&lt;'Données projet'!$A$36,$K$205^A84,IF(A84='Données projet'!$A$36,'Données projet'!$B$36,N83+M84-V83)))</f>
        <v>515.49999999999989</v>
      </c>
      <c r="O84" s="14">
        <f>N84*VLOOKUP('Données projet'!$B$9,Paramètres!$A$1:$I$89,3,0)*VLOOKUP('Données projet'!$B$9,Paramètres!$A$1:$I$89,5,0)</f>
        <v>241.25399999999996</v>
      </c>
      <c r="P84" s="14">
        <f t="shared" si="87"/>
        <v>58.70925280391986</v>
      </c>
      <c r="Q84" s="22">
        <f t="shared" si="54"/>
        <v>522.43599863349357</v>
      </c>
      <c r="R84" s="62">
        <f t="shared" si="55"/>
        <v>815.76933196682694</v>
      </c>
      <c r="S84" s="62">
        <f ca="1">AVERAGE(OFFSET($R$3,0,0,'Données projet'!$E$9+1,1))-AVERAGE(OFFSET($H$3,0,0,'Données projet'!$E$9+1,1))</f>
        <v>300.81172286376216</v>
      </c>
      <c r="T84" s="62">
        <f t="shared" si="88"/>
        <v>217.90654346456347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8.875</v>
      </c>
      <c r="AI84" s="14">
        <f>IF('Données projet'!$A$62&gt;35,AI83+AH84-AQ83,IF(A84&lt;'Données projet'!$A$62,$AF$205^A84,IF(A84='Données projet'!$A$62,'Données projet'!$B$62,AI83+AH84-AQ83)))</f>
        <v>546.125</v>
      </c>
      <c r="AJ84" s="14">
        <f>AI84*VLOOKUP('Données projet'!$B$10,Paramètres!$A$1:$I$89,3,0)*VLOOKUP('Données projet'!$B$10,Paramètres!$A$1:$I$89,5,0)</f>
        <v>326.58275000000003</v>
      </c>
      <c r="AK84" s="14">
        <f t="shared" si="89"/>
        <v>76.72139541907876</v>
      </c>
      <c r="AL84" s="22">
        <f t="shared" si="58"/>
        <v>702.42138660489547</v>
      </c>
      <c r="AM84" s="62">
        <f t="shared" si="59"/>
        <v>995.75471993822885</v>
      </c>
      <c r="AN84" s="62">
        <f ca="1">AVERAGE(OFFSET($AM$3,0,0,'Données projet'!$E$10+1,1))-AVERAGE(OFFSET($H$3,0,0,'Données projet'!$E$10+1,1))</f>
        <v>279.33945837918748</v>
      </c>
      <c r="AO84" s="62">
        <f t="shared" si="90"/>
        <v>215.78305328671854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4.8170985000319559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2.1597367470748695E-6</v>
      </c>
      <c r="AX84" s="23">
        <f t="shared" si="60"/>
        <v>4.8171006597687027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-2.2737367544323206E-13</v>
      </c>
      <c r="BE84" s="14">
        <f>BD84*VLOOKUP('Données projet'!$B$11,Paramètres!$A$1:$I$89,3,0)*VLOOKUP('Données projet'!$B$11,Paramètres!$A$1:$I$89,5,0)</f>
        <v>-1.2710188457276673E-13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376.38993452481719</v>
      </c>
      <c r="BJ84" s="62">
        <f t="shared" si="92"/>
        <v>470.10036612616727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1.8163043758610882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9.5491011067667773E-8</v>
      </c>
      <c r="BS84" s="24">
        <f t="shared" si="63"/>
        <v>1.8163044713520993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>
        <f>BY84*VLOOKUP('Données projet'!$B$12,Paramètres!$A$1:$I$89,3,0)*VLOOKUP('Données projet'!$B$12,Paramètres!$A$1:$I$89,5,0)</f>
        <v>0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152.56843845628913</v>
      </c>
      <c r="CE84" s="62">
        <f t="shared" si="94"/>
        <v>311.82523951987685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35.985172253564883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5.6052135702847988E-6</v>
      </c>
      <c r="CN84" s="24">
        <f t="shared" si="66"/>
        <v>35.985177858778457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46.94663999999996</v>
      </c>
      <c r="D85" s="12">
        <f t="shared" si="86"/>
        <v>13.822347728747404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469.09394036226035</v>
      </c>
      <c r="H85" s="70">
        <f t="shared" si="56"/>
        <v>399.17265362756831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17.5</v>
      </c>
      <c r="N85" s="14">
        <f>IF('Données projet'!$A$36&gt;35,N84+M85-V84,IF(A85&lt;'Données projet'!$A$36,$K$205^A85,IF(A85='Données projet'!$A$36,'Données projet'!$B$36,N84+M85-V84)))</f>
        <v>532.99999999999989</v>
      </c>
      <c r="O85" s="14">
        <f>N85*VLOOKUP('Données projet'!$B$9,Paramètres!$A$1:$I$89,3,0)*VLOOKUP('Données projet'!$B$9,Paramètres!$A$1:$I$89,5,0)</f>
        <v>249.44399999999993</v>
      </c>
      <c r="P85" s="14">
        <f t="shared" si="87"/>
        <v>60.466866397117599</v>
      </c>
      <c r="Q85" s="22">
        <f t="shared" si="54"/>
        <v>539.76142564164627</v>
      </c>
      <c r="R85" s="62">
        <f t="shared" si="55"/>
        <v>833.09475897497964</v>
      </c>
      <c r="S85" s="62">
        <f ca="1">AVERAGE(OFFSET($R$3,0,0,'Données projet'!$E$9+1,1))-AVERAGE(OFFSET($H$3,0,0,'Données projet'!$E$9+1,1))</f>
        <v>300.81172286376216</v>
      </c>
      <c r="T85" s="62">
        <f t="shared" si="88"/>
        <v>217.90654346456347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>
        <f>VLOOKUP(A85,'Données projet'!$A$61:$I$81,2,0)</f>
        <v>555</v>
      </c>
      <c r="AG85" s="13">
        <f>VLOOKUP(A85,'Données projet'!$A$61:$I$81,9,0)</f>
        <v>8.875</v>
      </c>
      <c r="AH85" s="13">
        <f t="array" ref="AH85">INDEX(AG:AG,MIN(IF(ISNUMBER(AG85:AG281),ROW(AG85:AG281),"")))</f>
        <v>8.875</v>
      </c>
      <c r="AI85" s="14">
        <f>IF('Données projet'!$A$62&gt;35,AI84+AH85-AQ84,IF(A85&lt;'Données projet'!$A$62,$AF$205^A85,IF(A85='Données projet'!$A$62,'Données projet'!$B$62,AI84+AH85-AQ84)))</f>
        <v>555</v>
      </c>
      <c r="AJ85" s="14">
        <f>AI85*VLOOKUP('Données projet'!$B$10,Paramètres!$A$1:$I$89,3,0)*VLOOKUP('Données projet'!$B$10,Paramètres!$A$1:$I$89,5,0)</f>
        <v>331.89000000000004</v>
      </c>
      <c r="AK85" s="14">
        <f t="shared" si="89"/>
        <v>77.822022056956186</v>
      </c>
      <c r="AL85" s="22">
        <f t="shared" si="58"/>
        <v>713.58177174919865</v>
      </c>
      <c r="AM85" s="62">
        <f t="shared" si="59"/>
        <v>1006.9151050825319</v>
      </c>
      <c r="AN85" s="62">
        <f ca="1">AVERAGE(OFFSET($AM$3,0,0,'Données projet'!$E$10+1,1))-AVERAGE(OFFSET($H$3,0,0,'Données projet'!$E$10+1,1))</f>
        <v>279.33945837918748</v>
      </c>
      <c r="AO85" s="62">
        <f t="shared" si="90"/>
        <v>215.78305328671854</v>
      </c>
      <c r="AP85" s="16">
        <f>IF(ISNA(VLOOKUP(A85,'Données projet'!$A$61:$I$81,3,0)),0,VLOOKUP(A85,'Données projet'!$A$61:$I$81,3,0))</f>
        <v>11</v>
      </c>
      <c r="AQ85" s="16">
        <f>IF(ISNA(VLOOKUP(A85,'Données projet'!$A$61:$I$81,4,0)),0,VLOOKUP(A85,'Données projet'!$A$61:$I$81,4,0))</f>
        <v>555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4.7226381365862968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1.5271644994344157E-6</v>
      </c>
      <c r="AX85" s="23">
        <f t="shared" si="60"/>
        <v>4.7226396637507966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-2.2737367544323206E-13</v>
      </c>
      <c r="BE85" s="14">
        <f>BD85*VLOOKUP('Données projet'!$B$11,Paramètres!$A$1:$I$89,3,0)*VLOOKUP('Données projet'!$B$11,Paramètres!$A$1:$I$89,5,0)</f>
        <v>-1.2710188457276673E-13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376.38993452481719</v>
      </c>
      <c r="BJ85" s="62">
        <f t="shared" si="92"/>
        <v>470.10036612616727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1.7806877548867317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6.7522341468307543E-8</v>
      </c>
      <c r="BS85" s="24">
        <f t="shared" si="63"/>
        <v>1.7806878224090732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>
        <f>BY85*VLOOKUP('Données projet'!$B$12,Paramètres!$A$1:$I$89,3,0)*VLOOKUP('Données projet'!$B$12,Paramètres!$A$1:$I$89,5,0)</f>
        <v>0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152.56843845628913</v>
      </c>
      <c r="CE85" s="62">
        <f t="shared" si="94"/>
        <v>311.82523951987685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35.279524974460287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3.96348452554724E-6</v>
      </c>
      <c r="CN85" s="24">
        <f t="shared" si="66"/>
        <v>35.279528937944811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47.519159999999957</v>
      </c>
      <c r="D86" s="12">
        <f t="shared" si="86"/>
        <v>13.971186716394111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474.66232553005949</v>
      </c>
      <c r="H86" s="70">
        <f t="shared" si="56"/>
        <v>400.42902053105297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17.5</v>
      </c>
      <c r="N86" s="14">
        <f>IF('Données projet'!$A$36&gt;35,N85+M86-V85,IF(A86&lt;'Données projet'!$A$36,$K$205^A86,IF(A86='Données projet'!$A$36,'Données projet'!$B$36,N85+M86-V85)))</f>
        <v>550.49999999999989</v>
      </c>
      <c r="O86" s="14">
        <f>N86*VLOOKUP('Données projet'!$B$9,Paramètres!$A$1:$I$89,3,0)*VLOOKUP('Données projet'!$B$9,Paramètres!$A$1:$I$89,5,0)</f>
        <v>257.63399999999996</v>
      </c>
      <c r="P86" s="14">
        <f t="shared" si="87"/>
        <v>62.217774353261795</v>
      </c>
      <c r="Q86" s="22">
        <f t="shared" si="54"/>
        <v>557.07517366526417</v>
      </c>
      <c r="R86" s="62">
        <f t="shared" si="55"/>
        <v>850.40850699859743</v>
      </c>
      <c r="S86" s="62">
        <f ca="1">AVERAGE(OFFSET($R$3,0,0,'Données projet'!$E$9+1,1))-AVERAGE(OFFSET($H$3,0,0,'Données projet'!$E$9+1,1))</f>
        <v>300.81172286376216</v>
      </c>
      <c r="T86" s="62">
        <f t="shared" si="88"/>
        <v>217.90654346456347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279.33945837918748</v>
      </c>
      <c r="AO86" s="62">
        <f t="shared" si="90"/>
        <v>215.78305328671854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4.6300300832526746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1.0798683735374348E-6</v>
      </c>
      <c r="AX86" s="23">
        <f t="shared" si="60"/>
        <v>4.630031163121048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-2.2737367544323206E-13</v>
      </c>
      <c r="BE86" s="14">
        <f>BD86*VLOOKUP('Données projet'!$B$11,Paramètres!$A$1:$I$89,3,0)*VLOOKUP('Données projet'!$B$11,Paramètres!$A$1:$I$89,5,0)</f>
        <v>-1.2710188457276673E-13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376.38993452481719</v>
      </c>
      <c r="BJ86" s="62">
        <f t="shared" si="92"/>
        <v>470.10036612616727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1.7457695541256888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4.7745505533833886E-8</v>
      </c>
      <c r="BS86" s="24">
        <f t="shared" si="63"/>
        <v>1.7457696018711943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projet'!$B$12,Paramètres!$A$1:$I$89,3,0)*VLOOKUP('Données projet'!$B$12,Paramètres!$A$1:$I$89,5,0)</f>
        <v>0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152.56843845628913</v>
      </c>
      <c r="CE86" s="62">
        <f t="shared" si="94"/>
        <v>311.82523951987685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34.587715008096588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2.8026067851423994E-6</v>
      </c>
      <c r="CN86" s="24">
        <f t="shared" si="66"/>
        <v>34.587717810703374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48.091679999999954</v>
      </c>
      <c r="D87" s="12">
        <f t="shared" si="86"/>
        <v>14.119817111769642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480.2291005119057</v>
      </c>
      <c r="H87" s="70">
        <f t="shared" si="56"/>
        <v>401.685024136332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17.5</v>
      </c>
      <c r="N87" s="14">
        <f>IF('Données projet'!$A$36&gt;35,N86+M87-V86,IF(A87&lt;'Données projet'!$A$36,$K$205^A87,IF(A87='Données projet'!$A$36,'Données projet'!$B$36,N86+M87-V86)))</f>
        <v>567.99999999999989</v>
      </c>
      <c r="O87" s="14">
        <f>N87*VLOOKUP('Données projet'!$B$9,Paramètres!$A$1:$I$89,3,0)*VLOOKUP('Données projet'!$B$9,Paramètres!$A$1:$I$89,5,0)</f>
        <v>265.82399999999996</v>
      </c>
      <c r="P87" s="14">
        <f t="shared" si="87"/>
        <v>63.962214293903529</v>
      </c>
      <c r="Q87" s="22">
        <f t="shared" si="54"/>
        <v>574.37765656188185</v>
      </c>
      <c r="R87" s="62">
        <f t="shared" si="55"/>
        <v>867.71098989521511</v>
      </c>
      <c r="S87" s="62">
        <f ca="1">AVERAGE(OFFSET($R$3,0,0,'Données projet'!$E$9+1,1))-AVERAGE(OFFSET($H$3,0,0,'Données projet'!$E$9+1,1))</f>
        <v>300.81172286376216</v>
      </c>
      <c r="T87" s="62">
        <f t="shared" si="88"/>
        <v>217.90654346456347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279.33945837918748</v>
      </c>
      <c r="AO87" s="62">
        <f t="shared" si="90"/>
        <v>215.78305328671854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4.5392380173595894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7.6358224971720785E-7</v>
      </c>
      <c r="AX87" s="23">
        <f t="shared" si="60"/>
        <v>4.5392387809418393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-2.2737367544323206E-13</v>
      </c>
      <c r="BE87" s="14">
        <f>BD87*VLOOKUP('Données projet'!$B$11,Paramètres!$A$1:$I$89,3,0)*VLOOKUP('Données projet'!$B$11,Paramètres!$A$1:$I$89,5,0)</f>
        <v>-1.2710188457276673E-13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376.38993452481719</v>
      </c>
      <c r="BJ87" s="62">
        <f t="shared" si="92"/>
        <v>470.10036612616727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1.7115360779835704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3.3761170734153772E-8</v>
      </c>
      <c r="BS87" s="24">
        <f t="shared" si="63"/>
        <v>1.7115361117447412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projet'!$B$12,Paramètres!$A$1:$I$89,3,0)*VLOOKUP('Données projet'!$B$12,Paramètres!$A$1:$I$89,5,0)</f>
        <v>0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152.56843845628913</v>
      </c>
      <c r="CE87" s="62">
        <f t="shared" si="94"/>
        <v>311.82523951987685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33.909471013210869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1.98174226277362E-6</v>
      </c>
      <c r="CN87" s="24">
        <f t="shared" si="66"/>
        <v>33.909472994953134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48.664199999999951</v>
      </c>
      <c r="D88" s="12">
        <f t="shared" si="86"/>
        <v>14.268241685376283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485.79428669413232</v>
      </c>
      <c r="H88" s="70">
        <f t="shared" si="56"/>
        <v>402.94066926869692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17.5</v>
      </c>
      <c r="N88" s="14">
        <f>IF('Données projet'!$A$36&gt;35,N87+M88-V87,IF(A88&lt;'Données projet'!$A$36,$K$205^A88,IF(A88='Données projet'!$A$36,'Données projet'!$B$36,N87+M88-V87)))</f>
        <v>585.49999999999989</v>
      </c>
      <c r="O88" s="14">
        <f>N88*VLOOKUP('Données projet'!$B$9,Paramètres!$A$1:$I$89,3,0)*VLOOKUP('Données projet'!$B$9,Paramètres!$A$1:$I$89,5,0)</f>
        <v>274.01399999999995</v>
      </c>
      <c r="P88" s="14">
        <f t="shared" si="87"/>
        <v>65.700408366571935</v>
      </c>
      <c r="Q88" s="22">
        <f t="shared" si="54"/>
        <v>591.66926123844598</v>
      </c>
      <c r="R88" s="62">
        <f t="shared" si="55"/>
        <v>885.00259457177935</v>
      </c>
      <c r="S88" s="62">
        <f ca="1">AVERAGE(OFFSET($R$3,0,0,'Données projet'!$E$9+1,1))-AVERAGE(OFFSET($H$3,0,0,'Données projet'!$E$9+1,1))</f>
        <v>300.81172286376216</v>
      </c>
      <c r="T88" s="62">
        <f t="shared" si="88"/>
        <v>217.90654346456347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279.33945837918748</v>
      </c>
      <c r="AO88" s="62">
        <f t="shared" si="90"/>
        <v>215.78305328671854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4.4502263285009755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5.3993418676871738E-7</v>
      </c>
      <c r="AX88" s="23">
        <f t="shared" si="60"/>
        <v>4.4502268684351627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-2.2737367544323206E-13</v>
      </c>
      <c r="BE88" s="14">
        <f>BD88*VLOOKUP('Données projet'!$B$11,Paramètres!$A$1:$I$89,3,0)*VLOOKUP('Données projet'!$B$11,Paramètres!$A$1:$I$89,5,0)</f>
        <v>-1.2710188457276673E-13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376.38993452481719</v>
      </c>
      <c r="BJ88" s="62">
        <f t="shared" si="92"/>
        <v>470.10036612616727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1.6779738994282403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2.3872752766916943E-8</v>
      </c>
      <c r="BS88" s="24">
        <f t="shared" si="63"/>
        <v>1.6779739233009929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projet'!$B$12,Paramètres!$A$1:$I$89,3,0)*VLOOKUP('Données projet'!$B$12,Paramètres!$A$1:$I$89,5,0)</f>
        <v>0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152.56843845628913</v>
      </c>
      <c r="CE88" s="62">
        <f t="shared" si="94"/>
        <v>311.82523951987685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33.244526969376871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1.4013033925711997E-6</v>
      </c>
      <c r="CN88" s="24">
        <f t="shared" si="66"/>
        <v>33.244528370680264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49.236719999999949</v>
      </c>
      <c r="D89" s="12">
        <f t="shared" si="86"/>
        <v>14.416463138776546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491.35790493090639</v>
      </c>
      <c r="H89" s="70">
        <f t="shared" si="56"/>
        <v>404.19596063336905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17.5</v>
      </c>
      <c r="N89" s="14">
        <f>IF('Données projet'!$A$36&gt;35,N88+M89-V88,IF(A89&lt;'Données projet'!$A$36,$K$205^A89,IF(A89='Données projet'!$A$36,'Données projet'!$B$36,N88+M89-V88)))</f>
        <v>602.99999999999989</v>
      </c>
      <c r="O89" s="14">
        <f>N89*VLOOKUP('Données projet'!$B$9,Paramètres!$A$1:$I$89,3,0)*VLOOKUP('Données projet'!$B$9,Paramètres!$A$1:$I$89,5,0)</f>
        <v>282.20399999999995</v>
      </c>
      <c r="P89" s="14">
        <f t="shared" si="87"/>
        <v>67.432564684485186</v>
      </c>
      <c r="Q89" s="22">
        <f t="shared" si="54"/>
        <v>608.9503501588116</v>
      </c>
      <c r="R89" s="62">
        <f t="shared" si="55"/>
        <v>902.28368349214497</v>
      </c>
      <c r="S89" s="62">
        <f ca="1">AVERAGE(OFFSET($R$3,0,0,'Données projet'!$E$9+1,1))-AVERAGE(OFFSET($H$3,0,0,'Données projet'!$E$9+1,1))</f>
        <v>300.81172286376216</v>
      </c>
      <c r="T89" s="62">
        <f t="shared" si="88"/>
        <v>217.90654346456347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279.33945837918748</v>
      </c>
      <c r="AO89" s="62">
        <f t="shared" si="90"/>
        <v>215.78305328671854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4.36296010456911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3.8179112485860393E-7</v>
      </c>
      <c r="AX89" s="23">
        <f t="shared" si="60"/>
        <v>4.3629604863602349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-2.2737367544323206E-13</v>
      </c>
      <c r="BE89" s="14">
        <f>BD89*VLOOKUP('Données projet'!$B$11,Paramètres!$A$1:$I$89,3,0)*VLOOKUP('Données projet'!$B$11,Paramètres!$A$1:$I$89,5,0)</f>
        <v>-1.2710188457276673E-13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376.38993452481719</v>
      </c>
      <c r="BJ89" s="62">
        <f t="shared" si="92"/>
        <v>470.10036612616727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1.6450698547234726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1.6880585367076886E-8</v>
      </c>
      <c r="BS89" s="24">
        <f t="shared" si="63"/>
        <v>1.6450698716040579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projet'!$B$12,Paramètres!$A$1:$I$89,3,0)*VLOOKUP('Données projet'!$B$12,Paramètres!$A$1:$I$89,5,0)</f>
        <v>0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152.56843845628913</v>
      </c>
      <c r="CE89" s="62">
        <f t="shared" si="94"/>
        <v>311.82523951987685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32.592622072666636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9.9087113138680999E-7</v>
      </c>
      <c r="CN89" s="24">
        <f t="shared" si="66"/>
        <v>32.592623063537765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49.809239999999946</v>
      </c>
      <c r="D90" s="12">
        <f t="shared" si="86"/>
        <v>14.564484107089891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496.91997556350049</v>
      </c>
      <c r="H90" s="70">
        <f t="shared" si="56"/>
        <v>405.45090281984812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17.5</v>
      </c>
      <c r="N90" s="14">
        <f>IF('Données projet'!$A$36&gt;35,N89+M90-V89,IF(A90&lt;'Données projet'!$A$36,$K$205^A90,IF(A90='Données projet'!$A$36,'Données projet'!$B$36,N89+M90-V89)))</f>
        <v>620.49999999999989</v>
      </c>
      <c r="O90" s="14">
        <f>N90*VLOOKUP('Données projet'!$B$9,Paramètres!$A$1:$I$89,3,0)*VLOOKUP('Données projet'!$B$9,Paramètres!$A$1:$I$89,5,0)</f>
        <v>290.39399999999995</v>
      </c>
      <c r="P90" s="14">
        <f t="shared" si="87"/>
        <v>69.158878594433091</v>
      </c>
      <c r="Q90" s="22">
        <f t="shared" si="54"/>
        <v>626.22126355197076</v>
      </c>
      <c r="R90" s="62">
        <f t="shared" si="55"/>
        <v>919.55459688530414</v>
      </c>
      <c r="S90" s="62">
        <f ca="1">AVERAGE(OFFSET($R$3,0,0,'Données projet'!$E$9+1,1))-AVERAGE(OFFSET($H$3,0,0,'Données projet'!$E$9+1,1))</f>
        <v>300.81172286376216</v>
      </c>
      <c r="T90" s="62">
        <f t="shared" si="88"/>
        <v>217.90654346456347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279.33945837918748</v>
      </c>
      <c r="AO90" s="62">
        <f t="shared" si="90"/>
        <v>215.78305328671854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4.2774051180614077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2.6996709338435869E-7</v>
      </c>
      <c r="AX90" s="23">
        <f t="shared" si="60"/>
        <v>4.2774053880285008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-2.2737367544323206E-13</v>
      </c>
      <c r="BE90" s="14">
        <f>BD90*VLOOKUP('Données projet'!$B$11,Paramètres!$A$1:$I$89,3,0)*VLOOKUP('Données projet'!$B$11,Paramètres!$A$1:$I$89,5,0)</f>
        <v>-1.2710188457276673E-13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376.38993452481719</v>
      </c>
      <c r="BJ90" s="62">
        <f t="shared" si="92"/>
        <v>470.10036612616727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1.6128110382658798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1.1936376383458472E-8</v>
      </c>
      <c r="BS90" s="24">
        <f t="shared" si="63"/>
        <v>1.6128110502022561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projet'!$B$12,Paramètres!$A$1:$I$89,3,0)*VLOOKUP('Données projet'!$B$12,Paramètres!$A$1:$I$89,5,0)</f>
        <v>0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152.56843845628913</v>
      </c>
      <c r="CE90" s="62">
        <f t="shared" si="94"/>
        <v>311.82523951987685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31.953500633358168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7.0065169628559984E-7</v>
      </c>
      <c r="CN90" s="24">
        <f t="shared" si="66"/>
        <v>31.953501334009864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50.381759999999943</v>
      </c>
      <c r="D91" s="12">
        <f t="shared" si="86"/>
        <v>14.712307161371378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502.48051843865596</v>
      </c>
      <c r="H91" s="70">
        <f t="shared" si="56"/>
        <v>406.70550030605506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17.5</v>
      </c>
      <c r="N91" s="14">
        <f>IF('Données projet'!$A$36&gt;35,N90+M91-V90,IF(A91&lt;'Données projet'!$A$36,$K$205^A91,IF(A91='Données projet'!$A$36,'Données projet'!$B$36,N90+M91-V90)))</f>
        <v>637.99999999999989</v>
      </c>
      <c r="O91" s="14">
        <f>N91*VLOOKUP('Données projet'!$B$9,Paramètres!$A$1:$I$89,3,0)*VLOOKUP('Données projet'!$B$9,Paramètres!$A$1:$I$89,5,0)</f>
        <v>298.58399999999995</v>
      </c>
      <c r="P91" s="14">
        <f t="shared" si="87"/>
        <v>70.879533797607607</v>
      </c>
      <c r="Q91" s="22">
        <f t="shared" si="54"/>
        <v>643.48232136416652</v>
      </c>
      <c r="R91" s="62">
        <f t="shared" si="55"/>
        <v>936.81565469749989</v>
      </c>
      <c r="S91" s="62">
        <f ca="1">AVERAGE(OFFSET($R$3,0,0,'Données projet'!$E$9+1,1))-AVERAGE(OFFSET($H$3,0,0,'Données projet'!$E$9+1,1))</f>
        <v>300.81172286376216</v>
      </c>
      <c r="T91" s="62">
        <f t="shared" si="88"/>
        <v>217.90654346456347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279.33945837918748</v>
      </c>
      <c r="AO91" s="62">
        <f t="shared" si="90"/>
        <v>215.78305328671854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4.1935278126557325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1.9089556242930196E-7</v>
      </c>
      <c r="AX91" s="23">
        <f t="shared" si="60"/>
        <v>4.193528003551295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-2.2737367544323206E-13</v>
      </c>
      <c r="BE91" s="14">
        <f>BD91*VLOOKUP('Données projet'!$B$11,Paramètres!$A$1:$I$89,3,0)*VLOOKUP('Données projet'!$B$11,Paramètres!$A$1:$I$89,5,0)</f>
        <v>-1.2710188457276673E-13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376.38993452481719</v>
      </c>
      <c r="BJ91" s="62">
        <f t="shared" si="92"/>
        <v>470.10036612616727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1.5811847975230853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8.4402926835384429E-9</v>
      </c>
      <c r="BS91" s="24">
        <f t="shared" si="63"/>
        <v>1.581184805963378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projet'!$B$12,Paramètres!$A$1:$I$89,3,0)*VLOOKUP('Données projet'!$B$12,Paramètres!$A$1:$I$89,5,0)</f>
        <v>0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152.56843845628913</v>
      </c>
      <c r="CE91" s="62">
        <f t="shared" si="94"/>
        <v>311.82523951987685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31.326911975648951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4.9543556569340499E-7</v>
      </c>
      <c r="CN91" s="24">
        <f t="shared" si="66"/>
        <v>31.326912471084515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50.95427999999994</v>
      </c>
      <c r="D92" s="12">
        <f t="shared" si="86"/>
        <v>14.859934810879125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508.03955292608407</v>
      </c>
      <c r="H92" s="70">
        <f t="shared" si="56"/>
        <v>407.959757462281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17.5</v>
      </c>
      <c r="N92" s="14">
        <f>IF('Données projet'!$A$36&gt;35,N91+M92-V91,IF(A92&lt;'Données projet'!$A$36,$K$205^A92,IF(A92='Données projet'!$A$36,'Données projet'!$B$36,N91+M92-V91)))</f>
        <v>655.49999999999989</v>
      </c>
      <c r="O92" s="14">
        <f>N92*VLOOKUP('Données projet'!$B$9,Paramètres!$A$1:$I$89,3,0)*VLOOKUP('Données projet'!$B$9,Paramètres!$A$1:$I$89,5,0)</f>
        <v>306.77399999999994</v>
      </c>
      <c r="P92" s="14">
        <f t="shared" si="87"/>
        <v>72.594703343999058</v>
      </c>
      <c r="Q92" s="22">
        <f t="shared" si="54"/>
        <v>660.73382499079833</v>
      </c>
      <c r="R92" s="62">
        <f t="shared" si="55"/>
        <v>954.0671583241317</v>
      </c>
      <c r="S92" s="62">
        <f ca="1">AVERAGE(OFFSET($R$3,0,0,'Données projet'!$E$9+1,1))-AVERAGE(OFFSET($H$3,0,0,'Données projet'!$E$9+1,1))</f>
        <v>300.81172286376216</v>
      </c>
      <c r="T92" s="62">
        <f t="shared" si="88"/>
        <v>217.90654346456347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279.33945837918748</v>
      </c>
      <c r="AO92" s="62">
        <f t="shared" si="90"/>
        <v>215.78305328671854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4.1112952900489574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1.3498354669217934E-7</v>
      </c>
      <c r="AX92" s="23">
        <f t="shared" si="60"/>
        <v>4.1112954250325044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-2.2737367544323206E-13</v>
      </c>
      <c r="BE92" s="14">
        <f>BD92*VLOOKUP('Données projet'!$B$11,Paramètres!$A$1:$I$89,3,0)*VLOOKUP('Données projet'!$B$11,Paramètres!$A$1:$I$89,5,0)</f>
        <v>-1.2710188457276673E-13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376.38993452481719</v>
      </c>
      <c r="BJ92" s="62">
        <f t="shared" si="92"/>
        <v>470.10036612616727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1.5501787280711548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5.9681881917292358E-9</v>
      </c>
      <c r="BS92" s="24">
        <f t="shared" si="63"/>
        <v>1.5501787340393429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projet'!$B$12,Paramètres!$A$1:$I$89,3,0)*VLOOKUP('Données projet'!$B$12,Paramètres!$A$1:$I$89,5,0)</f>
        <v>0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152.56843845628913</v>
      </c>
      <c r="CE92" s="62">
        <f t="shared" si="94"/>
        <v>311.82523951987685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30.712610339336067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3.5032584814279992E-7</v>
      </c>
      <c r="CN92" s="24">
        <f t="shared" si="66"/>
        <v>30.712610689661915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51.526799999999938</v>
      </c>
      <c r="D93" s="12">
        <f t="shared" si="86"/>
        <v>15.007369505236925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513.59709793516174</v>
      </c>
      <c r="H93" s="70">
        <f t="shared" si="56"/>
        <v>409.21367855495419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673</v>
      </c>
      <c r="L93" s="13">
        <f>VLOOKUP(A93,'Données projet'!$A$35:$I$55,9,0)</f>
        <v>17.5</v>
      </c>
      <c r="M93" s="13">
        <f t="array" ref="M93">INDEX(L:L,MIN(IF(ISNUMBER(L93:L289),ROW(L93:L289),"")))</f>
        <v>17.5</v>
      </c>
      <c r="N93" s="14">
        <f>IF('Données projet'!$A$36&gt;35,N92+M93-V92,IF(A93&lt;'Données projet'!$A$36,$K$205^A93,IF(A93='Données projet'!$A$36,'Données projet'!$B$36,N92+M93-V92)))</f>
        <v>672.99999999999989</v>
      </c>
      <c r="O93" s="14">
        <f>N93*VLOOKUP('Données projet'!$B$9,Paramètres!$A$1:$I$89,3,0)*VLOOKUP('Données projet'!$B$9,Paramètres!$A$1:$I$89,5,0)</f>
        <v>314.96399999999994</v>
      </c>
      <c r="P93" s="14">
        <f t="shared" si="87"/>
        <v>74.304550517616548</v>
      </c>
      <c r="Q93" s="22">
        <f t="shared" si="54"/>
        <v>677.97605881818208</v>
      </c>
      <c r="R93" s="62">
        <f t="shared" si="55"/>
        <v>971.30939215151534</v>
      </c>
      <c r="S93" s="62">
        <f ca="1">AVERAGE(OFFSET($R$3,0,0,'Données projet'!$E$9+1,1))-AVERAGE(OFFSET($H$3,0,0,'Données projet'!$E$9+1,1))</f>
        <v>300.81172286376216</v>
      </c>
      <c r="T93" s="62">
        <f t="shared" si="88"/>
        <v>217.90654346456347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135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279.33945837918748</v>
      </c>
      <c r="AO93" s="62">
        <f t="shared" si="90"/>
        <v>215.78305328671854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4.030675297053615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9.5447781214650982E-8</v>
      </c>
      <c r="AX93" s="23">
        <f t="shared" si="60"/>
        <v>4.0306753925013963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-2.2737367544323206E-13</v>
      </c>
      <c r="BE93" s="14">
        <f>BD93*VLOOKUP('Données projet'!$B$11,Paramètres!$A$1:$I$89,3,0)*VLOOKUP('Données projet'!$B$11,Paramètres!$A$1:$I$89,5,0)</f>
        <v>-1.2710188457276673E-13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376.38993452481719</v>
      </c>
      <c r="BJ93" s="62">
        <f t="shared" si="92"/>
        <v>470.10036612616727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1.5197806687293416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4.2201463417692214E-9</v>
      </c>
      <c r="BS93" s="24">
        <f t="shared" si="63"/>
        <v>1.5197806729494878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projet'!$B$12,Paramètres!$A$1:$I$89,3,0)*VLOOKUP('Données projet'!$B$12,Paramètres!$A$1:$I$89,5,0)</f>
        <v>0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152.56843845628913</v>
      </c>
      <c r="CE93" s="62">
        <f t="shared" si="94"/>
        <v>311.82523951987685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30.110354783424278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2.477177828467025E-7</v>
      </c>
      <c r="CN93" s="24">
        <f t="shared" si="66"/>
        <v>30.11035503114206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52.099319999999935</v>
      </c>
      <c r="D94" s="12">
        <f t="shared" si="86"/>
        <v>15.154613636498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519.15317193086128</v>
      </c>
      <c r="H94" s="70">
        <f t="shared" si="56"/>
        <v>410.46726775023387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18.5</v>
      </c>
      <c r="N94" s="14">
        <f>IF('Données projet'!$A$36&gt;35,N93+M94-V93,IF(A94&lt;'Données projet'!$A$36,$K$205^A94,IF(A94='Données projet'!$A$36,'Données projet'!$B$36,N93+M94-V93)))</f>
        <v>556.49999999999989</v>
      </c>
      <c r="O94" s="14">
        <f>N94*VLOOKUP('Données projet'!$B$9,Paramètres!$A$1:$I$89,3,0)*VLOOKUP('Données projet'!$B$9,Paramètres!$A$1:$I$89,5,0)</f>
        <v>260.44199999999995</v>
      </c>
      <c r="P94" s="14">
        <f t="shared" si="87"/>
        <v>62.816585178645781</v>
      </c>
      <c r="Q94" s="22">
        <f t="shared" si="54"/>
        <v>563.00870251947458</v>
      </c>
      <c r="R94" s="62">
        <f t="shared" si="55"/>
        <v>856.34203585280784</v>
      </c>
      <c r="S94" s="62">
        <f ca="1">AVERAGE(OFFSET($R$3,0,0,'Données projet'!$E$9+1,1))-AVERAGE(OFFSET($H$3,0,0,'Données projet'!$E$9+1,1))</f>
        <v>300.81172286376216</v>
      </c>
      <c r="T94" s="62">
        <f t="shared" si="88"/>
        <v>217.90654346456347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279.33945837918748</v>
      </c>
      <c r="AO94" s="62">
        <f t="shared" si="90"/>
        <v>215.78305328671854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3.9516362129475713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6.7491773346089672E-8</v>
      </c>
      <c r="AX94" s="23">
        <f t="shared" si="60"/>
        <v>3.9516362804393448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-2.2737367544323206E-13</v>
      </c>
      <c r="BE94" s="14">
        <f>BD94*VLOOKUP('Données projet'!$B$11,Paramètres!$A$1:$I$89,3,0)*VLOOKUP('Données projet'!$B$11,Paramètres!$A$1:$I$89,5,0)</f>
        <v>-1.2710188457276673E-13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376.38993452481719</v>
      </c>
      <c r="BJ94" s="62">
        <f t="shared" si="92"/>
        <v>470.10036612616727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1.489978696790236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2.9840940958646179E-9</v>
      </c>
      <c r="BS94" s="24">
        <f t="shared" si="63"/>
        <v>1.4899786997743301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projet'!$B$12,Paramètres!$A$1:$I$89,3,0)*VLOOKUP('Données projet'!$B$12,Paramètres!$A$1:$I$89,5,0)</f>
        <v>0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152.56843845628913</v>
      </c>
      <c r="CE94" s="62">
        <f t="shared" si="94"/>
        <v>311.82523951987685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29.519909091624303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1.7516292407139996E-7</v>
      </c>
      <c r="CN94" s="24">
        <f t="shared" si="66"/>
        <v>29.519909266787227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52.671839999999932</v>
      </c>
      <c r="D95" s="12">
        <f t="shared" si="86"/>
        <v>15.301669541115508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524.70779294896136</v>
      </c>
      <c r="H95" s="70">
        <f t="shared" si="56"/>
        <v>411.72052911744271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18.5</v>
      </c>
      <c r="N95" s="14">
        <f>IF('Données projet'!$A$36&gt;35,N94+M95-V94,IF(A95&lt;'Données projet'!$A$36,$K$205^A95,IF(A95='Données projet'!$A$36,'Données projet'!$B$36,N94+M95-V94)))</f>
        <v>574.99999999999989</v>
      </c>
      <c r="O95" s="14">
        <f>N95*VLOOKUP('Données projet'!$B$9,Paramètres!$A$1:$I$89,3,0)*VLOOKUP('Données projet'!$B$9,Paramètres!$A$1:$I$89,5,0)</f>
        <v>269.09999999999991</v>
      </c>
      <c r="P95" s="14">
        <f t="shared" si="87"/>
        <v>64.658229472790993</v>
      </c>
      <c r="Q95" s="22">
        <f t="shared" si="54"/>
        <v>581.29558299844405</v>
      </c>
      <c r="R95" s="62">
        <f t="shared" si="55"/>
        <v>874.62891633177742</v>
      </c>
      <c r="S95" s="62">
        <f ca="1">AVERAGE(OFFSET($R$3,0,0,'Données projet'!$E$9+1,1))-AVERAGE(OFFSET($H$3,0,0,'Données projet'!$E$9+1,1))</f>
        <v>300.81172286376216</v>
      </c>
      <c r="T95" s="62">
        <f t="shared" si="88"/>
        <v>217.90654346456347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279.33945837918748</v>
      </c>
      <c r="AO95" s="62">
        <f t="shared" si="90"/>
        <v>215.78305328671854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3.8741470370717659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4.7723890607325491E-8</v>
      </c>
      <c r="AX95" s="23">
        <f t="shared" si="60"/>
        <v>3.8741470847956565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-2.2737367544323206E-13</v>
      </c>
      <c r="BE95" s="14">
        <f>BD95*VLOOKUP('Données projet'!$B$11,Paramètres!$A$1:$I$89,3,0)*VLOOKUP('Données projet'!$B$11,Paramètres!$A$1:$I$89,5,0)</f>
        <v>-1.2710188457276673E-13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376.38993452481719</v>
      </c>
      <c r="BJ95" s="62">
        <f t="shared" si="92"/>
        <v>470.10036612616727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1.4607611233434483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2.1100731708846107E-9</v>
      </c>
      <c r="BS95" s="24">
        <f t="shared" si="63"/>
        <v>1.4607611254535215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projet'!$B$12,Paramètres!$A$1:$I$89,3,0)*VLOOKUP('Données projet'!$B$12,Paramètres!$A$1:$I$89,5,0)</f>
        <v>0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152.56843845628913</v>
      </c>
      <c r="CE95" s="62">
        <f t="shared" si="94"/>
        <v>311.82523951987685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28.941041679704213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1.2385889142335125E-7</v>
      </c>
      <c r="CN95" s="24">
        <f t="shared" si="66"/>
        <v>28.941041803563106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53.244359999999929</v>
      </c>
      <c r="D96" s="12">
        <f t="shared" si="86"/>
        <v>15.448539501824873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530.26097861057735</v>
      </c>
      <c r="H96" s="70">
        <f t="shared" si="56"/>
        <v>412.97346663234481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18.5</v>
      </c>
      <c r="N96" s="14">
        <f>IF('Données projet'!$A$36&gt;35,N95+M96-V95,IF(A96&lt;'Données projet'!$A$36,$K$205^A96,IF(A96='Données projet'!$A$36,'Données projet'!$B$36,N95+M96-V95)))</f>
        <v>593.49999999999989</v>
      </c>
      <c r="O96" s="14">
        <f>N96*VLOOKUP('Données projet'!$B$9,Paramètres!$A$1:$I$89,3,0)*VLOOKUP('Données projet'!$B$9,Paramètres!$A$1:$I$89,5,0)</f>
        <v>277.75799999999992</v>
      </c>
      <c r="P96" s="14">
        <f t="shared" si="87"/>
        <v>66.492988372715388</v>
      </c>
      <c r="Q96" s="22">
        <f t="shared" si="54"/>
        <v>599.57047141581245</v>
      </c>
      <c r="R96" s="62">
        <f t="shared" si="55"/>
        <v>892.90380474914582</v>
      </c>
      <c r="S96" s="62">
        <f ca="1">AVERAGE(OFFSET($R$3,0,0,'Données projet'!$E$9+1,1))-AVERAGE(OFFSET($H$3,0,0,'Données projet'!$E$9+1,1))</f>
        <v>300.81172286376216</v>
      </c>
      <c r="T96" s="62">
        <f t="shared" si="88"/>
        <v>217.90654346456347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279.33945837918748</v>
      </c>
      <c r="AO96" s="62">
        <f t="shared" si="90"/>
        <v>215.78305328671854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3.7981773766711546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3.3745886673044836E-8</v>
      </c>
      <c r="AX96" s="23">
        <f t="shared" si="60"/>
        <v>3.7981774104170412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-2.2737367544323206E-13</v>
      </c>
      <c r="BE96" s="14">
        <f>BD96*VLOOKUP('Données projet'!$B$11,Paramètres!$A$1:$I$89,3,0)*VLOOKUP('Données projet'!$B$11,Paramètres!$A$1:$I$89,5,0)</f>
        <v>-1.2710188457276673E-13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376.38993452481719</v>
      </c>
      <c r="BJ96" s="62">
        <f t="shared" si="92"/>
        <v>470.10036612616727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1.4321164886909918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1.492047047932309E-9</v>
      </c>
      <c r="BS96" s="24">
        <f t="shared" si="63"/>
        <v>1.432116490183039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projet'!$B$12,Paramètres!$A$1:$I$89,3,0)*VLOOKUP('Données projet'!$B$12,Paramètres!$A$1:$I$89,5,0)</f>
        <v>0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152.56843845628913</v>
      </c>
      <c r="CE96" s="62">
        <f t="shared" si="94"/>
        <v>311.82523951987685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28.373525504657618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8.7581462035699981E-8</v>
      </c>
      <c r="CN96" s="24">
        <f t="shared" si="66"/>
        <v>28.37352559223908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53.816879999999927</v>
      </c>
      <c r="D97" s="12">
        <f t="shared" si="86"/>
        <v>15.595225749442831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535.81274613604944</v>
      </c>
      <c r="H97" s="70">
        <f t="shared" si="56"/>
        <v>414.22608418027943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18.5</v>
      </c>
      <c r="N97" s="14">
        <f>IF('Données projet'!$A$36&gt;35,N96+M97-V96,IF(A97&lt;'Données projet'!$A$36,$K$205^A97,IF(A97='Données projet'!$A$36,'Données projet'!$B$36,N96+M97-V96)))</f>
        <v>611.99999999999989</v>
      </c>
      <c r="O97" s="14">
        <f>N97*VLOOKUP('Données projet'!$B$9,Paramètres!$A$1:$I$89,3,0)*VLOOKUP('Données projet'!$B$9,Paramètres!$A$1:$I$89,5,0)</f>
        <v>286.41599999999994</v>
      </c>
      <c r="P97" s="14">
        <f t="shared" si="87"/>
        <v>68.321101129951188</v>
      </c>
      <c r="Q97" s="22">
        <f t="shared" si="54"/>
        <v>617.83378446799827</v>
      </c>
      <c r="R97" s="62">
        <f t="shared" si="55"/>
        <v>911.16711780133164</v>
      </c>
      <c r="S97" s="62">
        <f ca="1">AVERAGE(OFFSET($R$3,0,0,'Données projet'!$E$9+1,1))-AVERAGE(OFFSET($H$3,0,0,'Données projet'!$E$9+1,1))</f>
        <v>300.81172286376216</v>
      </c>
      <c r="T97" s="62">
        <f t="shared" si="88"/>
        <v>217.90654346456347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279.33945837918748</v>
      </c>
      <c r="AO97" s="62">
        <f t="shared" si="90"/>
        <v>215.78305328671854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3.7236974349740821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2.3861945303662745E-8</v>
      </c>
      <c r="AX97" s="23">
        <f t="shared" si="60"/>
        <v>3.7236974588360274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-2.2737367544323206E-13</v>
      </c>
      <c r="BE97" s="14">
        <f>BD97*VLOOKUP('Données projet'!$B$11,Paramètres!$A$1:$I$89,3,0)*VLOOKUP('Données projet'!$B$11,Paramètres!$A$1:$I$89,5,0)</f>
        <v>-1.2710188457276673E-13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376.38993452481719</v>
      </c>
      <c r="BJ97" s="62">
        <f t="shared" si="92"/>
        <v>470.10036612616727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1.4040335578525682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1.0550365854423054E-9</v>
      </c>
      <c r="BS97" s="24">
        <f t="shared" si="63"/>
        <v>1.4040335589076047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projet'!$B$12,Paramètres!$A$1:$I$89,3,0)*VLOOKUP('Données projet'!$B$12,Paramètres!$A$1:$I$89,5,0)</f>
        <v>0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152.56843845628913</v>
      </c>
      <c r="CE97" s="62">
        <f t="shared" si="94"/>
        <v>311.82523951987685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27.817137975653001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6.1929445711675624E-8</v>
      </c>
      <c r="CN97" s="24">
        <f t="shared" si="66"/>
        <v>27.817138037582446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54.389399999999924</v>
      </c>
      <c r="D98" s="12">
        <f t="shared" si="86"/>
        <v>15.741730464587798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541.36311235822109</v>
      </c>
      <c r="H98" s="70">
        <f t="shared" si="56"/>
        <v>415.47838555915695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18.5</v>
      </c>
      <c r="N98" s="14">
        <f>IF('Données projet'!$A$36&gt;35,N97+M98-V97,IF(A98&lt;'Données projet'!$A$36,$K$205^A98,IF(A98='Données projet'!$A$36,'Données projet'!$B$36,N97+M98-V97)))</f>
        <v>630.49999999999989</v>
      </c>
      <c r="O98" s="14">
        <f>N98*VLOOKUP('Données projet'!$B$9,Paramètres!$A$1:$I$89,3,0)*VLOOKUP('Données projet'!$B$9,Paramètres!$A$1:$I$89,5,0)</f>
        <v>295.07399999999996</v>
      </c>
      <c r="P98" s="14">
        <f t="shared" si="87"/>
        <v>70.142791709481173</v>
      </c>
      <c r="Q98" s="22">
        <f t="shared" si="54"/>
        <v>636.08591222734628</v>
      </c>
      <c r="R98" s="62">
        <f t="shared" si="55"/>
        <v>929.41924556067966</v>
      </c>
      <c r="S98" s="62">
        <f ca="1">AVERAGE(OFFSET($R$3,0,0,'Données projet'!$E$9+1,1))-AVERAGE(OFFSET($H$3,0,0,'Données projet'!$E$9+1,1))</f>
        <v>300.81172286376216</v>
      </c>
      <c r="T98" s="62">
        <f t="shared" si="88"/>
        <v>217.90654346456347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279.33945837918748</v>
      </c>
      <c r="AO98" s="62">
        <f t="shared" si="90"/>
        <v>215.78305328671854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3.6506779995054104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1.6872943336522418E-8</v>
      </c>
      <c r="AX98" s="23">
        <f t="shared" si="60"/>
        <v>3.6506780163783539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-2.2737367544323206E-13</v>
      </c>
      <c r="BE98" s="14">
        <f>BD98*VLOOKUP('Données projet'!$B$11,Paramètres!$A$1:$I$89,3,0)*VLOOKUP('Données projet'!$B$11,Paramètres!$A$1:$I$89,5,0)</f>
        <v>-1.2710188457276673E-13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376.38993452481719</v>
      </c>
      <c r="BJ98" s="62">
        <f t="shared" si="92"/>
        <v>470.10036612616727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1.3765013161589896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7.4602352396615448E-10</v>
      </c>
      <c r="BS98" s="24">
        <f t="shared" si="63"/>
        <v>1.3765013169050131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projet'!$B$12,Paramètres!$A$1:$I$89,3,0)*VLOOKUP('Données projet'!$B$12,Paramètres!$A$1:$I$89,5,0)</f>
        <v>0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152.56843845628913</v>
      </c>
      <c r="CE98" s="62">
        <f t="shared" si="94"/>
        <v>311.82523951987685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27.271660866729281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4.379073101784999E-8</v>
      </c>
      <c r="CN98" s="24">
        <f t="shared" si="66"/>
        <v>27.271660910520012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54.961919999999921</v>
      </c>
      <c r="D99" s="12">
        <f t="shared" si="86"/>
        <v>15.888055779325709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546.91209373514528</v>
      </c>
      <c r="H99" s="70">
        <f t="shared" si="56"/>
        <v>416.73037448232543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18.5</v>
      </c>
      <c r="N99" s="14">
        <f>IF('Données projet'!$A$36&gt;35,N98+M99-V98,IF(A99&lt;'Données projet'!$A$36,$K$205^A99,IF(A99='Données projet'!$A$36,'Données projet'!$B$36,N98+M99-V98)))</f>
        <v>648.99999999999989</v>
      </c>
      <c r="O99" s="14">
        <f>N99*VLOOKUP('Données projet'!$B$9,Paramètres!$A$1:$I$89,3,0)*VLOOKUP('Données projet'!$B$9,Paramètres!$A$1:$I$89,5,0)</f>
        <v>303.73199999999997</v>
      </c>
      <c r="P99" s="14">
        <f t="shared" si="87"/>
        <v>71.958270185981476</v>
      </c>
      <c r="Q99" s="22">
        <f t="shared" ref="Q99:Q130" si="107">(O99+P99)*0.475*44/12</f>
        <v>654.32722057391766</v>
      </c>
      <c r="R99" s="62">
        <f t="shared" si="55"/>
        <v>947.66055390725091</v>
      </c>
      <c r="S99" s="62">
        <f ca="1">AVERAGE(OFFSET($R$3,0,0,'Données projet'!$E$9+1,1))-AVERAGE(OFFSET($H$3,0,0,'Données projet'!$E$9+1,1))</f>
        <v>300.81172286376216</v>
      </c>
      <c r="T99" s="62">
        <f t="shared" si="88"/>
        <v>217.90654346456347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279.33945837918748</v>
      </c>
      <c r="AO99" s="62">
        <f t="shared" si="90"/>
        <v>215.78305328671854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3.5790904306288214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1.1930972651831373E-8</v>
      </c>
      <c r="AX99" s="23">
        <f t="shared" si="60"/>
        <v>3.579090442559794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-2.2737367544323206E-13</v>
      </c>
      <c r="BE99" s="14">
        <f>BD99*VLOOKUP('Données projet'!$B$11,Paramètres!$A$1:$I$89,3,0)*VLOOKUP('Données projet'!$B$11,Paramètres!$A$1:$I$89,5,0)</f>
        <v>-1.2710188457276673E-13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376.38993452481719</v>
      </c>
      <c r="BJ99" s="62">
        <f t="shared" si="92"/>
        <v>470.10036612616727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1.3495089649320127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5.2751829272115268E-10</v>
      </c>
      <c r="BS99" s="24">
        <f t="shared" si="63"/>
        <v>1.3495089654595309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projet'!$B$12,Paramètres!$A$1:$I$89,3,0)*VLOOKUP('Données projet'!$B$12,Paramètres!$A$1:$I$89,5,0)</f>
        <v>0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152.56843845628913</v>
      </c>
      <c r="CE99" s="62">
        <f t="shared" si="94"/>
        <v>311.82523951987685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26.736880231203372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3.0964722855837812E-8</v>
      </c>
      <c r="CN99" s="24">
        <f t="shared" si="66"/>
        <v>26.736880262168096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55.534439999999918</v>
      </c>
      <c r="D100" s="12">
        <f t="shared" si="86"/>
        <v>16.034203778745258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552.45970636224354</v>
      </c>
      <c r="H100" s="70">
        <f t="shared" si="56"/>
        <v>417.98205458131451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18.5</v>
      </c>
      <c r="N100" s="14">
        <f>IF('Données projet'!$A$36&gt;35,N99+M100-V99,IF(A100&lt;'Données projet'!$A$36,$K$205^A100,IF(A100='Données projet'!$A$36,'Données projet'!$B$36,N99+M100-V99)))</f>
        <v>667.49999999999989</v>
      </c>
      <c r="O100" s="14">
        <f>N100*VLOOKUP('Données projet'!$B$9,Paramètres!$A$1:$I$89,3,0)*VLOOKUP('Données projet'!$B$9,Paramètres!$A$1:$I$89,5,0)</f>
        <v>312.38999999999993</v>
      </c>
      <c r="P100" s="14">
        <f t="shared" si="87"/>
        <v>73.767733976388286</v>
      </c>
      <c r="Q100" s="22">
        <f t="shared" si="107"/>
        <v>672.55805334220952</v>
      </c>
      <c r="R100" s="62">
        <f t="shared" si="55"/>
        <v>965.89138667554289</v>
      </c>
      <c r="S100" s="62">
        <f ca="1">AVERAGE(OFFSET($R$3,0,0,'Données projet'!$E$9+1,1))-AVERAGE(OFFSET($H$3,0,0,'Données projet'!$E$9+1,1))</f>
        <v>300.81172286376216</v>
      </c>
      <c r="T100" s="62">
        <f t="shared" si="88"/>
        <v>217.90654346456347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279.33945837918748</v>
      </c>
      <c r="AO100" s="62">
        <f t="shared" si="90"/>
        <v>215.78305328671854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3.5089066503137967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8.436471668261209E-9</v>
      </c>
      <c r="AX100" s="23">
        <f t="shared" si="60"/>
        <v>3.5089066587502682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-2.2737367544323206E-13</v>
      </c>
      <c r="BE100" s="14">
        <f>BD100*VLOOKUP('Données projet'!$B$11,Paramètres!$A$1:$I$89,3,0)*VLOOKUP('Données projet'!$B$11,Paramètres!$A$1:$I$89,5,0)</f>
        <v>-1.2710188457276673E-13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376.38993452481719</v>
      </c>
      <c r="BJ100" s="62">
        <f t="shared" si="92"/>
        <v>470.10036612616727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1.3230459172488882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3.7301176198307724E-10</v>
      </c>
      <c r="BS100" s="24">
        <f t="shared" si="63"/>
        <v>1.3230459176219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projet'!$B$12,Paramètres!$A$1:$I$89,3,0)*VLOOKUP('Données projet'!$B$12,Paramètres!$A$1:$I$89,5,0)</f>
        <v>0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152.56843845628913</v>
      </c>
      <c r="CE100" s="62">
        <f t="shared" si="94"/>
        <v>311.82523951987685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26.212586317756145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2.1895365508924995E-8</v>
      </c>
      <c r="CN100" s="24">
        <f t="shared" si="66"/>
        <v>26.212586339651509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56.106959999999916</v>
      </c>
      <c r="D101" s="12">
        <f t="shared" si="86"/>
        <v>16.180176502466434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558.00596598395089</v>
      </c>
      <c r="H101" s="70">
        <f t="shared" si="56"/>
        <v>419.2334294084622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18.5</v>
      </c>
      <c r="N101" s="14">
        <f>IF('Données projet'!$A$36&gt;35,N100+M101-V100,IF(A101&lt;'Données projet'!$A$36,$K$205^A101,IF(A101='Données projet'!$A$36,'Données projet'!$B$36,N100+M101-V100)))</f>
        <v>685.99999999999989</v>
      </c>
      <c r="O101" s="14">
        <f>N101*VLOOKUP('Données projet'!$B$9,Paramètres!$A$1:$I$89,3,0)*VLOOKUP('Données projet'!$B$9,Paramètres!$A$1:$I$89,5,0)</f>
        <v>321.04799999999994</v>
      </c>
      <c r="P101" s="14">
        <f t="shared" si="87"/>
        <v>75.571368931978697</v>
      </c>
      <c r="Q101" s="22">
        <f t="shared" si="107"/>
        <v>690.77873422319624</v>
      </c>
      <c r="R101" s="62">
        <f t="shared" si="55"/>
        <v>984.11206755652961</v>
      </c>
      <c r="S101" s="62">
        <f ca="1">AVERAGE(OFFSET($R$3,0,0,'Données projet'!$E$9+1,1))-AVERAGE(OFFSET($H$3,0,0,'Données projet'!$E$9+1,1))</f>
        <v>300.81172286376216</v>
      </c>
      <c r="T101" s="62">
        <f t="shared" si="88"/>
        <v>217.90654346456347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279.33945837918748</v>
      </c>
      <c r="AO101" s="62">
        <f t="shared" si="90"/>
        <v>215.78305328671854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3.4400991311228704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5.9654863259156864E-9</v>
      </c>
      <c r="AX101" s="23">
        <f t="shared" si="60"/>
        <v>3.4400991370883567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-2.2737367544323206E-13</v>
      </c>
      <c r="BE101" s="14">
        <f>BD101*VLOOKUP('Données projet'!$B$11,Paramètres!$A$1:$I$89,3,0)*VLOOKUP('Données projet'!$B$11,Paramètres!$A$1:$I$89,5,0)</f>
        <v>-1.2710188457276673E-13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376.38993452481719</v>
      </c>
      <c r="BJ101" s="62">
        <f t="shared" si="92"/>
        <v>470.10036612616727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1.2971017937899645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2.6375914636057634E-10</v>
      </c>
      <c r="BS101" s="24">
        <f t="shared" si="63"/>
        <v>1.2971017940537237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projet'!$B$12,Paramètres!$A$1:$I$89,3,0)*VLOOKUP('Données projet'!$B$12,Paramètres!$A$1:$I$89,5,0)</f>
        <v>0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152.56843845628913</v>
      </c>
      <c r="CE101" s="62">
        <f t="shared" si="94"/>
        <v>311.82523951987685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25.698573488163905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1.5482361427918906E-8</v>
      </c>
      <c r="CN101" s="24">
        <f t="shared" si="66"/>
        <v>25.698573503646266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56.679479999999913</v>
      </c>
      <c r="D102" s="12">
        <f t="shared" si="86"/>
        <v>16.325975946085592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563.55088800487056</v>
      </c>
      <c r="H102" s="70">
        <f t="shared" si="56"/>
        <v>420.48450243943222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18.5</v>
      </c>
      <c r="N102" s="14">
        <f>IF('Données projet'!$A$36&gt;35,N101+M102-V101,IF(A102&lt;'Données projet'!$A$36,$K$205^A102,IF(A102='Données projet'!$A$36,'Données projet'!$B$36,N101+M102-V101)))</f>
        <v>704.49999999999989</v>
      </c>
      <c r="O102" s="14">
        <f>N102*VLOOKUP('Données projet'!$B$9,Paramètres!$A$1:$I$89,3,0)*VLOOKUP('Données projet'!$B$9,Paramètres!$A$1:$I$89,5,0)</f>
        <v>329.70599999999996</v>
      </c>
      <c r="P102" s="14">
        <f t="shared" si="87"/>
        <v>77.369350309333612</v>
      </c>
      <c r="Q102" s="22">
        <f t="shared" si="107"/>
        <v>708.98956845542261</v>
      </c>
      <c r="R102" s="62">
        <f t="shared" si="55"/>
        <v>1002.3229017887559</v>
      </c>
      <c r="S102" s="62">
        <f ca="1">AVERAGE(OFFSET($R$3,0,0,'Données projet'!$E$9+1,1))-AVERAGE(OFFSET($H$3,0,0,'Données projet'!$E$9+1,1))</f>
        <v>300.81172286376216</v>
      </c>
      <c r="T102" s="62">
        <f t="shared" si="88"/>
        <v>217.90654346456347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279.33945837918748</v>
      </c>
      <c r="AO102" s="62">
        <f t="shared" si="90"/>
        <v>215.78305328671854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3.3726408854148358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4.2182358341306045E-9</v>
      </c>
      <c r="AX102" s="23">
        <f t="shared" si="60"/>
        <v>3.3726408896330717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-2.2737367544323206E-13</v>
      </c>
      <c r="BE102" s="14">
        <f>BD102*VLOOKUP('Données projet'!$B$11,Paramètres!$A$1:$I$89,3,0)*VLOOKUP('Données projet'!$B$11,Paramètres!$A$1:$I$89,5,0)</f>
        <v>-1.2710188457276673E-13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376.38993452481719</v>
      </c>
      <c r="BJ102" s="62">
        <f t="shared" si="92"/>
        <v>470.10036612616727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1.2716664187677176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1.8650588099153862E-10</v>
      </c>
      <c r="BS102" s="24">
        <f t="shared" si="63"/>
        <v>1.2716664189542235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projet'!$B$12,Paramètres!$A$1:$I$89,3,0)*VLOOKUP('Données projet'!$B$12,Paramètres!$A$1:$I$89,5,0)</f>
        <v>0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152.56843845628913</v>
      </c>
      <c r="CE102" s="62">
        <f t="shared" si="94"/>
        <v>311.82523951987685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25.194640136643102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1.0947682754462498E-8</v>
      </c>
      <c r="CN102" s="24">
        <f t="shared" si="66"/>
        <v>25.194640147590786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57.25199999999991</v>
      </c>
      <c r="D103" s="12">
        <f t="shared" si="86"/>
        <v>16.471604062560644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569.09448750046749</v>
      </c>
      <c r="H103" s="70">
        <f t="shared" si="56"/>
        <v>421.7352770756263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723</v>
      </c>
      <c r="L103" s="13">
        <f>VLOOKUP(A103,'Données projet'!$A$35:$I$55,9,0)</f>
        <v>18.5</v>
      </c>
      <c r="M103" s="13">
        <f t="array" ref="M103">INDEX(L:L,MIN(IF(ISNUMBER(L103:L299),ROW(L103:L299),"")))</f>
        <v>18.5</v>
      </c>
      <c r="N103" s="14">
        <f>IF('Données projet'!$A$36&gt;35,N102+M103-V102,IF(A103&lt;'Données projet'!$A$36,$K$205^A103,IF(A103='Données projet'!$A$36,'Données projet'!$B$36,N102+M103-V102)))</f>
        <v>722.99999999999989</v>
      </c>
      <c r="O103" s="14">
        <f>N103*VLOOKUP('Données projet'!$B$9,Paramètres!$A$1:$I$89,3,0)*VLOOKUP('Données projet'!$B$9,Paramètres!$A$1:$I$89,5,0)</f>
        <v>338.36399999999998</v>
      </c>
      <c r="P103" s="14">
        <f t="shared" si="87"/>
        <v>79.161843636443024</v>
      </c>
      <c r="Q103" s="22">
        <f t="shared" si="107"/>
        <v>727.19084433347155</v>
      </c>
      <c r="R103" s="62">
        <f t="shared" si="55"/>
        <v>1020.5241776668049</v>
      </c>
      <c r="S103" s="62">
        <f ca="1">AVERAGE(OFFSET($R$3,0,0,'Données projet'!$E$9+1,1))-AVERAGE(OFFSET($H$3,0,0,'Données projet'!$E$9+1,1))</f>
        <v>300.81172286376216</v>
      </c>
      <c r="T103" s="62">
        <f t="shared" si="88"/>
        <v>217.90654346456347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723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279.33945837918748</v>
      </c>
      <c r="AO103" s="62">
        <f t="shared" si="90"/>
        <v>215.78305328671854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3.3065054547596686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2.9827431629578432E-9</v>
      </c>
      <c r="AX103" s="23">
        <f t="shared" si="60"/>
        <v>3.3065054577424116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-2.2737367544323206E-13</v>
      </c>
      <c r="BE103" s="14">
        <f>BD103*VLOOKUP('Données projet'!$B$11,Paramètres!$A$1:$I$89,3,0)*VLOOKUP('Données projet'!$B$11,Paramètres!$A$1:$I$89,5,0)</f>
        <v>-1.2710188457276673E-13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376.38993452481719</v>
      </c>
      <c r="BJ103" s="62">
        <f t="shared" si="92"/>
        <v>470.10036612616727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1.2467298159356099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1.3187957318028817E-10</v>
      </c>
      <c r="BS103" s="24">
        <f t="shared" si="63"/>
        <v>1.2467298160674896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projet'!$B$12,Paramètres!$A$1:$I$89,3,0)*VLOOKUP('Données projet'!$B$12,Paramètres!$A$1:$I$89,5,0)</f>
        <v>0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152.56843845628913</v>
      </c>
      <c r="CE103" s="62">
        <f t="shared" si="94"/>
        <v>311.82523951987685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24.700588610776627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7.741180713959453E-9</v>
      </c>
      <c r="CN103" s="24">
        <f t="shared" si="66"/>
        <v>24.700588618517809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57.824519999999907</v>
      </c>
      <c r="D104" s="12">
        <f t="shared" si="86"/>
        <v>16.617062763539082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574.63677922731858</v>
      </c>
      <c r="H104" s="70">
        <f t="shared" si="56"/>
        <v>422.98575664649707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projet'!$B$9,Paramètres!$A$1:$I$89,3,0)*VLOOKUP('Données projet'!$B$9,Paramètres!$A$1:$I$89,5,0)</f>
        <v>-5.3205440053716299E-14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300.81172286376216</v>
      </c>
      <c r="T104" s="62">
        <f t="shared" si="88"/>
        <v>217.90654346456347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279.33945837918748</v>
      </c>
      <c r="AO104" s="62">
        <f t="shared" si="90"/>
        <v>215.78305328671854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3.2416668995610194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2.1091179170653022E-9</v>
      </c>
      <c r="AX104" s="23">
        <f t="shared" si="60"/>
        <v>3.2416669016701372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-2.2737367544323206E-13</v>
      </c>
      <c r="BE104" s="14">
        <f>BD104*VLOOKUP('Données projet'!$B$11,Paramètres!$A$1:$I$89,3,0)*VLOOKUP('Données projet'!$B$11,Paramètres!$A$1:$I$89,5,0)</f>
        <v>-1.2710188457276673E-13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376.38993452481719</v>
      </c>
      <c r="BJ104" s="62">
        <f t="shared" si="92"/>
        <v>470.10036612616727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1.2222822046752142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9.3252940495769309E-11</v>
      </c>
      <c r="BS104" s="24">
        <f t="shared" si="63"/>
        <v>1.2222822047684672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projet'!$B$12,Paramètres!$A$1:$I$89,3,0)*VLOOKUP('Données projet'!$B$12,Paramètres!$A$1:$I$89,5,0)</f>
        <v>0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152.56843845628913</v>
      </c>
      <c r="CE104" s="62">
        <f t="shared" si="94"/>
        <v>311.82523951987685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24.216225133990719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5.4738413772312488E-9</v>
      </c>
      <c r="CN104" s="24">
        <f t="shared" si="66"/>
        <v>24.216225139464559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58.397039999999905</v>
      </c>
      <c r="D105" s="12">
        <f t="shared" si="86"/>
        <v>16.762353920631963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580.17777763294782</v>
      </c>
      <c r="H105" s="70">
        <f t="shared" si="56"/>
        <v>424.23594441176715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projet'!$B$9,Paramètres!$A$1:$I$89,3,0)*VLOOKUP('Données projet'!$B$9,Paramètres!$A$1:$I$89,5,0)</f>
        <v>-5.3205440053716299E-14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300.81172286376216</v>
      </c>
      <c r="T105" s="62">
        <f t="shared" si="88"/>
        <v>217.90654346456347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279.33945837918748</v>
      </c>
      <c r="AO105" s="62">
        <f t="shared" si="90"/>
        <v>215.78305328671854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3.1780997888822022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1.4913715814789216E-9</v>
      </c>
      <c r="AX105" s="23">
        <f t="shared" si="60"/>
        <v>3.1780997903735737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-2.2737367544323206E-13</v>
      </c>
      <c r="BE105" s="14">
        <f>BD105*VLOOKUP('Données projet'!$B$11,Paramètres!$A$1:$I$89,3,0)*VLOOKUP('Données projet'!$B$11,Paramètres!$A$1:$I$89,5,0)</f>
        <v>-1.2710188457276673E-13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376.38993452481719</v>
      </c>
      <c r="BJ105" s="62">
        <f t="shared" si="92"/>
        <v>470.10036612616727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1.1983139961600642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6.5939786590144085E-11</v>
      </c>
      <c r="BS105" s="24">
        <f t="shared" si="63"/>
        <v>1.1983139962260039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projet'!$B$12,Paramètres!$A$1:$I$89,3,0)*VLOOKUP('Données projet'!$B$12,Paramètres!$A$1:$I$89,5,0)</f>
        <v>0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152.56843845628913</v>
      </c>
      <c r="CE105" s="62">
        <f t="shared" si="94"/>
        <v>311.82523951987685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23.741359729552034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3.8705903569797265E-9</v>
      </c>
      <c r="CN105" s="24">
        <f t="shared" si="66"/>
        <v>23.741359733422623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58.969559999999902</v>
      </c>
      <c r="D106" s="12">
        <f t="shared" si="86"/>
        <v>16.907479366636615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585.71749686526448</v>
      </c>
      <c r="H106" s="70">
        <f t="shared" si="56"/>
        <v>425.48584356355855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projet'!$B$9,Paramètres!$A$1:$I$89,3,0)*VLOOKUP('Données projet'!$B$9,Paramètres!$A$1:$I$89,5,0)</f>
        <v>-5.3205440053716299E-14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300.81172286376216</v>
      </c>
      <c r="T106" s="62">
        <f t="shared" si="88"/>
        <v>217.90654346456347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279.33945837918748</v>
      </c>
      <c r="AO106" s="62">
        <f t="shared" si="90"/>
        <v>215.78305328671854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3.1157791904716876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1.0545589585326511E-9</v>
      </c>
      <c r="AX106" s="23">
        <f t="shared" si="60"/>
        <v>3.1157791915262467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-2.2737367544323206E-13</v>
      </c>
      <c r="BE106" s="14">
        <f>BD106*VLOOKUP('Données projet'!$B$11,Paramètres!$A$1:$I$89,3,0)*VLOOKUP('Données projet'!$B$11,Paramètres!$A$1:$I$89,5,0)</f>
        <v>-1.2710188457276673E-13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376.38993452481719</v>
      </c>
      <c r="BJ106" s="62">
        <f t="shared" si="92"/>
        <v>470.10036612616727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1.1748157895947327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4.6626470247884655E-11</v>
      </c>
      <c r="BS106" s="24">
        <f t="shared" si="63"/>
        <v>1.1748157896413591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projet'!$B$12,Paramètres!$A$1:$I$89,3,0)*VLOOKUP('Données projet'!$B$12,Paramètres!$A$1:$I$89,5,0)</f>
        <v>0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152.56843845628913</v>
      </c>
      <c r="CE106" s="62">
        <f t="shared" si="94"/>
        <v>311.82523951987685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23.275806146055093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2.7369206886156244E-9</v>
      </c>
      <c r="CN106" s="24">
        <f t="shared" si="66"/>
        <v>23.275806148792014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59.542079999999899</v>
      </c>
      <c r="D107" s="12">
        <f t="shared" si="86"/>
        <v>17.052440896710277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591.25595078162257</v>
      </c>
      <c r="H107" s="70">
        <f t="shared" si="56"/>
        <v>426.73545722843687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projet'!$B$9,Paramètres!$A$1:$I$89,3,0)*VLOOKUP('Données projet'!$B$9,Paramètres!$A$1:$I$89,5,0)</f>
        <v>-5.3205440053716299E-14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300.81172286376216</v>
      </c>
      <c r="T107" s="62">
        <f t="shared" si="88"/>
        <v>217.90654346456347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279.33945837918748</v>
      </c>
      <c r="AO107" s="62">
        <f t="shared" si="90"/>
        <v>215.78305328671854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3.0546806609841912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7.456857907394608E-10</v>
      </c>
      <c r="AX107" s="23">
        <f t="shared" si="60"/>
        <v>3.054680661729877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-2.2737367544323206E-13</v>
      </c>
      <c r="BE107" s="14">
        <f>BD107*VLOOKUP('Données projet'!$B$11,Paramètres!$A$1:$I$89,3,0)*VLOOKUP('Données projet'!$B$11,Paramètres!$A$1:$I$89,5,0)</f>
        <v>-1.2710188457276673E-13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376.38993452481719</v>
      </c>
      <c r="BJ107" s="62">
        <f t="shared" si="92"/>
        <v>470.10036612616727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1.1517783685276566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3.2969893295072042E-11</v>
      </c>
      <c r="BS107" s="24">
        <f t="shared" si="63"/>
        <v>1.1517783685606264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projet'!$B$12,Paramètres!$A$1:$I$89,3,0)*VLOOKUP('Données projet'!$B$12,Paramètres!$A$1:$I$89,5,0)</f>
        <v>0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152.56843845628913</v>
      </c>
      <c r="CE107" s="62">
        <f t="shared" si="94"/>
        <v>311.82523951987685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22.819381784370879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1.9352951784898633E-9</v>
      </c>
      <c r="CN107" s="24">
        <f t="shared" si="66"/>
        <v>22.819381786306174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60.114599999999896</v>
      </c>
      <c r="D108" s="12">
        <f t="shared" si="86"/>
        <v>17.197240269497559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596.79315295752428</v>
      </c>
      <c r="H108" s="70">
        <f t="shared" si="56"/>
        <v>427.98478846937473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projet'!$B$9,Paramètres!$A$1:$I$89,3,0)*VLOOKUP('Données projet'!$B$9,Paramètres!$A$1:$I$89,5,0)</f>
        <v>-5.3205440053716299E-14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300.81172286376216</v>
      </c>
      <c r="T108" s="62">
        <f t="shared" si="88"/>
        <v>217.90654346456347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279.33945837918748</v>
      </c>
      <c r="AO108" s="62">
        <f t="shared" si="90"/>
        <v>215.78305328671854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2.9947802363935216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5.2727947926632556E-10</v>
      </c>
      <c r="AX108" s="23">
        <f t="shared" si="60"/>
        <v>2.9947802369208012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-2.2737367544323206E-13</v>
      </c>
      <c r="BE108" s="14">
        <f>BD108*VLOOKUP('Données projet'!$B$11,Paramètres!$A$1:$I$89,3,0)*VLOOKUP('Données projet'!$B$11,Paramètres!$A$1:$I$89,5,0)</f>
        <v>-1.2710188457276673E-13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376.38993452481719</v>
      </c>
      <c r="BJ108" s="62">
        <f t="shared" si="92"/>
        <v>470.10036612616727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1.1291926972362665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2.3313235123942327E-11</v>
      </c>
      <c r="BS108" s="24">
        <f t="shared" si="63"/>
        <v>1.1291926972595796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projet'!$B$12,Paramètres!$A$1:$I$89,3,0)*VLOOKUP('Données projet'!$B$12,Paramètres!$A$1:$I$89,5,0)</f>
        <v>0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152.56843845628913</v>
      </c>
      <c r="CE108" s="62">
        <f t="shared" si="94"/>
        <v>311.82523951987685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22.371907626027923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1.3684603443078122E-9</v>
      </c>
      <c r="CN108" s="24">
        <f t="shared" si="66"/>
        <v>22.371907627396382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60.687119999999894</v>
      </c>
      <c r="D109" s="12">
        <f t="shared" si="86"/>
        <v>17.34187920821353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602.32911669498083</v>
      </c>
      <c r="H109" s="70">
        <f t="shared" si="56"/>
        <v>429.23384028763837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projet'!$B$9,Paramètres!$A$1:$I$89,3,0)*VLOOKUP('Données projet'!$B$9,Paramètres!$A$1:$I$89,5,0)</f>
        <v>-5.3205440053716299E-14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300.81172286376216</v>
      </c>
      <c r="T109" s="62">
        <f t="shared" si="88"/>
        <v>217.90654346456347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279.33945837918748</v>
      </c>
      <c r="AO109" s="62">
        <f t="shared" si="90"/>
        <v>215.78305328671854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2.9360544225934238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3.728428953697304E-10</v>
      </c>
      <c r="AX109" s="23">
        <f t="shared" si="60"/>
        <v>2.9360544229662668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-2.2737367544323206E-13</v>
      </c>
      <c r="BE109" s="14">
        <f>BD109*VLOOKUP('Données projet'!$B$11,Paramètres!$A$1:$I$89,3,0)*VLOOKUP('Données projet'!$B$11,Paramètres!$A$1:$I$89,5,0)</f>
        <v>-1.2710188457276673E-13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376.38993452481719</v>
      </c>
      <c r="BJ109" s="62">
        <f t="shared" si="92"/>
        <v>470.10036612616727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1.1070499171830013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1.6484946647536021E-11</v>
      </c>
      <c r="BS109" s="24">
        <f t="shared" si="63"/>
        <v>1.1070499171994863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projet'!$B$12,Paramètres!$A$1:$I$89,3,0)*VLOOKUP('Données projet'!$B$12,Paramètres!$A$1:$I$89,5,0)</f>
        <v>0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152.56843845628913</v>
      </c>
      <c r="CE109" s="62">
        <f t="shared" si="94"/>
        <v>311.82523951987685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21.933208162997783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9.6764758924493163E-10</v>
      </c>
      <c r="CN109" s="24">
        <f t="shared" si="66"/>
        <v>21.933208163965432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61.259639999999891</v>
      </c>
      <c r="D110" s="12">
        <f t="shared" si="86"/>
        <v>17.486359401684826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607.86385503054873</v>
      </c>
      <c r="H110" s="70">
        <f t="shared" si="56"/>
        <v>430.48261562460084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projet'!$B$9,Paramètres!$A$1:$I$89,3,0)*VLOOKUP('Données projet'!$B$9,Paramètres!$A$1:$I$89,5,0)</f>
        <v>-5.3205440053716299E-14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300.81172286376216</v>
      </c>
      <c r="T110" s="62">
        <f t="shared" si="88"/>
        <v>217.90654346456347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279.33945837918748</v>
      </c>
      <c r="AO110" s="62">
        <f t="shared" si="90"/>
        <v>215.78305328671854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2.878480186182736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2.6363973963316278E-10</v>
      </c>
      <c r="AX110" s="23">
        <f t="shared" si="60"/>
        <v>2.8784801864463758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-2.2737367544323206E-13</v>
      </c>
      <c r="BE110" s="14">
        <f>BD110*VLOOKUP('Données projet'!$B$11,Paramètres!$A$1:$I$89,3,0)*VLOOKUP('Données projet'!$B$11,Paramètres!$A$1:$I$89,5,0)</f>
        <v>-1.2710188457276673E-13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376.38993452481719</v>
      </c>
      <c r="BJ110" s="62">
        <f t="shared" si="92"/>
        <v>470.10036612616727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1.0853413435408183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1.1656617561971164E-11</v>
      </c>
      <c r="BS110" s="24">
        <f t="shared" si="63"/>
        <v>1.085341343552475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projet'!$B$12,Paramètres!$A$1:$I$89,3,0)*VLOOKUP('Données projet'!$B$12,Paramètres!$A$1:$I$89,5,0)</f>
        <v>0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152.56843845628913</v>
      </c>
      <c r="CE110" s="62">
        <f t="shared" si="94"/>
        <v>311.82523951987685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21.503111328857415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6.842301721539061E-10</v>
      </c>
      <c r="CN110" s="24">
        <f t="shared" si="66"/>
        <v>21.503111329541646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61.832159999999888</v>
      </c>
      <c r="D111" s="12">
        <f t="shared" si="86"/>
        <v>17.630682505350798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613.39738074305797</v>
      </c>
      <c r="H111" s="70">
        <f t="shared" si="56"/>
        <v>431.73111736348574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projet'!$B$9,Paramètres!$A$1:$I$89,3,0)*VLOOKUP('Données projet'!$B$9,Paramètres!$A$1:$I$89,5,0)</f>
        <v>-5.3205440053716299E-14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300.81172286376216</v>
      </c>
      <c r="T111" s="62">
        <f t="shared" si="88"/>
        <v>217.90654346456347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279.33945837918748</v>
      </c>
      <c r="AO111" s="62">
        <f t="shared" si="90"/>
        <v>215.78305328671854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2.8220349454312452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1.864214476848652E-10</v>
      </c>
      <c r="AX111" s="23">
        <f t="shared" si="60"/>
        <v>2.8220349456176668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-2.2737367544323206E-13</v>
      </c>
      <c r="BE111" s="14">
        <f>BD111*VLOOKUP('Données projet'!$B$11,Paramètres!$A$1:$I$89,3,0)*VLOOKUP('Données projet'!$B$11,Paramètres!$A$1:$I$89,5,0)</f>
        <v>-1.2710188457276673E-13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376.38993452481719</v>
      </c>
      <c r="BJ111" s="62">
        <f t="shared" si="92"/>
        <v>470.10036612616727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1.0640584617868361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8.2424733237680106E-12</v>
      </c>
      <c r="BS111" s="24">
        <f t="shared" si="63"/>
        <v>1.0640584617950786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projet'!$B$12,Paramètres!$A$1:$I$89,3,0)*VLOOKUP('Données projet'!$B$12,Paramètres!$A$1:$I$89,5,0)</f>
        <v>0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152.56843845628913</v>
      </c>
      <c r="CE111" s="62">
        <f t="shared" si="94"/>
        <v>311.82523951987685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21.081448431301371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4.8382379462246581E-10</v>
      </c>
      <c r="CN111" s="24">
        <f t="shared" si="66"/>
        <v>21.081448431785194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62.404679999999885</v>
      </c>
      <c r="D112" s="12">
        <f t="shared" si="86"/>
        <v>17.774850142226406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618.92970636104508</v>
      </c>
      <c r="H112" s="70">
        <f t="shared" si="56"/>
        <v>432.97934833104409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projet'!$B$9,Paramètres!$A$1:$I$89,3,0)*VLOOKUP('Données projet'!$B$9,Paramètres!$A$1:$I$89,5,0)</f>
        <v>-5.3205440053716299E-14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300.81172286376216</v>
      </c>
      <c r="T112" s="62">
        <f t="shared" si="88"/>
        <v>217.90654346456347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279.33945837918748</v>
      </c>
      <c r="AO112" s="62">
        <f t="shared" si="90"/>
        <v>215.78305328671854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2.7666965614226937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1.3181986981658139E-10</v>
      </c>
      <c r="AX112" s="23">
        <f t="shared" si="60"/>
        <v>2.7666965615545136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-2.2737367544323206E-13</v>
      </c>
      <c r="BE112" s="14">
        <f>BD112*VLOOKUP('Données projet'!$B$11,Paramètres!$A$1:$I$89,3,0)*VLOOKUP('Données projet'!$B$11,Paramètres!$A$1:$I$89,5,0)</f>
        <v>-1.2710188457276673E-13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376.38993452481719</v>
      </c>
      <c r="BJ112" s="62">
        <f t="shared" si="92"/>
        <v>470.10036612616727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1.0431929243627733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5.8283087809855818E-12</v>
      </c>
      <c r="BS112" s="24">
        <f t="shared" si="63"/>
        <v>1.0431929243686016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projet'!$B$12,Paramètres!$A$1:$I$89,3,0)*VLOOKUP('Données projet'!$B$12,Paramètres!$A$1:$I$89,5,0)</f>
        <v>0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152.56843845628913</v>
      </c>
      <c r="CE112" s="62">
        <f t="shared" si="94"/>
        <v>311.82523951987685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20.668054085977431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3.4211508607695305E-10</v>
      </c>
      <c r="CN112" s="24">
        <f t="shared" si="66"/>
        <v>20.668054086319547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62.977199999999883</v>
      </c>
      <c r="D113" s="12">
        <f t="shared" si="86"/>
        <v>17.918863903828793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624.4608441699055</v>
      </c>
      <c r="H113" s="70">
        <f t="shared" si="56"/>
        <v>434.22731129916826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projet'!$B$9,Paramètres!$A$1:$I$89,3,0)*VLOOKUP('Données projet'!$B$9,Paramètres!$A$1:$I$89,5,0)</f>
        <v>-5.3205440053716299E-14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300.81172286376216</v>
      </c>
      <c r="T113" s="62">
        <f t="shared" si="88"/>
        <v>217.90654346456347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279.33945837918748</v>
      </c>
      <c r="AO113" s="62">
        <f t="shared" si="90"/>
        <v>215.78305328671854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2.7124433293714687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9.3210723842432599E-11</v>
      </c>
      <c r="AX113" s="23">
        <f t="shared" si="60"/>
        <v>2.7124433294646795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-2.2737367544323206E-13</v>
      </c>
      <c r="BE113" s="14">
        <f>BD113*VLOOKUP('Données projet'!$B$11,Paramètres!$A$1:$I$89,3,0)*VLOOKUP('Données projet'!$B$11,Paramètres!$A$1:$I$89,5,0)</f>
        <v>-1.2710188457276673E-13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376.38993452481719</v>
      </c>
      <c r="BJ113" s="62">
        <f t="shared" si="92"/>
        <v>470.10036612616727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1.0227365474008754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4.1212366618840053E-12</v>
      </c>
      <c r="BS113" s="24">
        <f t="shared" si="63"/>
        <v>1.0227365474049965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projet'!$B$12,Paramètres!$A$1:$I$89,3,0)*VLOOKUP('Données projet'!$B$12,Paramètres!$A$1:$I$89,5,0)</f>
        <v>0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152.56843845628913</v>
      </c>
      <c r="CE113" s="62">
        <f t="shared" si="94"/>
        <v>311.82523951987685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20.26276615161964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2.4191189731123291E-10</v>
      </c>
      <c r="CN113" s="24">
        <f t="shared" si="66"/>
        <v>20.262766151861552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63.54971999999988</v>
      </c>
      <c r="D114" s="12">
        <f t="shared" si="86"/>
        <v>18.062725351069318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629.99080621877977</v>
      </c>
      <c r="H114" s="70">
        <f t="shared" si="56"/>
        <v>435.47500898644546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projet'!$B$9,Paramètres!$A$1:$I$89,3,0)*VLOOKUP('Données projet'!$B$9,Paramètres!$A$1:$I$89,5,0)</f>
        <v>-5.3205440053716299E-14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300.81172286376216</v>
      </c>
      <c r="T114" s="62">
        <f t="shared" si="88"/>
        <v>217.90654346456347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279.33945837918748</v>
      </c>
      <c r="AO114" s="62">
        <f t="shared" si="90"/>
        <v>215.78305328671854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2.6592539701095639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6.5909934908290695E-11</v>
      </c>
      <c r="AX114" s="23">
        <f t="shared" si="60"/>
        <v>2.6592539701754738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-2.2737367544323206E-13</v>
      </c>
      <c r="BE114" s="14">
        <f>BD114*VLOOKUP('Données projet'!$B$11,Paramètres!$A$1:$I$89,3,0)*VLOOKUP('Données projet'!$B$11,Paramètres!$A$1:$I$89,5,0)</f>
        <v>-1.2710188457276673E-13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376.38993452481719</v>
      </c>
      <c r="BJ114" s="62">
        <f t="shared" si="92"/>
        <v>470.10036612616727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1.0026813075140422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2.9141543904927909E-12</v>
      </c>
      <c r="BS114" s="24">
        <f t="shared" si="63"/>
        <v>1.0026813075169563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projet'!$B$12,Paramètres!$A$1:$I$89,3,0)*VLOOKUP('Données projet'!$B$12,Paramètres!$A$1:$I$89,5,0)</f>
        <v>0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152.56843845628913</v>
      </c>
      <c r="CE114" s="62">
        <f t="shared" si="94"/>
        <v>311.82523951987685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19.865425666453376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1.7105754303847652E-10</v>
      </c>
      <c r="CN114" s="24">
        <f t="shared" si="66"/>
        <v>19.865425666624432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64.122239999999877</v>
      </c>
      <c r="D115" s="12">
        <f t="shared" si="86"/>
        <v>18.206436015112303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635.51960432718181</v>
      </c>
      <c r="H115" s="70">
        <f t="shared" si="56"/>
        <v>436.72244405965364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projet'!$B$9,Paramètres!$A$1:$I$89,3,0)*VLOOKUP('Données projet'!$B$9,Paramètres!$A$1:$I$89,5,0)</f>
        <v>-5.3205440053716299E-14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300.81172286376216</v>
      </c>
      <c r="T115" s="62">
        <f t="shared" si="88"/>
        <v>217.90654346456347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279.33945837918748</v>
      </c>
      <c r="AO115" s="62">
        <f t="shared" si="90"/>
        <v>215.78305328671854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2.6071076217404796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4.66053619212163E-11</v>
      </c>
      <c r="AX115" s="23">
        <f t="shared" si="60"/>
        <v>2.607107621787085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-2.2737367544323206E-13</v>
      </c>
      <c r="BE115" s="14">
        <f>BD115*VLOOKUP('Données projet'!$B$11,Paramètres!$A$1:$I$89,3,0)*VLOOKUP('Données projet'!$B$11,Paramètres!$A$1:$I$89,5,0)</f>
        <v>-1.2710188457276673E-13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376.38993452481719</v>
      </c>
      <c r="BJ115" s="62">
        <f t="shared" si="92"/>
        <v>470.10036612616727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0.98301933864890134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2.0606183309420027E-12</v>
      </c>
      <c r="BS115" s="24">
        <f t="shared" si="63"/>
        <v>0.98301933865096192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projet'!$B$12,Paramètres!$A$1:$I$89,3,0)*VLOOKUP('Données projet'!$B$12,Paramètres!$A$1:$I$89,5,0)</f>
        <v>0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152.56843845628913</v>
      </c>
      <c r="CE115" s="62">
        <f t="shared" si="94"/>
        <v>311.82523951987685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19.475876785847454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1.2095594865561645E-10</v>
      </c>
      <c r="CN115" s="24">
        <f t="shared" si="66"/>
        <v>19.47587678596841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64.694759999999874</v>
      </c>
      <c r="D116" s="12">
        <f t="shared" si="86"/>
        <v>18.349997398202461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641.04725009138645</v>
      </c>
      <c r="H116" s="70">
        <f t="shared" si="56"/>
        <v>437.96961913520238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projet'!$B$9,Paramètres!$A$1:$I$89,3,0)*VLOOKUP('Données projet'!$B$9,Paramètres!$A$1:$I$89,5,0)</f>
        <v>-5.3205440053716299E-14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300.81172286376216</v>
      </c>
      <c r="T116" s="62">
        <f t="shared" si="88"/>
        <v>217.90654346456347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279.33945837918748</v>
      </c>
      <c r="AO116" s="62">
        <f t="shared" si="90"/>
        <v>215.78305328671854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2.5559838314567811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3.2954967454145348E-11</v>
      </c>
      <c r="AX116" s="23">
        <f t="shared" si="60"/>
        <v>2.5559838314897361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-2.2737367544323206E-13</v>
      </c>
      <c r="BE116" s="14">
        <f>BD116*VLOOKUP('Données projet'!$B$11,Paramètres!$A$1:$I$89,3,0)*VLOOKUP('Données projet'!$B$11,Paramètres!$A$1:$I$89,5,0)</f>
        <v>-1.2710188457276673E-13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376.38993452481719</v>
      </c>
      <c r="BJ116" s="62">
        <f t="shared" si="92"/>
        <v>470.10036612616727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0.96374292900058911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1.4570771952463955E-12</v>
      </c>
      <c r="BS116" s="24">
        <f t="shared" si="63"/>
        <v>0.96374292900204617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projet'!$B$12,Paramètres!$A$1:$I$89,3,0)*VLOOKUP('Données projet'!$B$12,Paramètres!$A$1:$I$89,5,0)</f>
        <v>0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152.56843845628913</v>
      </c>
      <c r="CE116" s="62">
        <f t="shared" si="94"/>
        <v>311.82523951987685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19.09396672118886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8.5528771519238262E-11</v>
      </c>
      <c r="CN116" s="24">
        <f t="shared" si="66"/>
        <v>19.093966721274388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65.267279999999872</v>
      </c>
      <c r="D117" s="12">
        <f t="shared" si="86"/>
        <v>18.493410974462066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646.57375489058347</v>
      </c>
      <c r="H117" s="70">
        <f t="shared" si="56"/>
        <v>439.21653678052121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projet'!$B$9,Paramètres!$A$1:$I$89,3,0)*VLOOKUP('Données projet'!$B$9,Paramètres!$A$1:$I$89,5,0)</f>
        <v>-5.3205440053716299E-14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300.81172286376216</v>
      </c>
      <c r="T117" s="62">
        <f t="shared" si="88"/>
        <v>217.90654346456347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279.33945837918748</v>
      </c>
      <c r="AO117" s="62">
        <f t="shared" si="90"/>
        <v>215.78305328671854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2.5058625475181127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2.330268096060815E-11</v>
      </c>
      <c r="AX117" s="23">
        <f t="shared" si="60"/>
        <v>2.5058625475414154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-2.2737367544323206E-13</v>
      </c>
      <c r="BE117" s="14">
        <f>BD117*VLOOKUP('Données projet'!$B$11,Paramètres!$A$1:$I$89,3,0)*VLOOKUP('Données projet'!$B$11,Paramètres!$A$1:$I$89,5,0)</f>
        <v>-1.2710188457276673E-13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376.38993452481719</v>
      </c>
      <c r="BJ117" s="62">
        <f t="shared" si="92"/>
        <v>470.10036612616727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0.94484451798803137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1.0303091654710013E-12</v>
      </c>
      <c r="BS117" s="24">
        <f t="shared" si="63"/>
        <v>0.94484451798906166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projet'!$B$12,Paramètres!$A$1:$I$89,3,0)*VLOOKUP('Données projet'!$B$12,Paramètres!$A$1:$I$89,5,0)</f>
        <v>0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152.56843845628913</v>
      </c>
      <c r="CE117" s="62">
        <f t="shared" si="94"/>
        <v>311.82523951987685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18.719545679956081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6.0477974327808227E-11</v>
      </c>
      <c r="CN117" s="24">
        <f t="shared" si="66"/>
        <v>18.719545680016559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65.839799999999869</v>
      </c>
      <c r="D118" s="12">
        <f t="shared" si="86"/>
        <v>18.636678190659339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652.09912989280792</v>
      </c>
      <c r="H118" s="70">
        <f t="shared" si="56"/>
        <v>440.46319951539806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projet'!$B$9,Paramètres!$A$1:$I$89,3,0)*VLOOKUP('Données projet'!$B$9,Paramètres!$A$1:$I$89,5,0)</f>
        <v>-5.3205440053716299E-14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300.81172286376216</v>
      </c>
      <c r="T118" s="62">
        <f t="shared" si="88"/>
        <v>217.90654346456347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279.33945837918748</v>
      </c>
      <c r="AO118" s="62">
        <f t="shared" si="90"/>
        <v>215.78305328671854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2.4567241113865168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1.6477483727072674E-11</v>
      </c>
      <c r="AX118" s="23">
        <f t="shared" si="60"/>
        <v>2.4567241114029943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-2.2737367544323206E-13</v>
      </c>
      <c r="BE118" s="14">
        <f>BD118*VLOOKUP('Données projet'!$B$11,Paramètres!$A$1:$I$89,3,0)*VLOOKUP('Données projet'!$B$11,Paramètres!$A$1:$I$89,5,0)</f>
        <v>-1.2710188457276673E-13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376.38993452481719</v>
      </c>
      <c r="BJ118" s="62">
        <f t="shared" si="92"/>
        <v>470.10036612616727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0.92631669328853727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7.2853859762319773E-13</v>
      </c>
      <c r="BS118" s="24">
        <f t="shared" si="63"/>
        <v>0.9263166932892658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projet'!$B$12,Paramètres!$A$1:$I$89,3,0)*VLOOKUP('Données projet'!$B$12,Paramètres!$A$1:$I$89,5,0)</f>
        <v>0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152.56843845628913</v>
      </c>
      <c r="CE118" s="62">
        <f t="shared" si="94"/>
        <v>311.82523951987685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18.352466806967595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4.2764385759619131E-11</v>
      </c>
      <c r="CN118" s="24">
        <f t="shared" si="66"/>
        <v>18.352466807010359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66.412319999999866</v>
      </c>
      <c r="D119" s="12">
        <f t="shared" si="86"/>
        <v>18.779800466949432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657.62338606066123</v>
      </c>
      <c r="H119" s="70">
        <f t="shared" si="56"/>
        <v>441.70960981326994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projet'!$B$9,Paramètres!$A$1:$I$89,3,0)*VLOOKUP('Données projet'!$B$9,Paramètres!$A$1:$I$89,5,0)</f>
        <v>-5.3205440053716299E-14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300.81172286376216</v>
      </c>
      <c r="T119" s="62">
        <f t="shared" si="88"/>
        <v>217.90654346456347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279.33945837918748</v>
      </c>
      <c r="AO119" s="62">
        <f t="shared" si="90"/>
        <v>215.78305328671854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2.4085492500159753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1.1651340480304075E-11</v>
      </c>
      <c r="AX119" s="23">
        <f t="shared" si="60"/>
        <v>2.4085492500276264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-2.2737367544323206E-13</v>
      </c>
      <c r="BE119" s="14">
        <f>BD119*VLOOKUP('Données projet'!$B$11,Paramètres!$A$1:$I$89,3,0)*VLOOKUP('Données projet'!$B$11,Paramètres!$A$1:$I$89,5,0)</f>
        <v>-1.2710188457276673E-13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376.38993452481719</v>
      </c>
      <c r="BJ119" s="62">
        <f t="shared" si="92"/>
        <v>470.10036612616727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0.90815218793054309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5.1515458273550066E-13</v>
      </c>
      <c r="BS119" s="24">
        <f t="shared" si="63"/>
        <v>0.90815218793105823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152.56843845628913</v>
      </c>
      <c r="CE119" s="62">
        <f t="shared" si="94"/>
        <v>311.82523951987685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17.992586126782406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3.0238987163904113E-11</v>
      </c>
      <c r="CN119" s="24">
        <f t="shared" si="66"/>
        <v>17.992586126812647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66.984839999999863</v>
      </c>
      <c r="D120" s="12">
        <f t="shared" si="86"/>
        <v>18.922779197589019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663.14653415682653</v>
      </c>
      <c r="H120" s="70">
        <f t="shared" si="56"/>
        <v>442.95577010246728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projet'!$B$9,Paramètres!$A$1:$I$89,3,0)*VLOOKUP('Données projet'!$B$9,Paramètres!$A$1:$I$89,5,0)</f>
        <v>-5.3205440053716299E-14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300.81172286376216</v>
      </c>
      <c r="T120" s="62">
        <f t="shared" si="88"/>
        <v>217.90654346456347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279.33945837918748</v>
      </c>
      <c r="AO120" s="62">
        <f t="shared" si="90"/>
        <v>215.78305328671854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2.3613190682931458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8.2387418635363369E-12</v>
      </c>
      <c r="AX120" s="23">
        <f t="shared" si="60"/>
        <v>2.3613190683013845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-2.2737367544323206E-13</v>
      </c>
      <c r="BE120" s="14">
        <f>BD120*VLOOKUP('Données projet'!$B$11,Paramètres!$A$1:$I$89,3,0)*VLOOKUP('Données projet'!$B$11,Paramètres!$A$1:$I$89,5,0)</f>
        <v>-1.2710188457276673E-13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376.38993452481719</v>
      </c>
      <c r="BJ120" s="62">
        <f t="shared" si="92"/>
        <v>470.10036612616727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0.89034387744336485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3.6426929881159886E-13</v>
      </c>
      <c r="BS120" s="24">
        <f t="shared" si="63"/>
        <v>0.89034387744372911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152.56843845628913</v>
      </c>
      <c r="CE120" s="62">
        <f t="shared" si="94"/>
        <v>311.82523951987685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17.639762487230108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2.1382192879809566E-11</v>
      </c>
      <c r="CN120" s="24">
        <f t="shared" si="66"/>
        <v>17.639762487251492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67.557359999999861</v>
      </c>
      <c r="D121" s="12">
        <f t="shared" si="86"/>
        <v>19.065615751625892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668.66858474939181</v>
      </c>
      <c r="H121" s="70">
        <f t="shared" si="56"/>
        <v>444.20168276741481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projet'!$B$9,Paramètres!$A$1:$I$89,3,0)*VLOOKUP('Données projet'!$B$9,Paramètres!$A$1:$I$89,5,0)</f>
        <v>-5.3205440053716299E-14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300.81172286376216</v>
      </c>
      <c r="T121" s="62">
        <f t="shared" si="88"/>
        <v>217.90654346456347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279.33945837918748</v>
      </c>
      <c r="AO121" s="62">
        <f t="shared" si="90"/>
        <v>215.78305328671854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2.3150150416263346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5.8256702401520375E-12</v>
      </c>
      <c r="AX121" s="23">
        <f t="shared" si="60"/>
        <v>2.3150150416321602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-2.2737367544323206E-13</v>
      </c>
      <c r="BE121" s="14">
        <f>BD121*VLOOKUP('Données projet'!$B$11,Paramètres!$A$1:$I$89,3,0)*VLOOKUP('Données projet'!$B$11,Paramètres!$A$1:$I$89,5,0)</f>
        <v>-1.2710188457276673E-13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376.38993452481719</v>
      </c>
      <c r="BJ121" s="62">
        <f t="shared" si="92"/>
        <v>470.10036612616727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0.8728847770628434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2.5757729136775033E-13</v>
      </c>
      <c r="BS121" s="24">
        <f t="shared" si="63"/>
        <v>0.87288477706310097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152.56843845628913</v>
      </c>
      <c r="CE121" s="62">
        <f t="shared" si="94"/>
        <v>311.82523951987685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17.293857504048262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1.5119493581952057E-11</v>
      </c>
      <c r="CN121" s="24">
        <f t="shared" si="66"/>
        <v>17.293857504063382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68.129879999999858</v>
      </c>
      <c r="D122" s="12">
        <f t="shared" si="86"/>
        <v>19.208311473564368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674.18954821698708</v>
      </c>
      <c r="H122" s="70">
        <f t="shared" si="56"/>
        <v>445.44735014979096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projet'!$B$9,Paramètres!$A$1:$I$89,3,0)*VLOOKUP('Données projet'!$B$9,Paramètres!$A$1:$I$89,5,0)</f>
        <v>-5.3205440053716299E-14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300.81172286376216</v>
      </c>
      <c r="T122" s="62">
        <f t="shared" si="88"/>
        <v>217.90654346456347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279.33945837918748</v>
      </c>
      <c r="AO122" s="62">
        <f t="shared" si="90"/>
        <v>215.78305328671854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2.269619008679792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4.1193709317681685E-12</v>
      </c>
      <c r="AX122" s="23">
        <f t="shared" si="60"/>
        <v>2.2696190086839114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-2.2737367544323206E-13</v>
      </c>
      <c r="BE122" s="14">
        <f>BD122*VLOOKUP('Données projet'!$B$11,Paramètres!$A$1:$I$89,3,0)*VLOOKUP('Données projet'!$B$11,Paramètres!$A$1:$I$89,5,0)</f>
        <v>-1.2710188457276673E-13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376.38993452481719</v>
      </c>
      <c r="BJ122" s="62">
        <f t="shared" si="92"/>
        <v>470.10036612616727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0.85576803899178422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1.8213464940579943E-13</v>
      </c>
      <c r="BS122" s="24">
        <f t="shared" si="63"/>
        <v>0.85576803899196641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152.56843845628913</v>
      </c>
      <c r="CE122" s="62">
        <f t="shared" si="94"/>
        <v>311.82523951987685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16.954735506605402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1.0691096439904783E-11</v>
      </c>
      <c r="CN122" s="24">
        <f t="shared" si="66"/>
        <v>16.954735506616093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68.702399999999855</v>
      </c>
      <c r="D123" s="12">
        <f t="shared" si="86"/>
        <v>19.350867684007806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679.70943475374338</v>
      </c>
      <c r="H123" s="70">
        <f t="shared" si="56"/>
        <v>446.69277454964663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projet'!$B$9,Paramètres!$A$1:$I$89,3,0)*VLOOKUP('Données projet'!$B$9,Paramètres!$A$1:$I$89,5,0)</f>
        <v>-5.3205440053716299E-14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300.81172286376216</v>
      </c>
      <c r="T123" s="62">
        <f t="shared" si="88"/>
        <v>217.90654346456347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279.33945837918748</v>
      </c>
      <c r="AO123" s="62">
        <f t="shared" si="90"/>
        <v>215.78305328671854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2.2251131642504851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2.9128351200760187E-12</v>
      </c>
      <c r="AX123" s="23">
        <f t="shared" si="60"/>
        <v>2.2251131642533979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-2.2737367544323206E-13</v>
      </c>
      <c r="BE123" s="14">
        <f>BD123*VLOOKUP('Données projet'!$B$11,Paramètres!$A$1:$I$89,3,0)*VLOOKUP('Données projet'!$B$11,Paramètres!$A$1:$I$89,5,0)</f>
        <v>-1.2710188457276673E-13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376.38993452481719</v>
      </c>
      <c r="BJ123" s="62">
        <f t="shared" si="92"/>
        <v>470.10036612616727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0.83898694971411913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1.2878864568387517E-13</v>
      </c>
      <c r="BS123" s="24">
        <f t="shared" si="63"/>
        <v>0.83898694971424792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152.56843845628913</v>
      </c>
      <c r="CE123" s="62">
        <f t="shared" si="94"/>
        <v>311.82523951987685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16.622263484688403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7.5597467909760283E-12</v>
      </c>
      <c r="CN123" s="24">
        <f t="shared" si="66"/>
        <v>16.622263484695964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69.274919999999852</v>
      </c>
      <c r="D124" s="12">
        <f t="shared" si="86"/>
        <v>19.493285680278987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685.22825437408221</v>
      </c>
      <c r="H124" s="70">
        <f t="shared" si="56"/>
        <v>447.93795822648565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-5.3205440053716299E-14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300.81172286376216</v>
      </c>
      <c r="T124" s="62">
        <f t="shared" si="88"/>
        <v>217.90654346456347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279.33945837918748</v>
      </c>
      <c r="AO124" s="62">
        <f t="shared" si="90"/>
        <v>215.78305328671854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2.1814800522845523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2.0596854658840842E-12</v>
      </c>
      <c r="AX124" s="23">
        <f t="shared" si="60"/>
        <v>2.181480052286612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-2.2737367544323206E-13</v>
      </c>
      <c r="BE124" s="14">
        <f>BD124*VLOOKUP('Données projet'!$B$11,Paramètres!$A$1:$I$89,3,0)*VLOOKUP('Données projet'!$B$11,Paramètres!$A$1:$I$89,5,0)</f>
        <v>-1.2710188457276673E-13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376.38993452481719</v>
      </c>
      <c r="BJ124" s="62">
        <f t="shared" si="92"/>
        <v>470.10036612616727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0.82253492736173528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9.1067324702899716E-14</v>
      </c>
      <c r="BS124" s="24">
        <f t="shared" si="63"/>
        <v>0.82253492736182632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152.56843845628913</v>
      </c>
      <c r="CE124" s="62">
        <f t="shared" si="94"/>
        <v>311.82523951987685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16.296311036333289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5.3455482199523914E-12</v>
      </c>
      <c r="CN124" s="24">
        <f t="shared" si="66"/>
        <v>16.296311036338636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69.84743999999985</v>
      </c>
      <c r="D125" s="12">
        <f t="shared" si="86"/>
        <v>19.635566737019499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690.74601691734233</v>
      </c>
      <c r="H125" s="70">
        <f t="shared" si="56"/>
        <v>449.18290340030865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-5.3205440053716299E-14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300.81172286376216</v>
      </c>
      <c r="T125" s="62">
        <f t="shared" si="88"/>
        <v>217.90654346456347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279.33945837918748</v>
      </c>
      <c r="AO125" s="62">
        <f t="shared" si="90"/>
        <v>215.78305328671854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2.1387025590307012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1.4564175600380094E-12</v>
      </c>
      <c r="AX125" s="23">
        <f t="shared" si="60"/>
        <v>2.1387025590321578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-2.2737367544323206E-13</v>
      </c>
      <c r="BE125" s="14">
        <f>BD125*VLOOKUP('Données projet'!$B$11,Paramètres!$A$1:$I$89,3,0)*VLOOKUP('Données projet'!$B$11,Paramètres!$A$1:$I$89,5,0)</f>
        <v>-1.2710188457276673E-13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376.38993452481719</v>
      </c>
      <c r="BJ125" s="62">
        <f t="shared" si="92"/>
        <v>470.10036612616727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0.8064055191329389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6.4394322841937583E-14</v>
      </c>
      <c r="BS125" s="24">
        <f t="shared" si="63"/>
        <v>0.80640551913300329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152.56843845628913</v>
      </c>
      <c r="CE125" s="62">
        <f t="shared" si="94"/>
        <v>311.82523951987685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15.976750316679055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3.7798733954880142E-12</v>
      </c>
      <c r="CN125" s="24">
        <f t="shared" si="66"/>
        <v>15.976750316682836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70.419959999999847</v>
      </c>
      <c r="D126" s="12">
        <f t="shared" si="86"/>
        <v>19.77771210676886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696.2627320522497</v>
      </c>
      <c r="H126" s="70">
        <f t="shared" si="56"/>
        <v>450.42761225262211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-5.3205440053716299E-14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300.81172286376216</v>
      </c>
      <c r="T126" s="62">
        <f t="shared" si="88"/>
        <v>217.90654346456347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279.33945837918748</v>
      </c>
      <c r="AO126" s="62">
        <f t="shared" si="90"/>
        <v>215.78305328671854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2.0967639063278636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1.0298427329420421E-12</v>
      </c>
      <c r="AX126" s="23">
        <f t="shared" si="60"/>
        <v>2.0967639063288934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-2.2737367544323206E-13</v>
      </c>
      <c r="BE126" s="14">
        <f>BD126*VLOOKUP('Données projet'!$B$11,Paramètres!$A$1:$I$89,3,0)*VLOOKUP('Données projet'!$B$11,Paramètres!$A$1:$I$89,5,0)</f>
        <v>-1.2710188457276673E-13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376.38993452481719</v>
      </c>
      <c r="BJ126" s="62">
        <f t="shared" si="92"/>
        <v>470.10036612616727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0.79059239876154164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4.5533662351449858E-14</v>
      </c>
      <c r="BS126" s="24">
        <f t="shared" si="63"/>
        <v>0.79059239876158716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152.56843845628913</v>
      </c>
      <c r="CE126" s="62">
        <f t="shared" si="94"/>
        <v>311.82523951987685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15.663455987824447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2.6727741099761957E-12</v>
      </c>
      <c r="CN126" s="24">
        <f t="shared" si="66"/>
        <v>15.66345598782712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70.992479999999844</v>
      </c>
      <c r="D127" s="12">
        <f t="shared" si="86"/>
        <v>19.919723020524202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701.77840928123817</v>
      </c>
      <c r="H127" s="70">
        <f t="shared" si="56"/>
        <v>451.67208692741269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-5.3205440053716299E-14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300.81172286376216</v>
      </c>
      <c r="T127" s="62">
        <f t="shared" si="88"/>
        <v>217.90654346456347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279.33945837918748</v>
      </c>
      <c r="AO127" s="62">
        <f t="shared" si="90"/>
        <v>215.78305328671854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2.0556476450244761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7.2820878001900468E-13</v>
      </c>
      <c r="AX127" s="23">
        <f t="shared" si="60"/>
        <v>2.0556476450252044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-2.2737367544323206E-13</v>
      </c>
      <c r="BE127" s="14">
        <f>BD127*VLOOKUP('Données projet'!$B$11,Paramètres!$A$1:$I$89,3,0)*VLOOKUP('Données projet'!$B$11,Paramètres!$A$1:$I$89,5,0)</f>
        <v>-1.2710188457276673E-13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376.38993452481719</v>
      </c>
      <c r="BJ127" s="62">
        <f t="shared" si="92"/>
        <v>470.10036612616727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0.77508936403557638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3.2197161420968791E-14</v>
      </c>
      <c r="BS127" s="24">
        <f t="shared" si="63"/>
        <v>0.77508936403560857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152.56843845628913</v>
      </c>
      <c r="CE127" s="62">
        <f t="shared" si="94"/>
        <v>311.82523951987685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15.356305169668007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1.8899366977440071E-12</v>
      </c>
      <c r="CN127" s="24">
        <f t="shared" si="66"/>
        <v>15.356305169669897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71.564999999999841</v>
      </c>
      <c r="D128" s="12">
        <f t="shared" si="86"/>
        <v>20.061600688281569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707.29305794462846</v>
      </c>
      <c r="H128" s="70">
        <f t="shared" si="56"/>
        <v>452.91632953209012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-5.3205440053716299E-14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300.81172286376216</v>
      </c>
      <c r="T128" s="62">
        <f t="shared" si="88"/>
        <v>217.90654346456347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279.33945837918748</v>
      </c>
      <c r="AO128" s="62">
        <f t="shared" si="90"/>
        <v>215.78305328671854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2.0153376485268049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5.1492136647102106E-13</v>
      </c>
      <c r="AX128" s="23">
        <f t="shared" si="60"/>
        <v>2.0153376485273196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-2.2737367544323206E-13</v>
      </c>
      <c r="BE128" s="14">
        <f>BD128*VLOOKUP('Données projet'!$B$11,Paramètres!$A$1:$I$89,3,0)*VLOOKUP('Données projet'!$B$11,Paramètres!$A$1:$I$89,5,0)</f>
        <v>-1.2710188457276673E-13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376.38993452481719</v>
      </c>
      <c r="BJ128" s="62">
        <f t="shared" si="92"/>
        <v>470.10036612616727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0.75989033436466979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2.2766831175724929E-14</v>
      </c>
      <c r="BS128" s="24">
        <f t="shared" si="63"/>
        <v>0.75989033436469255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152.56843845628913</v>
      </c>
      <c r="CE128" s="62">
        <f t="shared" si="94"/>
        <v>311.82523951987685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15.055177391712114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1.3363870549880978E-12</v>
      </c>
      <c r="CN128" s="24">
        <f t="shared" si="66"/>
        <v>15.05517739171345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72.137519999999839</v>
      </c>
      <c r="D129" s="12">
        <f t="shared" si="86"/>
        <v>20.20334629955914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712.80668722466589</v>
      </c>
      <c r="H129" s="70">
        <f t="shared" si="56"/>
        <v>454.16034213839851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-5.3205440053716299E-14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300.81172286376216</v>
      </c>
      <c r="T129" s="62">
        <f t="shared" si="88"/>
        <v>217.90654346456347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279.33945837918748</v>
      </c>
      <c r="AO129" s="62">
        <f t="shared" si="90"/>
        <v>215.78305328671854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1.975818106473783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3.6410439000950234E-13</v>
      </c>
      <c r="AX129" s="23">
        <f t="shared" si="60"/>
        <v>1.9758181064741471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-2.2737367544323206E-13</v>
      </c>
      <c r="BE129" s="14">
        <f>BD129*VLOOKUP('Données projet'!$B$11,Paramètres!$A$1:$I$89,3,0)*VLOOKUP('Données projet'!$B$11,Paramètres!$A$1:$I$89,5,0)</f>
        <v>-1.2710188457276673E-13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376.38993452481719</v>
      </c>
      <c r="BJ129" s="62">
        <f t="shared" si="92"/>
        <v>470.10036612616727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0.74498934839511699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1.6098580710484396E-14</v>
      </c>
      <c r="BS129" s="24">
        <f t="shared" si="63"/>
        <v>0.74498934839513309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152.56843845628913</v>
      </c>
      <c r="CE129" s="62">
        <f t="shared" si="94"/>
        <v>311.82523951987685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14.759954545812127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9.4496834887200354E-13</v>
      </c>
      <c r="CN129" s="24">
        <f t="shared" si="66"/>
        <v>14.759954545813072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72.710039999999836</v>
      </c>
      <c r="D130" s="12">
        <f t="shared" si="86"/>
        <v>20.344961023903615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718.3193061494303</v>
      </c>
      <c r="H130" s="70">
        <f t="shared" si="56"/>
        <v>455.40412678329847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-5.3205440053716299E-14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300.81172286376216</v>
      </c>
      <c r="T130" s="62">
        <f t="shared" si="88"/>
        <v>217.90654346456347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279.33945837918748</v>
      </c>
      <c r="AO130" s="62">
        <f t="shared" si="90"/>
        <v>215.78305328671854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1.9370735185358803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2.5746068323551053E-13</v>
      </c>
      <c r="AX130" s="23">
        <f t="shared" si="60"/>
        <v>1.9370735185361379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-2.2737367544323206E-13</v>
      </c>
      <c r="BE130" s="14">
        <f>BD130*VLOOKUP('Données projet'!$B$11,Paramètres!$A$1:$I$89,3,0)*VLOOKUP('Données projet'!$B$11,Paramètres!$A$1:$I$89,5,0)</f>
        <v>-1.2710188457276673E-13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376.38993452481719</v>
      </c>
      <c r="BJ130" s="62">
        <f t="shared" si="92"/>
        <v>470.10036612616727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0.73038056167172316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1.1383415587862465E-14</v>
      </c>
      <c r="BS130" s="24">
        <f t="shared" si="63"/>
        <v>0.7303805616717346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152.56843845628913</v>
      </c>
      <c r="CE130" s="62">
        <f t="shared" si="94"/>
        <v>311.82523951987685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14.470520839852083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6.6819352749404892E-13</v>
      </c>
      <c r="CN130" s="24">
        <f t="shared" si="66"/>
        <v>14.470520839852751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73.282559999999833</v>
      </c>
      <c r="D131" s="12">
        <f t="shared" si="86"/>
        <v>20.486446011380025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723.83092359661657</v>
      </c>
      <c r="H131" s="70">
        <f t="shared" si="56"/>
        <v>456.64768546981986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-5.3205440053716299E-14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300.81172286376216</v>
      </c>
      <c r="T131" s="62">
        <f t="shared" si="88"/>
        <v>217.90654346456347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279.33945837918748</v>
      </c>
      <c r="AO131" s="62">
        <f t="shared" si="90"/>
        <v>215.78305328671854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1.8990886883355746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1.8205219500475117E-13</v>
      </c>
      <c r="AX131" s="23">
        <f t="shared" si="60"/>
        <v>1.8990886883357567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-2.2737367544323206E-13</v>
      </c>
      <c r="BE131" s="14">
        <f>BD131*VLOOKUP('Données projet'!$B$11,Paramètres!$A$1:$I$89,3,0)*VLOOKUP('Données projet'!$B$11,Paramètres!$A$1:$I$89,5,0)</f>
        <v>-1.2710188457276673E-13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376.38993452481719</v>
      </c>
      <c r="BJ131" s="62">
        <f t="shared" si="92"/>
        <v>470.10036612616727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0.71605824434549503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8.0492903552421979E-15</v>
      </c>
      <c r="BS131" s="24">
        <f t="shared" si="63"/>
        <v>0.71605824434550314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152.56843845628913</v>
      </c>
      <c r="CE131" s="62">
        <f t="shared" si="94"/>
        <v>311.82523951987685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14.186762752328788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4.7248417443600177E-13</v>
      </c>
      <c r="CN131" s="24">
        <f t="shared" si="66"/>
        <v>14.18676275232926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73.85507999999983</v>
      </c>
      <c r="D132" s="12">
        <f t="shared" si="86"/>
        <v>20.627802393045865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729.341548297195</v>
      </c>
      <c r="H132" s="70">
        <f t="shared" ref="H132:H195" si="110">(B132+E132+F132)*44/12+(C132+D132)*0.475*44/12</f>
        <v>457.89102016788786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-5.3205440053716299E-14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300.81172286376216</v>
      </c>
      <c r="T132" s="62">
        <f t="shared" si="88"/>
        <v>217.90654346456347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279.33945837918748</v>
      </c>
      <c r="AO132" s="62">
        <f t="shared" si="90"/>
        <v>215.78305328671854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1.8618487174870384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1.2873034161775526E-13</v>
      </c>
      <c r="AX132" s="23">
        <f t="shared" ref="AX132:AX153" si="114">SUM(AU132:AW132)</f>
        <v>1.8618487174871672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-2.2737367544323206E-13</v>
      </c>
      <c r="BE132" s="14">
        <f>BD132*VLOOKUP('Données projet'!$B$11,Paramètres!$A$1:$I$89,3,0)*VLOOKUP('Données projet'!$B$11,Paramètres!$A$1:$I$89,5,0)</f>
        <v>-1.2710188457276673E-13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376.38993452481719</v>
      </c>
      <c r="BJ132" s="62">
        <f t="shared" si="92"/>
        <v>470.10036612616727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0.70201677892628322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5.6917077939312323E-15</v>
      </c>
      <c r="BS132" s="24">
        <f t="shared" ref="BS132:BS153" si="117">SUM(BP132:BR132)</f>
        <v>0.70201677892628889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152.56843845628913</v>
      </c>
      <c r="CE132" s="62">
        <f t="shared" si="94"/>
        <v>311.82523951987685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13.908568987826479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3.3409676374702446E-13</v>
      </c>
      <c r="CN132" s="24">
        <f t="shared" ref="CN132:CN153" si="120">SUM(CK132:CM132)</f>
        <v>13.908568987826813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74.427599999999828</v>
      </c>
      <c r="D133" s="12">
        <f t="shared" ref="D133:D196" si="140">IFERROR(EXP(-1.0587+0.8836*LN(C133)+0.284),0)</f>
        <v>20.769031281410083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734.85118883895382</v>
      </c>
      <c r="H133" s="70">
        <f t="shared" si="110"/>
        <v>459.13413281512226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-5.3205440053716299E-14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300.81172286376216</v>
      </c>
      <c r="T133" s="62">
        <f t="shared" ref="T133:T196" si="142">$T$3</f>
        <v>217.90654346456347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279.33945837918748</v>
      </c>
      <c r="AO133" s="62">
        <f t="shared" ref="AO133:AO196" si="144">$AO$3</f>
        <v>215.78305328671854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1.8253389997527025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9.1026097502375585E-14</v>
      </c>
      <c r="AX133" s="23">
        <f t="shared" si="114"/>
        <v>1.8253389997527936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-2.2737367544323206E-13</v>
      </c>
      <c r="BE133" s="14">
        <f>BD133*VLOOKUP('Données projet'!$B$11,Paramètres!$A$1:$I$89,3,0)*VLOOKUP('Données projet'!$B$11,Paramètres!$A$1:$I$89,5,0)</f>
        <v>-1.2710188457276673E-13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376.38993452481719</v>
      </c>
      <c r="BJ133" s="62">
        <f t="shared" ref="BJ133:BJ196" si="146">$BJ$3</f>
        <v>470.10036612616727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0.68825065807949393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4.0246451776210989E-15</v>
      </c>
      <c r="BS133" s="24">
        <f t="shared" si="117"/>
        <v>0.68825065807949792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152.56843845628913</v>
      </c>
      <c r="CE133" s="62">
        <f t="shared" ref="CE133:CE196" si="148">$CE$3</f>
        <v>311.82523951987685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13.635830433364619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2.3624208721800089E-13</v>
      </c>
      <c r="CN133" s="24">
        <f t="shared" si="120"/>
        <v>13.635830433364855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75.000119999999825</v>
      </c>
      <c r="D134" s="12">
        <f t="shared" si="140"/>
        <v>20.910133770877572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740.35985366993089</v>
      </c>
      <c r="H134" s="70">
        <f t="shared" si="110"/>
        <v>460.37702531761147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-5.3205440053716299E-14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300.81172286376216</v>
      </c>
      <c r="T134" s="62">
        <f t="shared" si="142"/>
        <v>217.90654346456347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279.33945837918748</v>
      </c>
      <c r="AO134" s="62">
        <f t="shared" si="144"/>
        <v>215.78305328671854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1.789545215314408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6.4365170808877632E-14</v>
      </c>
      <c r="AX134" s="23">
        <f t="shared" si="114"/>
        <v>1.7895452153144724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-2.2737367544323206E-13</v>
      </c>
      <c r="BE134" s="14">
        <f>BD134*VLOOKUP('Données projet'!$B$11,Paramètres!$A$1:$I$89,3,0)*VLOOKUP('Données projet'!$B$11,Paramètres!$A$1:$I$89,5,0)</f>
        <v>-1.2710188457276673E-13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376.38993452481719</v>
      </c>
      <c r="BJ134" s="62">
        <f t="shared" si="146"/>
        <v>470.10036612616727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0.67475448246600556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2.8458538969656161E-15</v>
      </c>
      <c r="BS134" s="24">
        <f t="shared" si="117"/>
        <v>0.67475448246600844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152.56843845628913</v>
      </c>
      <c r="CE134" s="62">
        <f t="shared" si="148"/>
        <v>311.82523951987685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13.368440115601665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1.6704838187351223E-13</v>
      </c>
      <c r="CN134" s="24">
        <f t="shared" si="120"/>
        <v>13.368440115601832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75.572639999999822</v>
      </c>
      <c r="D135" s="12">
        <f t="shared" si="140"/>
        <v>21.051110938179633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745.86755110173624</v>
      </c>
      <c r="H135" s="70">
        <f t="shared" si="110"/>
        <v>461.61969955066252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-5.3205440053716299E-14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300.81172286376216</v>
      </c>
      <c r="T135" s="62">
        <f t="shared" si="142"/>
        <v>217.90654346456347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279.33945837918748</v>
      </c>
      <c r="AO135" s="62">
        <f t="shared" si="144"/>
        <v>215.78305328671854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1.7544533251568957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4.5513048751187793E-14</v>
      </c>
      <c r="AX135" s="23">
        <f t="shared" si="114"/>
        <v>1.7544533251569412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-2.2737367544323206E-13</v>
      </c>
      <c r="BE135" s="14">
        <f>BD135*VLOOKUP('Données projet'!$B$11,Paramètres!$A$1:$I$89,3,0)*VLOOKUP('Données projet'!$B$11,Paramètres!$A$1:$I$89,5,0)</f>
        <v>-1.2710188457276673E-13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376.38993452481719</v>
      </c>
      <c r="BJ135" s="62">
        <f t="shared" si="146"/>
        <v>470.10036612616727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0.66152295862444332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2.0123225888105495E-15</v>
      </c>
      <c r="BS135" s="24">
        <f t="shared" si="117"/>
        <v>0.66152295862444532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152.56843845628913</v>
      </c>
      <c r="CE135" s="62">
        <f t="shared" si="148"/>
        <v>311.82523951987685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13.106293158878051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1.1812104360900044E-13</v>
      </c>
      <c r="CN135" s="24">
        <f t="shared" si="120"/>
        <v>13.106293158878168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76.145159999999819</v>
      </c>
      <c r="D136" s="12">
        <f t="shared" si="140"/>
        <v>21.19196384279115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751.37428931277248</v>
      </c>
      <c r="H136" s="70">
        <f t="shared" si="110"/>
        <v>462.8621573595276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-5.3205440053716299E-14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300.81172286376216</v>
      </c>
      <c r="T136" s="62">
        <f t="shared" si="142"/>
        <v>217.90654346456347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279.33945837918748</v>
      </c>
      <c r="AO136" s="62">
        <f t="shared" si="144"/>
        <v>215.78305328671854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1.7200495655614325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3.2182585404438816E-14</v>
      </c>
      <c r="AX136" s="23">
        <f t="shared" si="114"/>
        <v>1.7200495655614647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-2.2737367544323206E-13</v>
      </c>
      <c r="BE136" s="14">
        <f>BD136*VLOOKUP('Données projet'!$B$11,Paramètres!$A$1:$I$89,3,0)*VLOOKUP('Données projet'!$B$11,Paramètres!$A$1:$I$89,5,0)</f>
        <v>-1.2710188457276673E-13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376.38993452481719</v>
      </c>
      <c r="BJ136" s="62">
        <f t="shared" si="146"/>
        <v>470.10036612616727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0.64855089689498147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1.4229269484828081E-15</v>
      </c>
      <c r="BS136" s="24">
        <f t="shared" si="117"/>
        <v>0.64855089689498291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152.56843845628913</v>
      </c>
      <c r="CE136" s="62">
        <f t="shared" si="148"/>
        <v>311.82523951987685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12.849286744081933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8.3524190936756116E-14</v>
      </c>
      <c r="CN136" s="24">
        <f t="shared" si="120"/>
        <v>12.849286744082017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76.717679999999817</v>
      </c>
      <c r="D137" s="12">
        <f t="shared" si="140"/>
        <v>21.332693527334662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756.88007635135375</v>
      </c>
      <c r="H137" s="70">
        <f t="shared" si="110"/>
        <v>464.10440056010754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-5.3205440053716299E-14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300.81172286376216</v>
      </c>
      <c r="T137" s="62">
        <f t="shared" si="142"/>
        <v>217.90654346456347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279.33945837918748</v>
      </c>
      <c r="AO137" s="62">
        <f t="shared" si="144"/>
        <v>215.78305328671854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1.6863204427074152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2.2756524375593896E-14</v>
      </c>
      <c r="AX137" s="23">
        <f t="shared" si="114"/>
        <v>1.6863204427074379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-2.2737367544323206E-13</v>
      </c>
      <c r="BE137" s="14">
        <f>BD137*VLOOKUP('Données projet'!$B$11,Paramètres!$A$1:$I$89,3,0)*VLOOKUP('Données projet'!$B$11,Paramètres!$A$1:$I$89,5,0)</f>
        <v>-1.2710188457276673E-13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376.38993452481719</v>
      </c>
      <c r="BJ137" s="62">
        <f t="shared" si="146"/>
        <v>470.10036612616727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0.63583320938385801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1.0061612944052747E-15</v>
      </c>
      <c r="BS137" s="24">
        <f t="shared" si="117"/>
        <v>0.63583320938385901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152.56843845628913</v>
      </c>
      <c r="CE137" s="62">
        <f t="shared" si="148"/>
        <v>311.82523951987685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12.597320068321531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5.9060521804500221E-14</v>
      </c>
      <c r="CN137" s="24">
        <f t="shared" si="120"/>
        <v>12.59732006832159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77.290199999999814</v>
      </c>
      <c r="D138" s="12">
        <f t="shared" si="140"/>
        <v>21.473301017972254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762.38492013873167</v>
      </c>
      <c r="H138" s="70">
        <f t="shared" si="110"/>
        <v>465.34643093963462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-5.3205440053716299E-14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300.81172286376216</v>
      </c>
      <c r="T138" s="62">
        <f t="shared" si="142"/>
        <v>217.90654346456347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279.33945837918748</v>
      </c>
      <c r="AO138" s="62">
        <f t="shared" si="144"/>
        <v>215.78305328671854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1.6532527273798316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1.6091292702219408E-14</v>
      </c>
      <c r="AX138" s="23">
        <f t="shared" si="114"/>
        <v>1.6532527273798476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-2.2737367544323206E-13</v>
      </c>
      <c r="BE138" s="14">
        <f>BD138*VLOOKUP('Données projet'!$B$11,Paramètres!$A$1:$I$89,3,0)*VLOOKUP('Données projet'!$B$11,Paramètres!$A$1:$I$89,5,0)</f>
        <v>-1.2710188457276673E-13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376.38993452481719</v>
      </c>
      <c r="BJ138" s="62">
        <f t="shared" si="146"/>
        <v>470.10036612616727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0.62336490796780419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7.1146347424140403E-16</v>
      </c>
      <c r="BS138" s="24">
        <f t="shared" si="117"/>
        <v>0.62336490796780486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152.56843845628913</v>
      </c>
      <c r="CE138" s="62">
        <f t="shared" si="148"/>
        <v>311.82523951987685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12.350294305388294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4.1762095468378058E-14</v>
      </c>
      <c r="CN138" s="24">
        <f t="shared" si="120"/>
        <v>12.350294305388337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77.862719999999811</v>
      </c>
      <c r="D139" s="12">
        <f t="shared" si="140"/>
        <v>21.613787324785267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767.88882847202512</v>
      </c>
      <c r="H139" s="70">
        <f t="shared" si="110"/>
        <v>466.58825025733398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-5.3205440053716299E-14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300.81172286376216</v>
      </c>
      <c r="T139" s="62">
        <f t="shared" si="142"/>
        <v>217.90654346456347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279.33945837918748</v>
      </c>
      <c r="AO139" s="62">
        <f t="shared" si="144"/>
        <v>215.78305328671854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1.620833449780507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1.1378262187796948E-14</v>
      </c>
      <c r="AX139" s="23">
        <f t="shared" si="114"/>
        <v>1.6208334497805184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-2.2737367544323206E-13</v>
      </c>
      <c r="BE139" s="14">
        <f>BD139*VLOOKUP('Données projet'!$B$11,Paramètres!$A$1:$I$89,3,0)*VLOOKUP('Données projet'!$B$11,Paramètres!$A$1:$I$89,5,0)</f>
        <v>-1.2710188457276673E-13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376.38993452481719</v>
      </c>
      <c r="BJ139" s="62">
        <f t="shared" si="146"/>
        <v>470.10036612616727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0.61114110233760632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5.0308064720263737E-16</v>
      </c>
      <c r="BS139" s="24">
        <f t="shared" si="117"/>
        <v>0.61114110233760688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152.56843845628913</v>
      </c>
      <c r="CE139" s="62">
        <f t="shared" si="148"/>
        <v>311.82523951987685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12.10811256699534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2.9530260902250111E-14</v>
      </c>
      <c r="CN139" s="24">
        <f t="shared" si="120"/>
        <v>12.10811256699537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78.435239999999808</v>
      </c>
      <c r="D140" s="12">
        <f t="shared" si="140"/>
        <v>21.754153442142727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773.39180902706528</v>
      </c>
      <c r="H140" s="70">
        <f t="shared" si="110"/>
        <v>467.82986024506488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-5.3205440053716299E-14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300.81172286376216</v>
      </c>
      <c r="T140" s="62">
        <f t="shared" si="142"/>
        <v>217.90654346456347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279.33945837918748</v>
      </c>
      <c r="AO140" s="62">
        <f t="shared" si="144"/>
        <v>215.78305328671854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1.5890498944410985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8.045646351109704E-15</v>
      </c>
      <c r="AX140" s="23">
        <f t="shared" si="114"/>
        <v>1.5890498944411064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-2.2737367544323206E-13</v>
      </c>
      <c r="BE140" s="14">
        <f>BD140*VLOOKUP('Données projet'!$B$11,Paramètres!$A$1:$I$89,3,0)*VLOOKUP('Données projet'!$B$11,Paramètres!$A$1:$I$89,5,0)</f>
        <v>-1.2710188457276673E-13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376.38993452481719</v>
      </c>
      <c r="BJ140" s="62">
        <f t="shared" si="146"/>
        <v>470.10036612616727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0.59915699808003142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3.5573173712070202E-16</v>
      </c>
      <c r="BS140" s="24">
        <f t="shared" si="117"/>
        <v>0.59915699808003176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152.56843845628913</v>
      </c>
      <c r="CE140" s="62">
        <f t="shared" si="148"/>
        <v>311.82523951987685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11.870679864775997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2.0881047734189029E-14</v>
      </c>
      <c r="CN140" s="24">
        <f t="shared" si="120"/>
        <v>11.870679864776019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79.007759999999806</v>
      </c>
      <c r="D141" s="12">
        <f t="shared" si="140"/>
        <v>21.894400349058607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778.89386936115272</v>
      </c>
      <c r="H141" s="70">
        <f t="shared" si="110"/>
        <v>469.07126260794337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-5.3205440053716299E-14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300.81172286376216</v>
      </c>
      <c r="T141" s="62">
        <f t="shared" si="142"/>
        <v>217.90654346456347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279.33945837918748</v>
      </c>
      <c r="AO141" s="62">
        <f t="shared" si="144"/>
        <v>215.78305328671854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1.5578895952358411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5.6891310938984741E-15</v>
      </c>
      <c r="AX141" s="23">
        <f t="shared" si="114"/>
        <v>1.5578895952358469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-2.2737367544323206E-13</v>
      </c>
      <c r="BE141" s="14">
        <f>BD141*VLOOKUP('Données projet'!$B$11,Paramètres!$A$1:$I$89,3,0)*VLOOKUP('Données projet'!$B$11,Paramètres!$A$1:$I$89,5,0)</f>
        <v>-1.2710188457276673E-13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376.38993452481719</v>
      </c>
      <c r="BJ141" s="62">
        <f t="shared" si="146"/>
        <v>470.10036612616727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0.58740789479736566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2.5154032360131868E-16</v>
      </c>
      <c r="BS141" s="24">
        <f t="shared" si="117"/>
        <v>0.58740789479736588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152.56843845628913</v>
      </c>
      <c r="CE141" s="62">
        <f t="shared" si="148"/>
        <v>311.82523951987685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11.637903073027527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1.4765130451125055E-14</v>
      </c>
      <c r="CN141" s="24">
        <f t="shared" si="120"/>
        <v>11.637903073027541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79.580279999999803</v>
      </c>
      <c r="D142" s="12">
        <f t="shared" si="140"/>
        <v>22.034529009538403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784.39501691573344</v>
      </c>
      <c r="H142" s="70">
        <f t="shared" si="110"/>
        <v>470.31245902494572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-5.3205440053716299E-14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300.81172286376216</v>
      </c>
      <c r="T142" s="62">
        <f t="shared" si="142"/>
        <v>217.90654346456347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279.33945837918748</v>
      </c>
      <c r="AO142" s="62">
        <f t="shared" si="144"/>
        <v>215.78305328671854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1.5273403304920932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4.022823175554852E-15</v>
      </c>
      <c r="AX142" s="23">
        <f t="shared" si="114"/>
        <v>1.5273403304920972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-2.2737367544323206E-13</v>
      </c>
      <c r="BE142" s="14">
        <f>BD142*VLOOKUP('Données projet'!$B$11,Paramètres!$A$1:$I$89,3,0)*VLOOKUP('Données projet'!$B$11,Paramètres!$A$1:$I$89,5,0)</f>
        <v>-1.2710188457276673E-13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376.38993452481719</v>
      </c>
      <c r="BJ142" s="62">
        <f t="shared" si="146"/>
        <v>470.10036612616727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0.57588918426382762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1.7786586856035101E-16</v>
      </c>
      <c r="BS142" s="24">
        <f t="shared" si="117"/>
        <v>0.57588918426382785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152.56843845628913</v>
      </c>
      <c r="CE142" s="62">
        <f t="shared" si="148"/>
        <v>311.82523951987685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11.40969089218542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1.0440523867094514E-14</v>
      </c>
      <c r="CN142" s="24">
        <f t="shared" si="120"/>
        <v>11.409690892185431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80.1527999999998</v>
      </c>
      <c r="D143" s="12">
        <f t="shared" si="140"/>
        <v>22.174540372915562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789.89525901899572</v>
      </c>
      <c r="H143" s="70">
        <f t="shared" si="110"/>
        <v>471.55345114949421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-5.3205440053716299E-14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300.81172286376216</v>
      </c>
      <c r="T143" s="62">
        <f t="shared" si="142"/>
        <v>217.90654346456347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279.33945837918748</v>
      </c>
      <c r="AO143" s="62">
        <f t="shared" si="144"/>
        <v>215.78305328671854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1.4973901181967584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2.844565546949237E-15</v>
      </c>
      <c r="AX143" s="23">
        <f t="shared" si="114"/>
        <v>1.4973901181967613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-2.2737367544323206E-13</v>
      </c>
      <c r="BE143" s="14">
        <f>BD143*VLOOKUP('Données projet'!$B$11,Paramètres!$A$1:$I$89,3,0)*VLOOKUP('Données projet'!$B$11,Paramètres!$A$1:$I$89,5,0)</f>
        <v>-1.2710188457276673E-13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376.38993452481719</v>
      </c>
      <c r="BJ143" s="62">
        <f t="shared" si="146"/>
        <v>470.10036612616727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0.56459634861813257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1.2577016180065934E-16</v>
      </c>
      <c r="BS143" s="24">
        <f t="shared" si="117"/>
        <v>0.56459634861813268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152.56843845628913</v>
      </c>
      <c r="CE143" s="62">
        <f t="shared" si="148"/>
        <v>311.82523951987685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11.185953813013942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7.3825652255625277E-15</v>
      </c>
      <c r="CN143" s="24">
        <f t="shared" si="120"/>
        <v>11.185953813013949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80.725319999999797</v>
      </c>
      <c r="D144" s="12">
        <f t="shared" si="140"/>
        <v>22.314435374177922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795.39460288838939</v>
      </c>
      <c r="H144" s="70">
        <f t="shared" si="110"/>
        <v>472.79424061002612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-5.3205440053716299E-14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300.81172286376216</v>
      </c>
      <c r="T144" s="62">
        <f t="shared" si="142"/>
        <v>217.90654346456347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279.33945837918748</v>
      </c>
      <c r="AO144" s="62">
        <f t="shared" si="144"/>
        <v>215.78305328671854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1.4680272112967094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2.011411587777426E-15</v>
      </c>
      <c r="AX144" s="23">
        <f t="shared" si="114"/>
        <v>1.4680272112967114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-2.2737367544323206E-13</v>
      </c>
      <c r="BE144" s="14">
        <f>BD144*VLOOKUP('Données projet'!$B$11,Paramètres!$A$1:$I$89,3,0)*VLOOKUP('Données projet'!$B$11,Paramètres!$A$1:$I$89,5,0)</f>
        <v>-1.2710188457276673E-13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376.38993452481719</v>
      </c>
      <c r="BJ144" s="62">
        <f t="shared" si="146"/>
        <v>470.10036612616727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0.55352495859149997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8.8932934280175504E-17</v>
      </c>
      <c r="BS144" s="24">
        <f t="shared" si="117"/>
        <v>0.55352495859150008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152.56843845628913</v>
      </c>
      <c r="CE144" s="62">
        <f t="shared" si="148"/>
        <v>311.82523951987685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10.966604081498874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5.2202619335472572E-15</v>
      </c>
      <c r="CN144" s="24">
        <f t="shared" si="120"/>
        <v>10.966604081498879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81.297839999999795</v>
      </c>
      <c r="D145" s="12">
        <f t="shared" si="140"/>
        <v>22.454214934284618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800.89305563307278</v>
      </c>
      <c r="H145" s="70">
        <f t="shared" si="110"/>
        <v>474.03482901054531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-5.3205440053716299E-14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300.81172286376216</v>
      </c>
      <c r="T145" s="62">
        <f t="shared" si="142"/>
        <v>217.90654346456347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279.33945837918748</v>
      </c>
      <c r="AO145" s="62">
        <f t="shared" si="144"/>
        <v>215.78305328671854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1.4392400930913656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1.4222827734746185E-15</v>
      </c>
      <c r="AX145" s="23">
        <f t="shared" si="114"/>
        <v>1.4392400930913669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-2.2737367544323206E-13</v>
      </c>
      <c r="BE145" s="14">
        <f>BD145*VLOOKUP('Données projet'!$B$11,Paramètres!$A$1:$I$89,3,0)*VLOOKUP('Données projet'!$B$11,Paramètres!$A$1:$I$89,5,0)</f>
        <v>-1.2710188457276673E-13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376.38993452481719</v>
      </c>
      <c r="BJ145" s="62">
        <f t="shared" si="146"/>
        <v>470.10036612616727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0.54267067177040851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6.2885080900329671E-17</v>
      </c>
      <c r="BS145" s="24">
        <f t="shared" si="117"/>
        <v>0.54267067177040862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152.56843845628913</v>
      </c>
      <c r="CE145" s="62">
        <f t="shared" si="148"/>
        <v>311.82523951987685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10.75155566442869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3.6912826127812638E-15</v>
      </c>
      <c r="CN145" s="24">
        <f t="shared" si="120"/>
        <v>10.751555664428693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81.870359999999792</v>
      </c>
      <c r="D146" s="12">
        <f t="shared" si="140"/>
        <v>22.593879960473949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806.39062425628856</v>
      </c>
      <c r="H146" s="70">
        <f t="shared" si="110"/>
        <v>475.27521793115841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-5.3205440053716299E-14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300.81172286376216</v>
      </c>
      <c r="T146" s="62">
        <f t="shared" si="142"/>
        <v>217.90654346456347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279.33945837918748</v>
      </c>
      <c r="AO146" s="62">
        <f t="shared" si="144"/>
        <v>215.78305328671854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1.4110174727156202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1.005705793888713E-15</v>
      </c>
      <c r="AX146" s="23">
        <f t="shared" si="114"/>
        <v>1.4110174727156213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-2.2737367544323206E-13</v>
      </c>
      <c r="BE146" s="14">
        <f>BD146*VLOOKUP('Données projet'!$B$11,Paramètres!$A$1:$I$89,3,0)*VLOOKUP('Données projet'!$B$11,Paramètres!$A$1:$I$89,5,0)</f>
        <v>-1.2710188457276673E-13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376.38993452481719</v>
      </c>
      <c r="BJ146" s="62">
        <f t="shared" si="146"/>
        <v>470.10036612616727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0.53202923089341736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4.4466467140087752E-17</v>
      </c>
      <c r="BS146" s="24">
        <f t="shared" si="117"/>
        <v>0.53202923089341736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152.56843845628913</v>
      </c>
      <c r="CE146" s="62">
        <f t="shared" si="148"/>
        <v>311.82523951987685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10.54072421565067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2.6101309667736286E-15</v>
      </c>
      <c r="CN146" s="24">
        <f t="shared" si="120"/>
        <v>10.540724215650672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82.442879999999789</v>
      </c>
      <c r="D147" s="12">
        <f t="shared" si="140"/>
        <v>22.733431346562206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811.88731565767148</v>
      </c>
      <c r="H147" s="70">
        <f t="shared" si="110"/>
        <v>476.51540892859543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-5.3205440053716299E-14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300.81172286376216</v>
      </c>
      <c r="T147" s="62">
        <f t="shared" si="142"/>
        <v>217.90654346456347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279.33945837918748</v>
      </c>
      <c r="AO147" s="62">
        <f t="shared" si="144"/>
        <v>215.78305328671854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1.3833482807113444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7.1114138673730926E-16</v>
      </c>
      <c r="AX147" s="23">
        <f t="shared" si="114"/>
        <v>1.3833482807113451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-2.2737367544323206E-13</v>
      </c>
      <c r="BE147" s="14">
        <f>BD147*VLOOKUP('Données projet'!$B$11,Paramètres!$A$1:$I$89,3,0)*VLOOKUP('Données projet'!$B$11,Paramètres!$A$1:$I$89,5,0)</f>
        <v>-1.2710188457276673E-13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376.38993452481719</v>
      </c>
      <c r="BJ147" s="62">
        <f t="shared" si="146"/>
        <v>470.10036612616727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0.521596462181386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3.1442540450164835E-17</v>
      </c>
      <c r="BS147" s="24">
        <f t="shared" si="117"/>
        <v>0.521596462181386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152.56843845628913</v>
      </c>
      <c r="CE147" s="62">
        <f t="shared" si="148"/>
        <v>311.82523951987685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10.3340270429887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1.8456413063906319E-15</v>
      </c>
      <c r="CN147" s="24">
        <f t="shared" si="120"/>
        <v>10.334027042988701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83.015399999999786</v>
      </c>
      <c r="D148" s="12">
        <f t="shared" si="140"/>
        <v>22.872869973234028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817.38313663548922</v>
      </c>
      <c r="H148" s="70">
        <f t="shared" si="110"/>
        <v>477.75540353671556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-5.3205440053716299E-14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300.81172286376216</v>
      </c>
      <c r="T148" s="62">
        <f t="shared" si="142"/>
        <v>217.90654346456347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279.33945837918748</v>
      </c>
      <c r="AO148" s="62">
        <f t="shared" si="144"/>
        <v>215.78305328671854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1.3562216646857319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5.028528969443565E-16</v>
      </c>
      <c r="AX148" s="23">
        <f t="shared" si="114"/>
        <v>1.3562216646857324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-2.2737367544323206E-13</v>
      </c>
      <c r="BE148" s="14">
        <f>BD148*VLOOKUP('Données projet'!$B$11,Paramètres!$A$1:$I$89,3,0)*VLOOKUP('Données projet'!$B$11,Paramètres!$A$1:$I$89,5,0)</f>
        <v>-1.2710188457276673E-13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376.38993452481719</v>
      </c>
      <c r="BJ148" s="62">
        <f t="shared" si="146"/>
        <v>470.10036612616727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0.51136827370043703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2.2233233570043876E-17</v>
      </c>
      <c r="BS148" s="24">
        <f t="shared" si="117"/>
        <v>0.51136827370043703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152.56843845628913</v>
      </c>
      <c r="CE148" s="62">
        <f t="shared" si="148"/>
        <v>311.82523951987685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10.131383075809804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1.3050654833868143E-15</v>
      </c>
      <c r="CN148" s="24">
        <f t="shared" si="120"/>
        <v>10.131383075809806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83.587919999999784</v>
      </c>
      <c r="D149" s="12">
        <f t="shared" si="140"/>
        <v>23.012196708324609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822.87809388881988</v>
      </c>
      <c r="H149" s="70">
        <f t="shared" si="110"/>
        <v>478.99520326699826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-5.3205440053716299E-14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300.81172286376216</v>
      </c>
      <c r="T149" s="62">
        <f t="shared" si="142"/>
        <v>217.90654346456347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279.33945837918748</v>
      </c>
      <c r="AO149" s="62">
        <f t="shared" si="144"/>
        <v>215.78305328671854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1.3296269850547797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3.5557069336865463E-16</v>
      </c>
      <c r="AX149" s="23">
        <f t="shared" si="114"/>
        <v>1.3296269850547802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-2.2737367544323206E-13</v>
      </c>
      <c r="BE149" s="14">
        <f>BD149*VLOOKUP('Données projet'!$B$11,Paramètres!$A$1:$I$89,3,0)*VLOOKUP('Données projet'!$B$11,Paramètres!$A$1:$I$89,5,0)</f>
        <v>-1.2710188457276673E-13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376.38993452481719</v>
      </c>
      <c r="BJ149" s="62">
        <f t="shared" si="146"/>
        <v>470.10036612616727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0.50134065375702042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1.5721270225082418E-17</v>
      </c>
      <c r="BS149" s="24">
        <f t="shared" si="117"/>
        <v>0.50134065375702042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152.56843845628913</v>
      </c>
      <c r="CE149" s="62">
        <f t="shared" si="148"/>
        <v>311.82523951987685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9.9327128332266721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9.2282065319531596E-16</v>
      </c>
      <c r="CN149" s="24">
        <f t="shared" si="120"/>
        <v>9.9327128332266739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84.160439999999781</v>
      </c>
      <c r="D150" s="12">
        <f t="shared" si="140"/>
        <v>23.15141240709379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828.37219401966968</v>
      </c>
      <c r="H150" s="70">
        <f t="shared" si="110"/>
        <v>480.23480960902123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-5.3205440053716299E-14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300.81172286376216</v>
      </c>
      <c r="T150" s="62">
        <f t="shared" si="142"/>
        <v>217.90654346456347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279.33945837918748</v>
      </c>
      <c r="AO150" s="62">
        <f t="shared" si="144"/>
        <v>215.78305328671854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1.3035538108702376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2.5142644847217825E-16</v>
      </c>
      <c r="AX150" s="23">
        <f t="shared" si="114"/>
        <v>1.3035538108702378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-2.2737367544323206E-13</v>
      </c>
      <c r="BE150" s="14">
        <f>BD150*VLOOKUP('Données projet'!$B$11,Paramètres!$A$1:$I$89,3,0)*VLOOKUP('Données projet'!$B$11,Paramètres!$A$1:$I$89,5,0)</f>
        <v>-1.2710188457276673E-13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376.38993452481719</v>
      </c>
      <c r="BJ150" s="62">
        <f t="shared" si="146"/>
        <v>470.10036612616727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0.49150966932445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1.1116616785021938E-17</v>
      </c>
      <c r="BS150" s="24">
        <f t="shared" si="117"/>
        <v>0.49150966932445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152.56843845628913</v>
      </c>
      <c r="CE150" s="62">
        <f t="shared" si="148"/>
        <v>311.82523951987685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9.7379383929237129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6.5253274169340715E-16</v>
      </c>
      <c r="CN150" s="24">
        <f t="shared" si="120"/>
        <v>9.7379383929237129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84.732959999999778</v>
      </c>
      <c r="D151" s="12">
        <f t="shared" si="140"/>
        <v>23.290517912492593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833.86544353502893</v>
      </c>
      <c r="H151" s="70">
        <f t="shared" si="110"/>
        <v>481.47422403092418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-5.3205440053716299E-14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300.81172286376216</v>
      </c>
      <c r="T151" s="62">
        <f t="shared" si="142"/>
        <v>217.90654346456347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279.33945837918748</v>
      </c>
      <c r="AO151" s="62">
        <f t="shared" si="144"/>
        <v>215.78305328671854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1.2779919157283883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1.7778534668432732E-16</v>
      </c>
      <c r="AX151" s="23">
        <f t="shared" si="114"/>
        <v>1.2779919157283886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-2.2737367544323206E-13</v>
      </c>
      <c r="BE151" s="14">
        <f>BD151*VLOOKUP('Données projet'!$B$11,Paramètres!$A$1:$I$89,3,0)*VLOOKUP('Données projet'!$B$11,Paramètres!$A$1:$I$89,5,0)</f>
        <v>-1.2710188457276673E-13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376.38993452481719</v>
      </c>
      <c r="BJ151" s="62">
        <f t="shared" si="146"/>
        <v>470.10036612616727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0.48187146450029389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7.8606351125412089E-18</v>
      </c>
      <c r="BS151" s="24">
        <f t="shared" si="117"/>
        <v>0.48187146450029389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152.56843845628913</v>
      </c>
      <c r="CE151" s="62">
        <f t="shared" si="148"/>
        <v>311.82523951987685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9.5469833605944157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4.6141032659765798E-16</v>
      </c>
      <c r="CN151" s="24">
        <f t="shared" si="120"/>
        <v>9.5469833605944157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85.305479999999775</v>
      </c>
      <c r="D152" s="12">
        <f t="shared" si="140"/>
        <v>23.429514055422338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839.35784884887244</v>
      </c>
      <c r="H152" s="70">
        <f t="shared" si="110"/>
        <v>482.71344797986012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-5.3205440053716299E-14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300.81172286376216</v>
      </c>
      <c r="T152" s="62">
        <f t="shared" si="142"/>
        <v>217.90654346456347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279.33945837918748</v>
      </c>
      <c r="AO152" s="62">
        <f t="shared" si="144"/>
        <v>215.78305328671854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1.2529312737590541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1.2571322423608913E-16</v>
      </c>
      <c r="AX152" s="23">
        <f t="shared" si="114"/>
        <v>1.2529312737590543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-2.2737367544323206E-13</v>
      </c>
      <c r="BE152" s="14">
        <f>BD152*VLOOKUP('Données projet'!$B$11,Paramètres!$A$1:$I$89,3,0)*VLOOKUP('Données projet'!$B$11,Paramètres!$A$1:$I$89,5,0)</f>
        <v>-1.2710188457276673E-13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376.38993452481719</v>
      </c>
      <c r="BJ152" s="62">
        <f t="shared" si="146"/>
        <v>470.10036612616727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0.47242225899401502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5.558308392510969E-18</v>
      </c>
      <c r="BS152" s="24">
        <f t="shared" si="117"/>
        <v>0.47242225899401502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152.56843845628913</v>
      </c>
      <c r="CE152" s="62">
        <f t="shared" si="148"/>
        <v>311.82523951987685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9.359772839978028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3.2626637084670358E-16</v>
      </c>
      <c r="CN152" s="24">
        <f t="shared" si="120"/>
        <v>9.359772839978028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85.877999999999773</v>
      </c>
      <c r="D153" s="12">
        <f t="shared" si="140"/>
        <v>23.568401654986477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844.84941628410445</v>
      </c>
      <c r="H153" s="70">
        <f t="shared" si="110"/>
        <v>483.95248288243431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-5.3205440053716299E-14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300.81172286376216</v>
      </c>
      <c r="T153" s="62">
        <f t="shared" si="142"/>
        <v>217.90654346456347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279.33945837918748</v>
      </c>
      <c r="AO153" s="62">
        <f t="shared" si="144"/>
        <v>215.78305328671854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1.2283620556932564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8.8892673342163658E-17</v>
      </c>
      <c r="AX153" s="23">
        <f t="shared" si="114"/>
        <v>1.2283620556932564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-2.2737367544323206E-13</v>
      </c>
      <c r="BE153" s="14">
        <f>BD153*VLOOKUP('Données projet'!$B$11,Paramètres!$A$1:$I$89,3,0)*VLOOKUP('Données projet'!$B$11,Paramètres!$A$1:$I$89,5,0)</f>
        <v>-1.2710188457276673E-13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376.38993452481719</v>
      </c>
      <c r="BJ153" s="62">
        <f t="shared" si="146"/>
        <v>470.10036612616727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0.46315834664426803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3.9303175562706044E-18</v>
      </c>
      <c r="BS153" s="24">
        <f t="shared" si="117"/>
        <v>0.46315834664426803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152.56843845628913</v>
      </c>
      <c r="CE153" s="62">
        <f t="shared" si="148"/>
        <v>311.82523951987685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9.1762334034837849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2.3070516329882899E-16</v>
      </c>
      <c r="CN153" s="24">
        <f t="shared" si="120"/>
        <v>9.1762334034837849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86.45051999999977</v>
      </c>
      <c r="D154" s="12">
        <f t="shared" si="140"/>
        <v>23.70718151873578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850.34015207444997</v>
      </c>
      <c r="H154" s="70">
        <f t="shared" si="110"/>
        <v>485.19133014513102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-5.3205440053716299E-14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300.81172286376216</v>
      </c>
      <c r="T154" s="62">
        <f t="shared" si="142"/>
        <v>217.90654346456347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279.33945837918748</v>
      </c>
      <c r="AO154" s="62">
        <f t="shared" si="144"/>
        <v>215.78305328671854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1.2042746250079857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6.2856612118044563E-17</v>
      </c>
      <c r="AX154" s="23">
        <f t="shared" ref="AX154:AX203" si="166">SUM(AU154:AW154)</f>
        <v>1.2042746250079857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-2.2737367544323206E-13</v>
      </c>
      <c r="BE154" s="14">
        <f>BD154*VLOOKUP('Données projet'!$B$11,Paramètres!$A$1:$I$89,3,0)*VLOOKUP('Données projet'!$B$11,Paramètres!$A$1:$I$89,5,0)</f>
        <v>-1.2710188457276673E-13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376.38993452481719</v>
      </c>
      <c r="BJ154" s="62">
        <f t="shared" si="146"/>
        <v>470.10036612616727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0.45407609396527093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2.7791541962554845E-18</v>
      </c>
      <c r="BS154" s="24">
        <f t="shared" ref="BS154:BS203" si="169">SUM(BP154:BR154)</f>
        <v>0.45407609396527093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152.56843845628913</v>
      </c>
      <c r="CE154" s="62">
        <f t="shared" si="148"/>
        <v>311.82523951987685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8.9962930633911906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1.6313318542335179E-16</v>
      </c>
      <c r="CN154" s="24">
        <f t="shared" ref="CN154:CN203" si="172">SUM(CK154:CM154)</f>
        <v>8.9962930633911906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87.023039999999767</v>
      </c>
      <c r="D155" s="12">
        <f t="shared" si="140"/>
        <v>23.845854442906514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855.8300623662941</v>
      </c>
      <c r="H155" s="70">
        <f t="shared" si="110"/>
        <v>486.42999115472844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-5.3205440053716299E-14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300.81172286376216</v>
      </c>
      <c r="T155" s="62">
        <f t="shared" si="142"/>
        <v>217.90654346456347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279.33945837918748</v>
      </c>
      <c r="AO155" s="62">
        <f t="shared" si="144"/>
        <v>215.78305328671854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1.1806595341465711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4.4446336671081829E-17</v>
      </c>
      <c r="AX155" s="23">
        <f t="shared" si="166"/>
        <v>1.1806595341465711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-2.2737367544323206E-13</v>
      </c>
      <c r="BE155" s="14">
        <f>BD155*VLOOKUP('Données projet'!$B$11,Paramètres!$A$1:$I$89,3,0)*VLOOKUP('Données projet'!$B$11,Paramètres!$A$1:$I$89,5,0)</f>
        <v>-1.2710188457276673E-13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376.38993452481719</v>
      </c>
      <c r="BJ155" s="62">
        <f t="shared" si="146"/>
        <v>470.10036612616727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0.44517193872168187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1.9651587781353022E-18</v>
      </c>
      <c r="BS155" s="24">
        <f t="shared" si="169"/>
        <v>0.44517193872168187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152.56843845628913</v>
      </c>
      <c r="CE155" s="62">
        <f t="shared" si="148"/>
        <v>311.82523951987685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8.8198812436150416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1.153525816494145E-16</v>
      </c>
      <c r="CN155" s="24">
        <f t="shared" si="172"/>
        <v>8.8198812436150416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87.595559999999764</v>
      </c>
      <c r="D156" s="12">
        <f t="shared" si="140"/>
        <v>23.984421212652432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861.31915322047314</v>
      </c>
      <c r="H156" s="70">
        <f t="shared" si="110"/>
        <v>487.66846727870256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-5.3205440053716299E-14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300.81172286376216</v>
      </c>
      <c r="T156" s="62">
        <f t="shared" si="142"/>
        <v>217.90654346456347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279.33945837918748</v>
      </c>
      <c r="AO156" s="62">
        <f t="shared" si="144"/>
        <v>215.78305328671854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1.1575075208131655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3.1428306059022281E-17</v>
      </c>
      <c r="AX156" s="23">
        <f t="shared" si="166"/>
        <v>1.1575075208131655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-2.2737367544323206E-13</v>
      </c>
      <c r="BE156" s="14">
        <f>BD156*VLOOKUP('Données projet'!$B$11,Paramètres!$A$1:$I$89,3,0)*VLOOKUP('Données projet'!$B$11,Paramètres!$A$1:$I$89,5,0)</f>
        <v>-1.2710188457276673E-13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376.38993452481719</v>
      </c>
      <c r="BJ156" s="62">
        <f t="shared" si="146"/>
        <v>470.10036612616727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0.43644238853142114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1.3895770981277423E-18</v>
      </c>
      <c r="BS156" s="24">
        <f t="shared" si="169"/>
        <v>0.43644238853142114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152.56843845628913</v>
      </c>
      <c r="CE156" s="62">
        <f t="shared" si="148"/>
        <v>311.82523951987685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8.6469287520241185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8.1566592711675894E-17</v>
      </c>
      <c r="CN156" s="24">
        <f t="shared" si="172"/>
        <v>8.6469287520241185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88.168079999999762</v>
      </c>
      <c r="D157" s="12">
        <f t="shared" si="140"/>
        <v>24.122882602270423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866.80743061401552</v>
      </c>
      <c r="H157" s="70">
        <f t="shared" si="110"/>
        <v>488.90675986562053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-5.3205440053716299E-14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300.81172286376216</v>
      </c>
      <c r="T157" s="62">
        <f t="shared" si="142"/>
        <v>217.90654346456347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279.33945837918748</v>
      </c>
      <c r="AO157" s="62">
        <f t="shared" si="144"/>
        <v>215.78305328671854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1.1348095043398945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2.2223168335540914E-17</v>
      </c>
      <c r="AX157" s="23">
        <f t="shared" si="166"/>
        <v>1.1348095043398945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-2.2737367544323206E-13</v>
      </c>
      <c r="BE157" s="14">
        <f>BD157*VLOOKUP('Données projet'!$B$11,Paramètres!$A$1:$I$89,3,0)*VLOOKUP('Données projet'!$B$11,Paramètres!$A$1:$I$89,5,0)</f>
        <v>-1.2710188457276673E-13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376.38993452481719</v>
      </c>
      <c r="BJ157" s="62">
        <f t="shared" si="146"/>
        <v>470.10036612616727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0.42788401949589155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9.8257938906765111E-19</v>
      </c>
      <c r="BS157" s="24">
        <f t="shared" si="169"/>
        <v>0.42788401949589155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152.56843845628913</v>
      </c>
      <c r="CE157" s="62">
        <f t="shared" si="148"/>
        <v>311.82523951987685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8.4773677533026888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5.7676290824707248E-17</v>
      </c>
      <c r="CN157" s="24">
        <f t="shared" si="172"/>
        <v>8.4773677533026888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88.740599999999759</v>
      </c>
      <c r="D158" s="12">
        <f t="shared" si="140"/>
        <v>24.261239375420136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872.29490044183785</v>
      </c>
      <c r="H158" s="70">
        <f t="shared" si="110"/>
        <v>490.14487024552295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-5.3205440053716299E-14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300.81172286376216</v>
      </c>
      <c r="T158" s="62">
        <f t="shared" si="142"/>
        <v>217.90654346456347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279.33945837918748</v>
      </c>
      <c r="AO158" s="62">
        <f t="shared" si="144"/>
        <v>215.78305328671854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1.1125565821252412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1.5714153029511141E-17</v>
      </c>
      <c r="AX158" s="23">
        <f t="shared" si="166"/>
        <v>1.1125565821252412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-2.2737367544323206E-13</v>
      </c>
      <c r="BE158" s="14">
        <f>BD158*VLOOKUP('Données projet'!$B$11,Paramètres!$A$1:$I$89,3,0)*VLOOKUP('Données projet'!$B$11,Paramètres!$A$1:$I$89,5,0)</f>
        <v>-1.2710188457276673E-13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376.38993452481719</v>
      </c>
      <c r="BJ158" s="62">
        <f t="shared" si="146"/>
        <v>470.10036612616727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0.41949347485705901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6.9478854906387113E-19</v>
      </c>
      <c r="BS158" s="24">
        <f t="shared" si="169"/>
        <v>0.41949347485705901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152.56843845628913</v>
      </c>
      <c r="CE158" s="62">
        <f t="shared" si="148"/>
        <v>311.82523951987685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8.3111317423441893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4.0783296355837947E-17</v>
      </c>
      <c r="CN158" s="24">
        <f t="shared" si="172"/>
        <v>8.3111317423441893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89.313119999999756</v>
      </c>
      <c r="D159" s="12">
        <f t="shared" si="140"/>
        <v>24.399492285337704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877.78156851839447</v>
      </c>
      <c r="H159" s="70">
        <f t="shared" si="110"/>
        <v>491.38279973029603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-5.3205440053716299E-14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300.81172286376216</v>
      </c>
      <c r="T159" s="62">
        <f t="shared" si="142"/>
        <v>217.90654346456347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279.33945837918748</v>
      </c>
      <c r="AO159" s="62">
        <f t="shared" si="144"/>
        <v>215.78305328671854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1.0907400261422748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1.1111584167770457E-17</v>
      </c>
      <c r="AX159" s="23">
        <f t="shared" si="166"/>
        <v>1.0907400261422748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-2.2737367544323206E-13</v>
      </c>
      <c r="BE159" s="14">
        <f>BD159*VLOOKUP('Données projet'!$B$11,Paramètres!$A$1:$I$89,3,0)*VLOOKUP('Données projet'!$B$11,Paramètres!$A$1:$I$89,5,0)</f>
        <v>-1.2710188457276673E-13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376.38993452481719</v>
      </c>
      <c r="BJ159" s="62">
        <f t="shared" si="146"/>
        <v>470.10036612616727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0.41126746368086708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4.9128969453382555E-19</v>
      </c>
      <c r="BS159" s="24">
        <f t="shared" si="169"/>
        <v>0.41126746368086708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152.56843845628913</v>
      </c>
      <c r="CE159" s="62">
        <f t="shared" si="148"/>
        <v>311.82523951987685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8.1481555181666323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2.8838145412353624E-17</v>
      </c>
      <c r="CN159" s="24">
        <f t="shared" si="172"/>
        <v>8.1481555181666323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89.885639999999754</v>
      </c>
      <c r="D160" s="12">
        <f t="shared" si="140"/>
        <v>24.537642075044012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883.26744057928533</v>
      </c>
      <c r="H160" s="70">
        <f t="shared" si="110"/>
        <v>492.62054961403453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-5.3205440053716299E-14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300.81172286376216</v>
      </c>
      <c r="T160" s="62">
        <f t="shared" si="142"/>
        <v>217.90654346456347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279.33945837918748</v>
      </c>
      <c r="AO160" s="62">
        <f t="shared" si="144"/>
        <v>215.78305328671854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1.0693512795153493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7.8570765147555703E-18</v>
      </c>
      <c r="AX160" s="23">
        <f t="shared" si="166"/>
        <v>1.0693512795153493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-2.2737367544323206E-13</v>
      </c>
      <c r="BE160" s="14">
        <f>BD160*VLOOKUP('Données projet'!$B$11,Paramètres!$A$1:$I$89,3,0)*VLOOKUP('Données projet'!$B$11,Paramètres!$A$1:$I$89,5,0)</f>
        <v>-1.2710188457276673E-13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376.38993452481719</v>
      </c>
      <c r="BJ160" s="62">
        <f t="shared" si="146"/>
        <v>470.10036612616727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0.40320275956646889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3.4739427453193556E-19</v>
      </c>
      <c r="BS160" s="24">
        <f t="shared" si="169"/>
        <v>0.40320275956646889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152.56843845628913</v>
      </c>
      <c r="CE160" s="62">
        <f t="shared" si="148"/>
        <v>311.82523951987685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7.9883751583395153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2.0391648177918974E-17</v>
      </c>
      <c r="CN160" s="24">
        <f t="shared" si="172"/>
        <v>7.9883751583395153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90.458159999999751</v>
      </c>
      <c r="D161" s="12">
        <f t="shared" si="140"/>
        <v>24.675689477547351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888.75252228281977</v>
      </c>
      <c r="H161" s="70">
        <f t="shared" si="110"/>
        <v>493.85812117339447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-5.3205440053716299E-14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300.81172286376216</v>
      </c>
      <c r="T161" s="62">
        <f t="shared" si="142"/>
        <v>217.90654346456347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279.33945837918748</v>
      </c>
      <c r="AO161" s="62">
        <f t="shared" si="144"/>
        <v>215.78305328671854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1.0483819531639305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5.5557920838852286E-18</v>
      </c>
      <c r="AX161" s="23">
        <f t="shared" si="166"/>
        <v>1.0483819531639305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-2.2737367544323206E-13</v>
      </c>
      <c r="BE161" s="14">
        <f>BD161*VLOOKUP('Données projet'!$B$11,Paramètres!$A$1:$I$89,3,0)*VLOOKUP('Données projet'!$B$11,Paramètres!$A$1:$I$89,5,0)</f>
        <v>-1.2710188457276673E-13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376.38993452481719</v>
      </c>
      <c r="BJ161" s="62">
        <f t="shared" si="146"/>
        <v>470.10036612616727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0.39529619938077026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2.4564484726691278E-19</v>
      </c>
      <c r="BS161" s="24">
        <f t="shared" si="169"/>
        <v>0.39529619938077026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152.56843845628913</v>
      </c>
      <c r="CE161" s="62">
        <f t="shared" si="148"/>
        <v>311.82523951987685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7.831727993912212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1.4419072706176812E-17</v>
      </c>
      <c r="CN161" s="24">
        <f t="shared" si="172"/>
        <v>7.831727993912212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91.030679999999748</v>
      </c>
      <c r="D162" s="12">
        <f t="shared" si="140"/>
        <v>24.813635216040794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894.23681921154105</v>
      </c>
      <c r="H162" s="70">
        <f t="shared" si="110"/>
        <v>495.09551566793721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-5.3205440053716299E-14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300.81172286376216</v>
      </c>
      <c r="T162" s="62">
        <f t="shared" si="142"/>
        <v>217.90654346456347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279.33945837918748</v>
      </c>
      <c r="AO162" s="62">
        <f t="shared" si="144"/>
        <v>215.78305328671854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1.0278238225122367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3.9285382573777852E-18</v>
      </c>
      <c r="AX162" s="23">
        <f t="shared" si="166"/>
        <v>1.0278238225122367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-2.2737367544323206E-13</v>
      </c>
      <c r="BE162" s="14">
        <f>BD162*VLOOKUP('Données projet'!$B$11,Paramètres!$A$1:$I$89,3,0)*VLOOKUP('Données projet'!$B$11,Paramètres!$A$1:$I$89,5,0)</f>
        <v>-1.2710188457276673E-13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376.38993452481719</v>
      </c>
      <c r="BJ162" s="62">
        <f t="shared" si="146"/>
        <v>470.10036612616727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0.38754468201778763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1.7369713726596778E-19</v>
      </c>
      <c r="BS162" s="24">
        <f t="shared" si="169"/>
        <v>0.38754468201778763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152.56843845628913</v>
      </c>
      <c r="CE162" s="62">
        <f t="shared" si="148"/>
        <v>311.82523951987685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7.6781525848339918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1.0195824088959487E-17</v>
      </c>
      <c r="CN162" s="24">
        <f t="shared" si="172"/>
        <v>7.6781525848339918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91.603199999999745</v>
      </c>
      <c r="D163" s="12">
        <f t="shared" si="140"/>
        <v>24.951480004094567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899.72033687371049</v>
      </c>
      <c r="H163" s="70">
        <f t="shared" si="110"/>
        <v>496.33273434046424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-5.3205440053716299E-14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300.81172286376216</v>
      </c>
      <c r="T163" s="62">
        <f t="shared" si="142"/>
        <v>217.90654346456347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279.33945837918748</v>
      </c>
      <c r="AO163" s="62">
        <f t="shared" si="144"/>
        <v>215.78305328671854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1.0076688242634011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2.7778960419426143E-18</v>
      </c>
      <c r="AX163" s="23">
        <f t="shared" si="166"/>
        <v>1.0076688242634011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-2.2737367544323206E-13</v>
      </c>
      <c r="BE163" s="14">
        <f>BD163*VLOOKUP('Données projet'!$B$11,Paramètres!$A$1:$I$89,3,0)*VLOOKUP('Données projet'!$B$11,Paramètres!$A$1:$I$89,5,0)</f>
        <v>-1.2710188457276673E-13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376.38993452481719</v>
      </c>
      <c r="BJ163" s="62">
        <f t="shared" si="146"/>
        <v>470.10036612616727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0.37994516718233434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1.2282242363345639E-19</v>
      </c>
      <c r="BS163" s="24">
        <f t="shared" si="169"/>
        <v>0.37994516718233434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152.56843845628913</v>
      </c>
      <c r="CE163" s="62">
        <f t="shared" si="148"/>
        <v>311.82523951987685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7.5275886958560454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7.2095363530884059E-18</v>
      </c>
      <c r="CN163" s="24">
        <f t="shared" si="172"/>
        <v>7.5275886958560454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92.175719999999743</v>
      </c>
      <c r="D164" s="12">
        <f t="shared" si="140"/>
        <v>25.089224545843408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905.20308070475414</v>
      </c>
      <c r="H164" s="70">
        <f t="shared" si="110"/>
        <v>497.56977841734346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-5.3205440053716299E-14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300.81172286376216</v>
      </c>
      <c r="T164" s="62">
        <f t="shared" si="142"/>
        <v>217.90654346456347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279.33945837918748</v>
      </c>
      <c r="AO164" s="62">
        <f t="shared" si="144"/>
        <v>215.78305328671854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0.98790905323689016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1.9642691286888926E-18</v>
      </c>
      <c r="AX164" s="23">
        <f t="shared" si="166"/>
        <v>0.98790905323689016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-2.2737367544323206E-13</v>
      </c>
      <c r="BE164" s="14">
        <f>BD164*VLOOKUP('Données projet'!$B$11,Paramètres!$A$1:$I$89,3,0)*VLOOKUP('Données projet'!$B$11,Paramètres!$A$1:$I$89,5,0)</f>
        <v>-1.2710188457276673E-13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376.38993452481719</v>
      </c>
      <c r="BJ164" s="62">
        <f t="shared" si="146"/>
        <v>470.10036612616727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0.37249467419755794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8.6848568632983891E-20</v>
      </c>
      <c r="BS164" s="24">
        <f t="shared" si="169"/>
        <v>0.37249467419755794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152.56843845628913</v>
      </c>
      <c r="CE164" s="62">
        <f t="shared" si="148"/>
        <v>311.82523951987685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7.3799772729060518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5.0979120444797434E-18</v>
      </c>
      <c r="CN164" s="24">
        <f t="shared" si="172"/>
        <v>7.3799772729060518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92.74823999999974</v>
      </c>
      <c r="D165" s="12">
        <f t="shared" si="140"/>
        <v>25.226869536169147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910.68505606867211</v>
      </c>
      <c r="H165" s="70">
        <f t="shared" si="110"/>
        <v>498.80664910882746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-5.3205440053716299E-14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300.81172286376216</v>
      </c>
      <c r="T165" s="62">
        <f t="shared" si="142"/>
        <v>217.90654346456347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279.33945837918748</v>
      </c>
      <c r="AO165" s="62">
        <f t="shared" si="144"/>
        <v>215.78305328671854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0.96853675926793881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1.3889480209713072E-18</v>
      </c>
      <c r="AX165" s="23">
        <f t="shared" si="166"/>
        <v>0.96853675926793881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-2.2737367544323206E-13</v>
      </c>
      <c r="BE165" s="14">
        <f>BD165*VLOOKUP('Données projet'!$B$11,Paramètres!$A$1:$I$89,3,0)*VLOOKUP('Données projet'!$B$11,Paramètres!$A$1:$I$89,5,0)</f>
        <v>-1.2710188457276673E-13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376.38993452481719</v>
      </c>
      <c r="BJ165" s="62">
        <f t="shared" si="146"/>
        <v>470.10036612616727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0.36519028083586103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6.1411211816728194E-20</v>
      </c>
      <c r="BS165" s="24">
        <f t="shared" si="169"/>
        <v>0.36519028083586103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152.56843845628913</v>
      </c>
      <c r="CE165" s="62">
        <f t="shared" si="148"/>
        <v>311.82523951987685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7.2352604199260302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3.604768176544203E-18</v>
      </c>
      <c r="CN165" s="24">
        <f t="shared" si="172"/>
        <v>7.2352604199260302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93.320759999999737</v>
      </c>
      <c r="D166" s="12">
        <f t="shared" si="140"/>
        <v>25.364415660878585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916.16626825941148</v>
      </c>
      <c r="H166" s="70">
        <f t="shared" si="110"/>
        <v>500.04334760936308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-5.3205440053716299E-14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300.81172286376216</v>
      </c>
      <c r="T166" s="62">
        <f t="shared" si="142"/>
        <v>217.90654346456347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279.33945837918748</v>
      </c>
      <c r="AO166" s="62">
        <f t="shared" si="144"/>
        <v>215.78305328671854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0.9495443441677861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9.8213456434444629E-19</v>
      </c>
      <c r="AX166" s="23">
        <f t="shared" si="166"/>
        <v>0.9495443441677861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-2.2737367544323206E-13</v>
      </c>
      <c r="BE166" s="14">
        <f>BD166*VLOOKUP('Données projet'!$B$11,Paramètres!$A$1:$I$89,3,0)*VLOOKUP('Données projet'!$B$11,Paramètres!$A$1:$I$89,5,0)</f>
        <v>-1.2710188457276673E-13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376.38993452481719</v>
      </c>
      <c r="BJ166" s="62">
        <f t="shared" si="146"/>
        <v>470.10036612616727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0.35802912217274696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4.3424284316491945E-20</v>
      </c>
      <c r="BS166" s="24">
        <f t="shared" si="169"/>
        <v>0.35802912217274696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152.56843845628913</v>
      </c>
      <c r="CE166" s="62">
        <f t="shared" si="148"/>
        <v>311.82523951987685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7.0933813761643822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2.5489560222398717E-18</v>
      </c>
      <c r="CN166" s="24">
        <f t="shared" si="172"/>
        <v>7.0933813761643822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93.893279999999734</v>
      </c>
      <c r="D167" s="12">
        <f t="shared" si="140"/>
        <v>25.501863596876998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921.64672250220644</v>
      </c>
      <c r="H167" s="70">
        <f t="shared" si="110"/>
        <v>501.27987509789364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-5.3205440053716299E-14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300.81172286376216</v>
      </c>
      <c r="T167" s="62">
        <f t="shared" si="142"/>
        <v>217.90654346456347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279.33945837918748</v>
      </c>
      <c r="AO167" s="62">
        <f t="shared" si="144"/>
        <v>215.78305328671854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0.93092435874351798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6.9447401048565358E-19</v>
      </c>
      <c r="AX167" s="23">
        <f t="shared" si="166"/>
        <v>0.93092435874351798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-2.2737367544323206E-13</v>
      </c>
      <c r="BE167" s="14">
        <f>BD167*VLOOKUP('Données projet'!$B$11,Paramètres!$A$1:$I$89,3,0)*VLOOKUP('Données projet'!$B$11,Paramètres!$A$1:$I$89,5,0)</f>
        <v>-1.2710188457276673E-13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376.38993452481719</v>
      </c>
      <c r="BJ167" s="62">
        <f t="shared" si="146"/>
        <v>470.10036612616727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0.35100838946314106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3.0705605908364097E-20</v>
      </c>
      <c r="BS167" s="24">
        <f t="shared" si="169"/>
        <v>0.35100838946314106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152.56843845628913</v>
      </c>
      <c r="CE167" s="62">
        <f t="shared" si="148"/>
        <v>311.82523951987685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6.954284493913228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1.8023840882721015E-18</v>
      </c>
      <c r="CN167" s="24">
        <f t="shared" si="172"/>
        <v>6.954284493913228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94.465799999999732</v>
      </c>
      <c r="D168" s="12">
        <f t="shared" si="140"/>
        <v>25.639214012337259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927.12642395488217</v>
      </c>
      <c r="H168" s="70">
        <f t="shared" si="110"/>
        <v>502.51623273815358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-5.3205440053716299E-14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300.81172286376216</v>
      </c>
      <c r="T168" s="62">
        <f t="shared" si="142"/>
        <v>217.90654346456347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279.33945837918748</v>
      </c>
      <c r="AO168" s="62">
        <f t="shared" si="144"/>
        <v>215.78305328671854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0.91266949987635004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4.9106728217222314E-19</v>
      </c>
      <c r="AX168" s="23">
        <f t="shared" si="166"/>
        <v>0.91266949987635004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-2.2737367544323206E-13</v>
      </c>
      <c r="BE168" s="14">
        <f>BD168*VLOOKUP('Données projet'!$B$11,Paramètres!$A$1:$I$89,3,0)*VLOOKUP('Données projet'!$B$11,Paramètres!$A$1:$I$89,5,0)</f>
        <v>-1.2710188457276673E-13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376.38993452481719</v>
      </c>
      <c r="BJ168" s="62">
        <f t="shared" si="146"/>
        <v>470.10036612616727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0.34412532903974641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2.1712142158245973E-20</v>
      </c>
      <c r="BS168" s="24">
        <f t="shared" si="169"/>
        <v>0.34412532903974641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152.56843845628913</v>
      </c>
      <c r="CE168" s="62">
        <f t="shared" si="148"/>
        <v>311.82523951987685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6.8179152166822981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1.2744780111199358E-18</v>
      </c>
      <c r="CN168" s="24">
        <f t="shared" si="172"/>
        <v>6.8179152166822981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95.038319999999729</v>
      </c>
      <c r="D169" s="12">
        <f t="shared" si="140"/>
        <v>25.776467566864632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932.60537770912845</v>
      </c>
      <c r="H169" s="70">
        <f t="shared" si="110"/>
        <v>503.75242167895544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-5.3205440053716299E-14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300.81172286376216</v>
      </c>
      <c r="T169" s="62">
        <f t="shared" si="142"/>
        <v>217.90654346456347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279.33945837918748</v>
      </c>
      <c r="AO169" s="62">
        <f t="shared" si="144"/>
        <v>215.78305328671854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0.89477260765720279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3.4723700524282679E-19</v>
      </c>
      <c r="AX169" s="23">
        <f t="shared" si="166"/>
        <v>0.89477260765720279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-2.2737367544323206E-13</v>
      </c>
      <c r="BE169" s="14">
        <f>BD169*VLOOKUP('Données projet'!$B$11,Paramètres!$A$1:$I$89,3,0)*VLOOKUP('Données projet'!$B$11,Paramètres!$A$1:$I$89,5,0)</f>
        <v>-1.2710188457276673E-13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376.38993452481719</v>
      </c>
      <c r="BJ169" s="62">
        <f t="shared" si="146"/>
        <v>470.10036612616727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0.33737724123300222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1.5352802954182049E-20</v>
      </c>
      <c r="BS169" s="24">
        <f t="shared" si="169"/>
        <v>0.33737724123300222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152.56843845628913</v>
      </c>
      <c r="CE169" s="62">
        <f t="shared" si="148"/>
        <v>311.82523951987685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6.6842200578008208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9.0119204413605074E-19</v>
      </c>
      <c r="CN169" s="24">
        <f t="shared" si="172"/>
        <v>6.6842200578008208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95.610839999999726</v>
      </c>
      <c r="D170" s="12">
        <f t="shared" si="140"/>
        <v>25.913624911657639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938.08358879174102</v>
      </c>
      <c r="H170" s="70">
        <f t="shared" si="110"/>
        <v>504.98844305446988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-5.3205440053716299E-14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300.81172286376216</v>
      </c>
      <c r="T170" s="62">
        <f t="shared" si="142"/>
        <v>217.90654346456347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279.33945837918748</v>
      </c>
      <c r="AO170" s="62">
        <f t="shared" si="144"/>
        <v>215.78305328671854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0.87722666257844661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2.4553364108611157E-19</v>
      </c>
      <c r="AX170" s="23">
        <f t="shared" si="166"/>
        <v>0.87722666257844661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-2.2737367544323206E-13</v>
      </c>
      <c r="BE170" s="14">
        <f>BD170*VLOOKUP('Données projet'!$B$11,Paramètres!$A$1:$I$89,3,0)*VLOOKUP('Données projet'!$B$11,Paramètres!$A$1:$I$89,5,0)</f>
        <v>-1.2710188457276673E-13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376.38993452481719</v>
      </c>
      <c r="BJ170" s="62">
        <f t="shared" si="146"/>
        <v>470.10036612616727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0.33076147931222111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1.0856071079122986E-20</v>
      </c>
      <c r="BS170" s="24">
        <f t="shared" si="169"/>
        <v>0.33076147931222111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152.56843845628913</v>
      </c>
      <c r="CE170" s="62">
        <f t="shared" si="148"/>
        <v>311.82523951987685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6.5531465794390149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6.3723900555996792E-19</v>
      </c>
      <c r="CN170" s="24">
        <f t="shared" si="172"/>
        <v>6.5531465794390149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96.183359999999723</v>
      </c>
      <c r="D171" s="12">
        <f t="shared" si="140"/>
        <v>26.05068668966485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943.56106216583191</v>
      </c>
      <c r="H171" s="70">
        <f t="shared" si="110"/>
        <v>506.22429798449912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-5.3205440053716299E-14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300.81172286376216</v>
      </c>
      <c r="T171" s="62">
        <f t="shared" si="142"/>
        <v>217.90654346456347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279.33945837918748</v>
      </c>
      <c r="AO171" s="62">
        <f t="shared" si="144"/>
        <v>215.78305328671854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0.86002478278071515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1.7361850262141339E-19</v>
      </c>
      <c r="AX171" s="23">
        <f t="shared" si="166"/>
        <v>0.86002478278071515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-2.2737367544323206E-13</v>
      </c>
      <c r="BE171" s="14">
        <f>BD171*VLOOKUP('Données projet'!$B$11,Paramètres!$A$1:$I$89,3,0)*VLOOKUP('Données projet'!$B$11,Paramètres!$A$1:$I$89,5,0)</f>
        <v>-1.2710188457276673E-13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376.38993452481719</v>
      </c>
      <c r="BJ171" s="62">
        <f t="shared" si="146"/>
        <v>470.10036612616727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0.32427544844749023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7.6764014770910243E-21</v>
      </c>
      <c r="BS171" s="24">
        <f t="shared" si="169"/>
        <v>0.32427544844749023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152.56843845628913</v>
      </c>
      <c r="CE171" s="62">
        <f t="shared" si="148"/>
        <v>311.82523951987685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6.4246433720409559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4.5059602206802537E-19</v>
      </c>
      <c r="CN171" s="24">
        <f t="shared" si="172"/>
        <v>6.4246433720409559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96.755879999999721</v>
      </c>
      <c r="D172" s="12">
        <f t="shared" si="140"/>
        <v>26.187653535737859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949.03780273200925</v>
      </c>
      <c r="H172" s="70">
        <f t="shared" si="110"/>
        <v>507.45998757474291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-5.3205440053716299E-14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300.81172286376216</v>
      </c>
      <c r="T172" s="62">
        <f t="shared" si="142"/>
        <v>217.90654346456347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279.33945837918748</v>
      </c>
      <c r="AO172" s="62">
        <f t="shared" si="144"/>
        <v>215.78305328671854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0.8431602213537065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1.2276682054305579E-19</v>
      </c>
      <c r="AX172" s="23">
        <f t="shared" si="166"/>
        <v>0.8431602213537065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-2.2737367544323206E-13</v>
      </c>
      <c r="BE172" s="14">
        <f>BD172*VLOOKUP('Données projet'!$B$11,Paramètres!$A$1:$I$89,3,0)*VLOOKUP('Données projet'!$B$11,Paramètres!$A$1:$I$89,5,0)</f>
        <v>-1.2710188457276673E-13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376.38993452481719</v>
      </c>
      <c r="BJ172" s="62">
        <f t="shared" si="146"/>
        <v>470.10036612616727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0.31791660469192851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5.4280355395614932E-21</v>
      </c>
      <c r="BS172" s="24">
        <f t="shared" si="169"/>
        <v>0.31791660469192851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152.56843845628913</v>
      </c>
      <c r="CE172" s="62">
        <f t="shared" si="148"/>
        <v>311.82523951987685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6.2986600341607559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3.1861950277998396E-19</v>
      </c>
      <c r="CN172" s="24">
        <f t="shared" si="172"/>
        <v>6.2986600341607559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97.328399999999718</v>
      </c>
      <c r="D173" s="12">
        <f t="shared" si="140"/>
        <v>26.324526076780625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954.51381532953246</v>
      </c>
      <c r="H173" s="70">
        <f t="shared" si="110"/>
        <v>508.69551291705909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-5.3205440053716299E-14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300.81172286376216</v>
      </c>
      <c r="T173" s="62">
        <f t="shared" si="142"/>
        <v>217.90654346456347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279.33945837918748</v>
      </c>
      <c r="AO173" s="62">
        <f t="shared" si="144"/>
        <v>215.78305328671854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0.82662636368991471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8.6809251310706697E-20</v>
      </c>
      <c r="AX173" s="23">
        <f t="shared" si="166"/>
        <v>0.82662636368991471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-2.2737367544323206E-13</v>
      </c>
      <c r="BE173" s="14">
        <f>BD173*VLOOKUP('Données projet'!$B$11,Paramètres!$A$1:$I$89,3,0)*VLOOKUP('Données projet'!$B$11,Paramètres!$A$1:$I$89,5,0)</f>
        <v>-1.2710188457276673E-13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376.38993452481719</v>
      </c>
      <c r="BJ173" s="62">
        <f t="shared" si="146"/>
        <v>470.10036612616727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0.31168245398390165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3.8382007385455121E-21</v>
      </c>
      <c r="BS173" s="24">
        <f t="shared" si="169"/>
        <v>0.31168245398390165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152.56843845628913</v>
      </c>
      <c r="CE173" s="62">
        <f t="shared" si="148"/>
        <v>311.82523951987685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6.1751471526941382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2.2529801103401269E-19</v>
      </c>
      <c r="CN173" s="24">
        <f t="shared" si="172"/>
        <v>6.1751471526941382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97.900919999999715</v>
      </c>
      <c r="D174" s="12">
        <f t="shared" si="140"/>
        <v>26.461304931894961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959.98910473743263</v>
      </c>
      <c r="H174" s="70">
        <f t="shared" si="110"/>
        <v>509.93087508971655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-5.3205440053716299E-14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300.81172286376216</v>
      </c>
      <c r="T174" s="62">
        <f t="shared" si="142"/>
        <v>217.90654346456347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279.33945837918748</v>
      </c>
      <c r="AO174" s="62">
        <f t="shared" si="144"/>
        <v>215.78305328671854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0.81041672489025252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6.1383410271527893E-20</v>
      </c>
      <c r="AX174" s="23">
        <f t="shared" si="166"/>
        <v>0.81041672489025252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-2.2737367544323206E-13</v>
      </c>
      <c r="BE174" s="14">
        <f>BD174*VLOOKUP('Données projet'!$B$11,Paramètres!$A$1:$I$89,3,0)*VLOOKUP('Données projet'!$B$11,Paramètres!$A$1:$I$89,5,0)</f>
        <v>-1.2710188457276673E-13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376.38993452481719</v>
      </c>
      <c r="BJ174" s="62">
        <f t="shared" si="146"/>
        <v>470.10036612616727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0.30557055116880272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2.7140177697807466E-21</v>
      </c>
      <c r="BS174" s="24">
        <f t="shared" si="169"/>
        <v>0.30557055116880272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152.56843845628913</v>
      </c>
      <c r="CE174" s="62">
        <f t="shared" si="148"/>
        <v>311.82523951987685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6.054056283497661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1.5930975138999198E-19</v>
      </c>
      <c r="CN174" s="24">
        <f t="shared" si="172"/>
        <v>6.054056283497661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98.473439999999712</v>
      </c>
      <c r="D175" s="12">
        <f t="shared" si="140"/>
        <v>26.597990712522844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965.46367567561276</v>
      </c>
      <c r="H175" s="70">
        <f t="shared" si="110"/>
        <v>511.16607515764343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-5.3205440053716299E-14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300.81172286376216</v>
      </c>
      <c r="T175" s="62">
        <f t="shared" si="142"/>
        <v>217.90654346456347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279.33945837918748</v>
      </c>
      <c r="AO175" s="62">
        <f t="shared" si="144"/>
        <v>215.78305328671854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0.79452494722054823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4.3404625655353348E-20</v>
      </c>
      <c r="AX175" s="23">
        <f t="shared" si="166"/>
        <v>0.79452494722054823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-2.2737367544323206E-13</v>
      </c>
      <c r="BE175" s="14">
        <f>BD175*VLOOKUP('Données projet'!$B$11,Paramètres!$A$1:$I$89,3,0)*VLOOKUP('Données projet'!$B$11,Paramètres!$A$1:$I$89,5,0)</f>
        <v>-1.2710188457276673E-13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376.38993452481719</v>
      </c>
      <c r="BJ175" s="62">
        <f t="shared" si="146"/>
        <v>470.10036612616727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0.29957849904001527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1.9191003692727561E-21</v>
      </c>
      <c r="BS175" s="24">
        <f t="shared" si="169"/>
        <v>0.29957849904001527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152.56843845628913</v>
      </c>
      <c r="CE175" s="62">
        <f t="shared" si="148"/>
        <v>311.82523951987685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5.9353399323879898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1.1264900551700634E-19</v>
      </c>
      <c r="CN175" s="24">
        <f t="shared" si="172"/>
        <v>5.9353399323879898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99.04595999999971</v>
      </c>
      <c r="D176" s="12">
        <f t="shared" si="140"/>
        <v>26.734584022585089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970.93753280591773</v>
      </c>
      <c r="H176" s="70">
        <f t="shared" si="110"/>
        <v>512.40111417266849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-5.3205440053716299E-14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300.81172286376216</v>
      </c>
      <c r="T176" s="62">
        <f t="shared" si="142"/>
        <v>217.90654346456347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279.33945837918748</v>
      </c>
      <c r="AO176" s="62">
        <f t="shared" si="144"/>
        <v>215.78305328671854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0.77894479761791957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3.0691705135763947E-20</v>
      </c>
      <c r="AX176" s="23">
        <f t="shared" si="166"/>
        <v>0.77894479761791957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-2.2737367544323206E-13</v>
      </c>
      <c r="BE176" s="14">
        <f>BD176*VLOOKUP('Données projet'!$B$11,Paramètres!$A$1:$I$89,3,0)*VLOOKUP('Données projet'!$B$11,Paramètres!$A$1:$I$89,5,0)</f>
        <v>-1.2710188457276673E-13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376.38993452481719</v>
      </c>
      <c r="BJ176" s="62">
        <f t="shared" si="146"/>
        <v>470.10036612616727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0.29370394739868239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1.3570088848903733E-21</v>
      </c>
      <c r="BS176" s="24">
        <f t="shared" si="169"/>
        <v>0.29370394739868239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152.56843845628913</v>
      </c>
      <c r="CE176" s="62">
        <f t="shared" si="148"/>
        <v>311.82523951987685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5.8189515365137554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7.965487569499599E-20</v>
      </c>
      <c r="CN176" s="24">
        <f t="shared" si="172"/>
        <v>5.8189515365137554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99.618479999999707</v>
      </c>
      <c r="D177" s="12">
        <f t="shared" si="140"/>
        <v>26.871085458616797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976.41068073318002</v>
      </c>
      <c r="H177" s="70">
        <f t="shared" si="110"/>
        <v>513.63599317375702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-5.3205440053716299E-14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300.81172286376216</v>
      </c>
      <c r="T177" s="62">
        <f t="shared" si="142"/>
        <v>217.90654346456347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279.33945837918748</v>
      </c>
      <c r="AO177" s="62">
        <f t="shared" si="144"/>
        <v>215.78305328671854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0.76367016524604558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2.1702312827676674E-20</v>
      </c>
      <c r="AX177" s="23">
        <f t="shared" si="166"/>
        <v>0.76367016524604558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-2.2737367544323206E-13</v>
      </c>
      <c r="BE177" s="14">
        <f>BD177*VLOOKUP('Données projet'!$B$11,Paramètres!$A$1:$I$89,3,0)*VLOOKUP('Données projet'!$B$11,Paramètres!$A$1:$I$89,5,0)</f>
        <v>-1.2710188457276673E-13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376.38993452481719</v>
      </c>
      <c r="BJ177" s="62">
        <f t="shared" si="146"/>
        <v>470.10036612616727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0.28794459213191337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9.5955018463637803E-22</v>
      </c>
      <c r="BS177" s="24">
        <f t="shared" si="169"/>
        <v>0.28794459213191337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152.56843845628913</v>
      </c>
      <c r="CE177" s="62">
        <f t="shared" si="148"/>
        <v>311.82523951987685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5.7048454460927029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5.6324502758503171E-20</v>
      </c>
      <c r="CN177" s="24">
        <f t="shared" si="172"/>
        <v>5.7048454460927029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100.1909999999997</v>
      </c>
      <c r="D178" s="12">
        <f t="shared" si="140"/>
        <v>27.007495609899546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981.88312400624</v>
      </c>
      <c r="H178" s="70">
        <f t="shared" si="110"/>
        <v>514.87071318724111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-5.3205440053716299E-14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300.81172286376216</v>
      </c>
      <c r="T178" s="62">
        <f t="shared" si="142"/>
        <v>217.90654346456347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279.33945837918748</v>
      </c>
      <c r="AO178" s="62">
        <f t="shared" si="144"/>
        <v>215.78305328671854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0.74869505909837819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1.5345852567881973E-20</v>
      </c>
      <c r="AX178" s="23">
        <f t="shared" si="166"/>
        <v>0.74869505909837819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-2.2737367544323206E-13</v>
      </c>
      <c r="BE178" s="14">
        <f>BD178*VLOOKUP('Données projet'!$B$11,Paramètres!$A$1:$I$89,3,0)*VLOOKUP('Données projet'!$B$11,Paramètres!$A$1:$I$89,5,0)</f>
        <v>-1.2710188457276673E-13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376.38993452481719</v>
      </c>
      <c r="BJ178" s="62">
        <f t="shared" si="146"/>
        <v>470.10036612616727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0.28229817430906584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6.7850444244518665E-22</v>
      </c>
      <c r="BS178" s="24">
        <f t="shared" si="169"/>
        <v>0.28229817430906584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152.56843845628913</v>
      </c>
      <c r="CE178" s="62">
        <f t="shared" si="148"/>
        <v>311.82523951987685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5.5929769065069639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3.9827437847497995E-20</v>
      </c>
      <c r="CN178" s="24">
        <f t="shared" si="172"/>
        <v>5.5929769065069639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100.7635199999997</v>
      </c>
      <c r="D179" s="12">
        <f t="shared" si="140"/>
        <v>27.143815058590619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987.35486711894282</v>
      </c>
      <c r="H179" s="70">
        <f t="shared" si="110"/>
        <v>516.10527522704479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-5.3205440053716299E-14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300.81172286376216</v>
      </c>
      <c r="T179" s="62">
        <f t="shared" si="142"/>
        <v>217.90654346456347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279.33945837918748</v>
      </c>
      <c r="AO179" s="62">
        <f t="shared" si="144"/>
        <v>215.78305328671854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0.73401360564835372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1.0851156413838337E-20</v>
      </c>
      <c r="AX179" s="23">
        <f t="shared" si="166"/>
        <v>0.73401360564835372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-2.2737367544323206E-13</v>
      </c>
      <c r="BE179" s="14">
        <f>BD179*VLOOKUP('Données projet'!$B$11,Paramètres!$A$1:$I$89,3,0)*VLOOKUP('Données projet'!$B$11,Paramètres!$A$1:$I$89,5,0)</f>
        <v>-1.2710188457276673E-13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376.38993452481719</v>
      </c>
      <c r="BJ179" s="62">
        <f t="shared" si="146"/>
        <v>470.10036612616727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0.27676247929574954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4.7977509231818902E-22</v>
      </c>
      <c r="BS179" s="24">
        <f t="shared" si="169"/>
        <v>0.27676247929574954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152.56843845628913</v>
      </c>
      <c r="CE179" s="62">
        <f t="shared" si="148"/>
        <v>311.82523951987685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5.4833020407494297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2.8162251379251586E-20</v>
      </c>
      <c r="CN179" s="24">
        <f t="shared" si="172"/>
        <v>5.4833020407494297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101.3360399999997</v>
      </c>
      <c r="D180" s="12">
        <f t="shared" si="140"/>
        <v>27.28004437984902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992.82591451111318</v>
      </c>
      <c r="H180" s="70">
        <f t="shared" si="110"/>
        <v>517.33968029490313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-5.3205440053716299E-14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300.81172286376216</v>
      </c>
      <c r="T180" s="62">
        <f t="shared" si="142"/>
        <v>217.90654346456347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279.33945837918748</v>
      </c>
      <c r="AO180" s="62">
        <f t="shared" si="144"/>
        <v>215.78305328671854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0.71962004654568179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7.6729262839409866E-21</v>
      </c>
      <c r="AX180" s="23">
        <f t="shared" si="166"/>
        <v>0.71962004654568179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-2.2737367544323206E-13</v>
      </c>
      <c r="BE180" s="14">
        <f>BD180*VLOOKUP('Données projet'!$B$11,Paramètres!$A$1:$I$89,3,0)*VLOOKUP('Données projet'!$B$11,Paramètres!$A$1:$I$89,5,0)</f>
        <v>-1.2710188457276673E-13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376.38993452481719</v>
      </c>
      <c r="BJ180" s="62">
        <f t="shared" si="146"/>
        <v>470.10036612616727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0.27133533588520381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3.3925222122259332E-22</v>
      </c>
      <c r="BS180" s="24">
        <f t="shared" si="169"/>
        <v>0.27133533588520381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152.56843845628913</v>
      </c>
      <c r="CE180" s="62">
        <f t="shared" si="148"/>
        <v>311.82523951987685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5.3757778322143377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1.9913718923748998E-20</v>
      </c>
      <c r="CN180" s="24">
        <f t="shared" si="172"/>
        <v>5.3757778322143377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101.9085599999997</v>
      </c>
      <c r="D181" s="12">
        <f t="shared" si="140"/>
        <v>27.416184141958738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998.29627056950358</v>
      </c>
      <c r="H181" s="70">
        <f t="shared" si="110"/>
        <v>518.57392938057751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-5.3205440053716299E-14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300.81172286376216</v>
      </c>
      <c r="T181" s="62">
        <f t="shared" si="142"/>
        <v>217.90654346456347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279.33945837918748</v>
      </c>
      <c r="AO181" s="62">
        <f t="shared" si="144"/>
        <v>215.78305328671854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0.70550873635780909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5.4255782069191686E-21</v>
      </c>
      <c r="AX181" s="23">
        <f t="shared" si="166"/>
        <v>0.70550873635780909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-2.2737367544323206E-13</v>
      </c>
      <c r="BE181" s="14">
        <f>BD181*VLOOKUP('Données projet'!$B$11,Paramètres!$A$1:$I$89,3,0)*VLOOKUP('Données projet'!$B$11,Paramètres!$A$1:$I$89,5,0)</f>
        <v>-1.2710188457276673E-13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376.38993452481719</v>
      </c>
      <c r="BJ181" s="62">
        <f t="shared" si="146"/>
        <v>470.10036612616727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0.26601461544670824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2.3988754615909451E-22</v>
      </c>
      <c r="BS181" s="24">
        <f t="shared" si="169"/>
        <v>0.26601461544670824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152.56843845628913</v>
      </c>
      <c r="CE181" s="62">
        <f t="shared" si="148"/>
        <v>311.82523951987685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5.2703621078253278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1.4081125689625793E-20</v>
      </c>
      <c r="CN181" s="24">
        <f t="shared" si="172"/>
        <v>5.2703621078253278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102.48107999999969</v>
      </c>
      <c r="D182" s="12">
        <f t="shared" si="140"/>
        <v>27.552234906448959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1003.7659396287264</v>
      </c>
      <c r="H182" s="70">
        <f t="shared" si="110"/>
        <v>519.80802346206474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-5.3205440053716299E-14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300.81172286376216</v>
      </c>
      <c r="T182" s="62">
        <f t="shared" si="142"/>
        <v>217.90654346456347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279.33945837918748</v>
      </c>
      <c r="AO182" s="62">
        <f t="shared" si="144"/>
        <v>215.78305328671854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0.69167414035567132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3.8364631419704933E-21</v>
      </c>
      <c r="AX182" s="23">
        <f t="shared" si="166"/>
        <v>0.69167414035567132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-2.2737367544323206E-13</v>
      </c>
      <c r="BE182" s="14">
        <f>BD182*VLOOKUP('Données projet'!$B$11,Paramètres!$A$1:$I$89,3,0)*VLOOKUP('Données projet'!$B$11,Paramètres!$A$1:$I$89,5,0)</f>
        <v>-1.2710188457276673E-13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376.38993452481719</v>
      </c>
      <c r="BJ182" s="62">
        <f t="shared" si="146"/>
        <v>470.10036612616727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0.26079823109069256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1.6962611061129666E-22</v>
      </c>
      <c r="BS182" s="24">
        <f t="shared" si="169"/>
        <v>0.26079823109069256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152.56843845628913</v>
      </c>
      <c r="CE182" s="62">
        <f t="shared" si="148"/>
        <v>311.82523951987685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5.1670135214943436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9.9568594618744988E-21</v>
      </c>
      <c r="CN182" s="24">
        <f t="shared" si="172"/>
        <v>5.1670135214943436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103.05359999999969</v>
      </c>
      <c r="D183" s="12">
        <f t="shared" si="140"/>
        <v>27.688197228211795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1009.234925972159</v>
      </c>
      <c r="H183" s="70">
        <f t="shared" si="110"/>
        <v>521.04196350580162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-5.3205440053716299E-14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300.81172286376216</v>
      </c>
      <c r="T183" s="62">
        <f t="shared" si="142"/>
        <v>217.90654346456347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279.33945837918748</v>
      </c>
      <c r="AO183" s="62">
        <f t="shared" si="144"/>
        <v>215.78305328671854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0.67811083234286507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2.7127891034595843E-21</v>
      </c>
      <c r="AX183" s="23">
        <f t="shared" si="166"/>
        <v>0.67811083234286507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-2.2737367544323206E-13</v>
      </c>
      <c r="BE183" s="14">
        <f>BD183*VLOOKUP('Données projet'!$B$11,Paramètres!$A$1:$I$89,3,0)*VLOOKUP('Données projet'!$B$11,Paramètres!$A$1:$I$89,5,0)</f>
        <v>-1.2710188457276673E-13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376.38993452481719</v>
      </c>
      <c r="BJ183" s="62">
        <f t="shared" si="146"/>
        <v>470.10036612616727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0.25568413685021807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1.1994377307954725E-22</v>
      </c>
      <c r="BS183" s="24">
        <f t="shared" si="169"/>
        <v>0.25568413685021807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152.56843845628913</v>
      </c>
      <c r="CE183" s="62">
        <f t="shared" si="148"/>
        <v>311.82523951987685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5.0656915379048959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7.0405628448128964E-21</v>
      </c>
      <c r="CN183" s="24">
        <f t="shared" si="172"/>
        <v>5.0656915379048959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103.62611999999969</v>
      </c>
      <c r="D184" s="12">
        <f t="shared" si="140"/>
        <v>27.824071655617022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1014.7032338328308</v>
      </c>
      <c r="H184" s="70">
        <f t="shared" si="110"/>
        <v>522.2757504668657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-5.3205440053716299E-14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300.81172286376216</v>
      </c>
      <c r="T184" s="62">
        <f t="shared" si="142"/>
        <v>217.90654346456347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279.33945837918748</v>
      </c>
      <c r="AO184" s="62">
        <f t="shared" si="144"/>
        <v>215.78305328671854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0.66481349252738897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1.9182315709852467E-21</v>
      </c>
      <c r="AX184" s="23">
        <f t="shared" si="166"/>
        <v>0.66481349252738897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-2.2737367544323206E-13</v>
      </c>
      <c r="BE184" s="14">
        <f>BD184*VLOOKUP('Données projet'!$B$11,Paramètres!$A$1:$I$89,3,0)*VLOOKUP('Données projet'!$B$11,Paramètres!$A$1:$I$89,5,0)</f>
        <v>-1.2710188457276673E-13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376.38993452481719</v>
      </c>
      <c r="BJ184" s="62">
        <f t="shared" si="146"/>
        <v>470.10036612616727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0.25067032687850982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8.4813055305648331E-23</v>
      </c>
      <c r="BS184" s="24">
        <f t="shared" si="169"/>
        <v>0.25067032687850982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152.56843845628913</v>
      </c>
      <c r="CE184" s="62">
        <f t="shared" si="148"/>
        <v>311.82523951987685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4.9663564166133298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4.9784297309372494E-21</v>
      </c>
      <c r="CN184" s="24">
        <f t="shared" si="172"/>
        <v>4.9663564166133298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104.19863999999968</v>
      </c>
      <c r="D185" s="12">
        <f t="shared" si="140"/>
        <v>27.959858730624397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1020.1708673942912</v>
      </c>
      <c r="H185" s="70">
        <f t="shared" si="110"/>
        <v>523.50938528917027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-5.3205440053716299E-14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300.81172286376216</v>
      </c>
      <c r="T185" s="62">
        <f t="shared" si="142"/>
        <v>217.90654346456347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279.33945837918748</v>
      </c>
      <c r="AO185" s="62">
        <f t="shared" si="144"/>
        <v>215.78305328671854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0.6517769054351179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1.3563945517297921E-21</v>
      </c>
      <c r="AX185" s="23">
        <f t="shared" si="166"/>
        <v>0.6517769054351179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-2.2737367544323206E-13</v>
      </c>
      <c r="BE185" s="14">
        <f>BD185*VLOOKUP('Données projet'!$B$11,Paramètres!$A$1:$I$89,3,0)*VLOOKUP('Données projet'!$B$11,Paramètres!$A$1:$I$89,5,0)</f>
        <v>-1.2710188457276673E-13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376.38993452481719</v>
      </c>
      <c r="BJ185" s="62">
        <f t="shared" si="146"/>
        <v>470.10036612616727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0.24575483466222464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5.9971886539773627E-23</v>
      </c>
      <c r="BS185" s="24">
        <f t="shared" si="169"/>
        <v>0.24575483466222464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152.56843845628913</v>
      </c>
      <c r="CE185" s="62">
        <f t="shared" si="148"/>
        <v>311.82523951987685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4.8689691964618502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3.5202814224064482E-21</v>
      </c>
      <c r="CN185" s="24">
        <f t="shared" si="172"/>
        <v>4.8689691964618502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104.77115999999968</v>
      </c>
      <c r="D186" s="12">
        <f t="shared" si="140"/>
        <v>28.095558988893345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1025.6378307914549</v>
      </c>
      <c r="H186" s="70">
        <f t="shared" si="110"/>
        <v>524.74286890565531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-5.3205440053716299E-14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300.81172286376216</v>
      </c>
      <c r="T186" s="62">
        <f t="shared" si="142"/>
        <v>217.90654346456347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279.33945837918748</v>
      </c>
      <c r="AO186" s="62">
        <f t="shared" si="144"/>
        <v>215.78305328671854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0.63899595786419328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9.5911578549262333E-22</v>
      </c>
      <c r="AX186" s="23">
        <f t="shared" si="166"/>
        <v>0.63899595786419328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-2.2737367544323206E-13</v>
      </c>
      <c r="BE186" s="14">
        <f>BD186*VLOOKUP('Données projet'!$B$11,Paramètres!$A$1:$I$89,3,0)*VLOOKUP('Données projet'!$B$11,Paramètres!$A$1:$I$89,5,0)</f>
        <v>-1.2710188457276673E-13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376.38993452481719</v>
      </c>
      <c r="BJ186" s="62">
        <f t="shared" si="146"/>
        <v>470.10036612616727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0.24093573225014658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4.2406527652824165E-23</v>
      </c>
      <c r="BS186" s="24">
        <f t="shared" si="169"/>
        <v>0.24093573225014658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152.56843845628913</v>
      </c>
      <c r="CE186" s="62">
        <f t="shared" si="148"/>
        <v>311.82523951987685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4.7734916802972016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2.4892148654686247E-21</v>
      </c>
      <c r="CN186" s="24">
        <f t="shared" si="172"/>
        <v>4.7734916802972016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105.34367999999968</v>
      </c>
      <c r="D187" s="12">
        <f t="shared" si="140"/>
        <v>28.231172959890333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1031.1041281114317</v>
      </c>
      <c r="H187" s="70">
        <f t="shared" si="110"/>
        <v>525.97620223847503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-5.3205440053716299E-14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300.81172286376216</v>
      </c>
      <c r="T187" s="62">
        <f t="shared" si="142"/>
        <v>217.90654346456347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279.33945837918748</v>
      </c>
      <c r="AO187" s="62">
        <f t="shared" si="144"/>
        <v>215.78305328671854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0.62646563687952617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6.7819727586489607E-22</v>
      </c>
      <c r="AX187" s="23">
        <f t="shared" si="166"/>
        <v>0.62646563687952617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-2.2737367544323206E-13</v>
      </c>
      <c r="BE187" s="14">
        <f>BD187*VLOOKUP('Données projet'!$B$11,Paramètres!$A$1:$I$89,3,0)*VLOOKUP('Données projet'!$B$11,Paramètres!$A$1:$I$89,5,0)</f>
        <v>-1.2710188457276673E-13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376.38993452481719</v>
      </c>
      <c r="BJ187" s="62">
        <f t="shared" si="146"/>
        <v>470.10036612616727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0.23621112949700715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2.9985943269886814E-23</v>
      </c>
      <c r="BS187" s="24">
        <f t="shared" si="169"/>
        <v>0.23621112949700715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152.56843845628913</v>
      </c>
      <c r="CE187" s="62">
        <f t="shared" si="148"/>
        <v>311.82523951987685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4.6798864199890078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1.7601407112032241E-21</v>
      </c>
      <c r="CN187" s="24">
        <f t="shared" si="172"/>
        <v>4.6798864199890078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105.91619999999968</v>
      </c>
      <c r="D188" s="12">
        <f t="shared" si="140"/>
        <v>28.366701166993593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1036.5697633943339</v>
      </c>
      <c r="H188" s="70">
        <f t="shared" si="110"/>
        <v>527.2093861991799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-5.3205440053716299E-14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300.81172286376216</v>
      </c>
      <c r="T188" s="62">
        <f t="shared" si="142"/>
        <v>217.90654346456347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279.33945837918748</v>
      </c>
      <c r="AO188" s="62">
        <f t="shared" si="144"/>
        <v>215.78305328671854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0.61418102784662731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4.7955789274631166E-22</v>
      </c>
      <c r="AX188" s="23">
        <f t="shared" si="166"/>
        <v>0.61418102784662731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-2.2737367544323206E-13</v>
      </c>
      <c r="BE188" s="14">
        <f>BD188*VLOOKUP('Données projet'!$B$11,Paramètres!$A$1:$I$89,3,0)*VLOOKUP('Données projet'!$B$11,Paramètres!$A$1:$I$89,5,0)</f>
        <v>-1.2710188457276673E-13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376.38993452481719</v>
      </c>
      <c r="BJ188" s="62">
        <f t="shared" si="146"/>
        <v>470.10036612616727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0.23157917332213365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2.1203263826412083E-23</v>
      </c>
      <c r="BS188" s="24">
        <f t="shared" si="169"/>
        <v>0.23157917332213365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152.56843845628913</v>
      </c>
      <c r="CE188" s="62">
        <f t="shared" si="148"/>
        <v>311.82523951987685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4.5881167017418862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1.2446074327343123E-21</v>
      </c>
      <c r="CN188" s="24">
        <f t="shared" si="172"/>
        <v>4.5881167017418862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106.48871999999967</v>
      </c>
      <c r="D189" s="12">
        <f t="shared" si="140"/>
        <v>28.502144127595731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1042.03474063407</v>
      </c>
      <c r="H189" s="70">
        <f t="shared" si="110"/>
        <v>528.44242168889537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-5.3205440053716299E-14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300.81172286376216</v>
      </c>
      <c r="T189" s="62">
        <f t="shared" si="142"/>
        <v>217.90654346456347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279.33945837918748</v>
      </c>
      <c r="AO189" s="62">
        <f t="shared" si="144"/>
        <v>215.78305328671854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0.60213731250399194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3.3909863793244803E-22</v>
      </c>
      <c r="AX189" s="23">
        <f t="shared" si="166"/>
        <v>0.60213731250399194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-2.2737367544323206E-13</v>
      </c>
      <c r="BE189" s="14">
        <f>BD189*VLOOKUP('Données projet'!$B$11,Paramètres!$A$1:$I$89,3,0)*VLOOKUP('Données projet'!$B$11,Paramètres!$A$1:$I$89,5,0)</f>
        <v>-1.2710188457276673E-13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376.38993452481719</v>
      </c>
      <c r="BJ189" s="62">
        <f t="shared" si="146"/>
        <v>470.10036612616727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0.22703804698263513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1.4992971634943407E-23</v>
      </c>
      <c r="BS189" s="24">
        <f t="shared" si="169"/>
        <v>0.22703804698263513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152.56843845628913</v>
      </c>
      <c r="CE189" s="62">
        <f t="shared" si="148"/>
        <v>311.82523951987685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4.4981465316955891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8.8007035560161205E-22</v>
      </c>
      <c r="CN189" s="24">
        <f t="shared" si="172"/>
        <v>4.4981465316955891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107.06123999999967</v>
      </c>
      <c r="D190" s="12">
        <f t="shared" si="140"/>
        <v>28.637502353203949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1047.4990637791159</v>
      </c>
      <c r="H190" s="70">
        <f t="shared" si="110"/>
        <v>529.67530959849626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-5.3205440053716299E-14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300.81172286376216</v>
      </c>
      <c r="T190" s="62">
        <f t="shared" si="142"/>
        <v>217.90654346456347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279.33945837918748</v>
      </c>
      <c r="AO190" s="62">
        <f t="shared" si="144"/>
        <v>215.78305328671854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0.59032976707328466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2.3977894637315583E-22</v>
      </c>
      <c r="AX190" s="23">
        <f t="shared" si="166"/>
        <v>0.59032976707328466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-2.2737367544323206E-13</v>
      </c>
      <c r="BE190" s="14">
        <f>BD190*VLOOKUP('Données projet'!$B$11,Paramètres!$A$1:$I$89,3,0)*VLOOKUP('Données projet'!$B$11,Paramètres!$A$1:$I$89,5,0)</f>
        <v>-1.2710188457276673E-13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376.38993452481719</v>
      </c>
      <c r="BJ190" s="62">
        <f t="shared" si="146"/>
        <v>470.10036612616727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0.2225859693608406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1.0601631913206041E-23</v>
      </c>
      <c r="BS190" s="24">
        <f t="shared" si="169"/>
        <v>0.2225859693608406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152.56843845628913</v>
      </c>
      <c r="CE190" s="62">
        <f t="shared" si="148"/>
        <v>311.82523951987685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4.4099406218075154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6.2230371636715617E-22</v>
      </c>
      <c r="CN190" s="24">
        <f t="shared" si="172"/>
        <v>4.4099406218075154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107.63375999999967</v>
      </c>
      <c r="D191" s="12">
        <f t="shared" si="140"/>
        <v>28.772776349538095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1052.9627367332741</v>
      </c>
      <c r="H191" s="70">
        <f t="shared" si="110"/>
        <v>530.90805080877828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-5.3205440053716299E-14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300.81172286376216</v>
      </c>
      <c r="T191" s="62">
        <f t="shared" si="142"/>
        <v>217.90654346456347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279.33945837918748</v>
      </c>
      <c r="AO191" s="62">
        <f t="shared" si="144"/>
        <v>215.78305328671854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0.57875376040658189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1.6954931896622402E-22</v>
      </c>
      <c r="AX191" s="23">
        <f t="shared" si="166"/>
        <v>0.57875376040658189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-2.2737367544323206E-13</v>
      </c>
      <c r="BE191" s="14">
        <f>BD191*VLOOKUP('Données projet'!$B$11,Paramètres!$A$1:$I$89,3,0)*VLOOKUP('Données projet'!$B$11,Paramètres!$A$1:$I$89,5,0)</f>
        <v>-1.2710188457276673E-13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376.38993452481719</v>
      </c>
      <c r="BJ191" s="62">
        <f t="shared" si="146"/>
        <v>470.10036612616727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0.21822119426571024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7.4964858174717034E-24</v>
      </c>
      <c r="BS191" s="24">
        <f t="shared" si="169"/>
        <v>0.21822119426571024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152.56843845628913</v>
      </c>
      <c r="CE191" s="62">
        <f t="shared" si="148"/>
        <v>311.82523951987685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4.3234643760120539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4.4003517780080603E-22</v>
      </c>
      <c r="CN191" s="24">
        <f t="shared" si="172"/>
        <v>4.3234643760120539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108.20627999999967</v>
      </c>
      <c r="D192" s="12">
        <f t="shared" si="140"/>
        <v>28.907966616626613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1058.4257633564132</v>
      </c>
      <c r="H192" s="70">
        <f t="shared" si="110"/>
        <v>532.14064619062401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-5.3205440053716299E-14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300.81172286376216</v>
      </c>
      <c r="T192" s="62">
        <f t="shared" si="142"/>
        <v>217.90654346456347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279.33945837918748</v>
      </c>
      <c r="AO192" s="62">
        <f t="shared" si="144"/>
        <v>215.78305328671854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0.56740475216994635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1.1988947318657792E-22</v>
      </c>
      <c r="AX192" s="23">
        <f t="shared" si="166"/>
        <v>0.56740475216994635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-2.2737367544323206E-13</v>
      </c>
      <c r="BE192" s="14">
        <f>BD192*VLOOKUP('Données projet'!$B$11,Paramètres!$A$1:$I$89,3,0)*VLOOKUP('Données projet'!$B$11,Paramètres!$A$1:$I$89,5,0)</f>
        <v>-1.2710188457276673E-13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376.38993452481719</v>
      </c>
      <c r="BJ192" s="62">
        <f t="shared" si="146"/>
        <v>470.10036612616727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0.21394200974794544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5.3008159566030207E-24</v>
      </c>
      <c r="BS192" s="24">
        <f t="shared" si="169"/>
        <v>0.21394200974794544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152.56843845628913</v>
      </c>
      <c r="CE192" s="62">
        <f t="shared" si="148"/>
        <v>311.82523951987685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4.2386838766513399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3.1115185818357809E-22</v>
      </c>
      <c r="CN192" s="24">
        <f t="shared" si="172"/>
        <v>4.2386838766513399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108.77879999999966</v>
      </c>
      <c r="D193" s="12">
        <f t="shared" si="140"/>
        <v>29.04307364890035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1063.8881474651932</v>
      </c>
      <c r="H193" s="70">
        <f t="shared" si="110"/>
        <v>533.37309660516746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-5.3205440053716299E-14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300.81172286376216</v>
      </c>
      <c r="T193" s="62">
        <f t="shared" si="142"/>
        <v>217.90654346456347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279.33945837918748</v>
      </c>
      <c r="AO193" s="62">
        <f t="shared" si="144"/>
        <v>215.78305328671854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0.55627829106261972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8.4774659483112009E-23</v>
      </c>
      <c r="AX193" s="23">
        <f t="shared" si="166"/>
        <v>0.55627829106261972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-2.2737367544323206E-13</v>
      </c>
      <c r="BE193" s="14">
        <f>BD193*VLOOKUP('Données projet'!$B$11,Paramètres!$A$1:$I$89,3,0)*VLOOKUP('Données projet'!$B$11,Paramètres!$A$1:$I$89,5,0)</f>
        <v>-1.2710188457276673E-13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376.38993452481719</v>
      </c>
      <c r="BJ193" s="62">
        <f t="shared" si="146"/>
        <v>470.10036612616727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0.2097467374285292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3.7482429087358517E-24</v>
      </c>
      <c r="BS193" s="24">
        <f t="shared" si="169"/>
        <v>0.2097467374285292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152.56843845628913</v>
      </c>
      <c r="CE193" s="62">
        <f t="shared" si="148"/>
        <v>311.82523951987685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4.1555658711720902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2.2001758890040301E-22</v>
      </c>
      <c r="CN193" s="24">
        <f t="shared" si="172"/>
        <v>4.1555658711720902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109.35131999999966</v>
      </c>
      <c r="D194" s="12">
        <f t="shared" si="140"/>
        <v>29.178097935284267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1069.3498928337708</v>
      </c>
      <c r="H194" s="70">
        <f t="shared" si="110"/>
        <v>534.60540290395284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-5.3205440053716299E-14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300.81172286376216</v>
      </c>
      <c r="T194" s="62">
        <f t="shared" si="142"/>
        <v>217.90654346456347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279.33945837918748</v>
      </c>
      <c r="AO194" s="62">
        <f t="shared" si="144"/>
        <v>215.78305328671854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0.54537001307113653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5.9944736593288958E-23</v>
      </c>
      <c r="AX194" s="23">
        <f t="shared" si="166"/>
        <v>0.54537001307113653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-2.2737367544323206E-13</v>
      </c>
      <c r="BE194" s="14">
        <f>BD194*VLOOKUP('Données projet'!$B$11,Paramètres!$A$1:$I$89,3,0)*VLOOKUP('Données projet'!$B$11,Paramètres!$A$1:$I$89,5,0)</f>
        <v>-1.2710188457276673E-13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376.38993452481719</v>
      </c>
      <c r="BJ194" s="62">
        <f t="shared" si="146"/>
        <v>470.10036612616727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0.20563373184043326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2.6504079783015103E-24</v>
      </c>
      <c r="BS194" s="24">
        <f t="shared" si="169"/>
        <v>0.20563373184043326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152.56843845628913</v>
      </c>
      <c r="CE194" s="62">
        <f t="shared" si="148"/>
        <v>311.82523951987685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4.0740777590833117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1.5557592909178904E-22</v>
      </c>
      <c r="CN194" s="24">
        <f t="shared" si="172"/>
        <v>4.0740777590833117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109.92383999999966</v>
      </c>
      <c r="D195" s="12">
        <f t="shared" si="140"/>
        <v>29.313039959287355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1074.8110031944964</v>
      </c>
      <c r="H195" s="70">
        <f t="shared" si="110"/>
        <v>535.83756592909151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-5.3205440053716299E-14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300.81172286376216</v>
      </c>
      <c r="T195" s="62">
        <f t="shared" si="142"/>
        <v>217.90654346456347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279.33945837918748</v>
      </c>
      <c r="AO195" s="62">
        <f t="shared" si="144"/>
        <v>215.78305328671854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0.53467563975767374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4.2387329741556004E-23</v>
      </c>
      <c r="AX195" s="23">
        <f t="shared" si="166"/>
        <v>0.53467563975767374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-2.2737367544323206E-13</v>
      </c>
      <c r="BE195" s="14">
        <f>BD195*VLOOKUP('Données projet'!$B$11,Paramètres!$A$1:$I$89,3,0)*VLOOKUP('Données projet'!$B$11,Paramètres!$A$1:$I$89,5,0)</f>
        <v>-1.2710188457276673E-13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376.38993452481719</v>
      </c>
      <c r="BJ195" s="62">
        <f t="shared" si="146"/>
        <v>470.10036612616727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0.20160137978323417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1.8741214543679258E-24</v>
      </c>
      <c r="BS195" s="24">
        <f t="shared" si="169"/>
        <v>0.20160137978323417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152.56843845628913</v>
      </c>
      <c r="CE195" s="62">
        <f t="shared" si="148"/>
        <v>311.82523951987685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3.9941875791697532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1.1000879445020151E-22</v>
      </c>
      <c r="CN195" s="24">
        <f t="shared" si="172"/>
        <v>3.9941875791697532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110.49635999999965</v>
      </c>
      <c r="D196" s="12">
        <f t="shared" si="140"/>
        <v>29.447900199090455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1080.2714822385904</v>
      </c>
      <c r="H196" s="70">
        <f t="shared" ref="H196:H203" si="192">(B196+E196+F196)*44/12+(C196+D196)*0.475*44/12</f>
        <v>537.06958651341529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-5.3205440053716299E-14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300.81172286376216</v>
      </c>
      <c r="T196" s="62">
        <f t="shared" si="142"/>
        <v>217.90654346456347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279.33945837918748</v>
      </c>
      <c r="AO196" s="62">
        <f t="shared" si="144"/>
        <v>215.78305328671854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0.52419097658196434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2.9972368296644479E-23</v>
      </c>
      <c r="AX196" s="23">
        <f t="shared" si="166"/>
        <v>0.52419097658196434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-2.2737367544323206E-13</v>
      </c>
      <c r="BE196" s="14">
        <f>BD196*VLOOKUP('Données projet'!$B$11,Paramètres!$A$1:$I$89,3,0)*VLOOKUP('Données projet'!$B$11,Paramètres!$A$1:$I$89,5,0)</f>
        <v>-1.2710188457276673E-13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376.38993452481719</v>
      </c>
      <c r="BJ196" s="62">
        <f t="shared" si="146"/>
        <v>470.10036612616727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0.19764809969038485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1.3252039891507552E-24</v>
      </c>
      <c r="BS196" s="24">
        <f t="shared" si="169"/>
        <v>0.19764809969038485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152.56843845628913</v>
      </c>
      <c r="CE196" s="62">
        <f t="shared" si="148"/>
        <v>311.82523951987685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3.9158639969561015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7.7787964545894522E-23</v>
      </c>
      <c r="CN196" s="24">
        <f t="shared" si="172"/>
        <v>3.9158639969561015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111.06887999999965</v>
      </c>
      <c r="D197" s="12">
        <f t="shared" ref="D197:D203" si="202">IFERROR(EXP(-1.0587+0.8836*LN(C197)+0.284),0)</f>
        <v>29.582679127632304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1085.7313336168083</v>
      </c>
      <c r="H197" s="70">
        <f t="shared" si="192"/>
        <v>538.30146548062567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-5.3205440053716299E-14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300.81172286376216</v>
      </c>
      <c r="T197" s="62">
        <f t="shared" ref="T197:T203" si="204">$T$3</f>
        <v>217.90654346456347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279.33945837918748</v>
      </c>
      <c r="AO197" s="62">
        <f t="shared" ref="AO197:AO203" si="205">$AO$3</f>
        <v>215.78305328671854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0.51391191125611757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2.1193664870778002E-23</v>
      </c>
      <c r="AX197" s="23">
        <f t="shared" si="166"/>
        <v>0.51391191125611757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-2.2737367544323206E-13</v>
      </c>
      <c r="BE197" s="14">
        <f>BD197*VLOOKUP('Données projet'!$B$11,Paramètres!$A$1:$I$89,3,0)*VLOOKUP('Données projet'!$B$11,Paramètres!$A$1:$I$89,5,0)</f>
        <v>-1.2710188457276673E-13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376.38993452481719</v>
      </c>
      <c r="BJ197" s="62">
        <f t="shared" ref="BJ197:BJ203" si="206">$BJ$3</f>
        <v>470.10036612616727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0.19377234100889357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9.3706072718396292E-25</v>
      </c>
      <c r="BS197" s="24">
        <f t="shared" si="169"/>
        <v>0.19377234100889357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152.56843845628913</v>
      </c>
      <c r="CE197" s="62">
        <f t="shared" ref="CE197:CE203" si="207">$CE$3</f>
        <v>311.82523951987685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3.8390762924169914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5.5004397225100753E-23</v>
      </c>
      <c r="CN197" s="24">
        <f t="shared" si="172"/>
        <v>3.8390762924169914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111.64139999999965</v>
      </c>
      <c r="D198" s="12">
        <f t="shared" si="202"/>
        <v>29.71737721269362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1091.1905609400885</v>
      </c>
      <c r="H198" s="70">
        <f t="shared" si="192"/>
        <v>539.53320364544072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-5.3205440053716299E-14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300.81172286376216</v>
      </c>
      <c r="T198" s="62">
        <f t="shared" si="204"/>
        <v>217.90654346456347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279.33945837918748</v>
      </c>
      <c r="AO198" s="62">
        <f t="shared" si="205"/>
        <v>215.78305328671854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0.50383441213169988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1.498618414832224E-23</v>
      </c>
      <c r="AX198" s="23">
        <f t="shared" si="166"/>
        <v>0.50383441213169988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-2.2737367544323206E-13</v>
      </c>
      <c r="BE198" s="14">
        <f>BD198*VLOOKUP('Données projet'!$B$11,Paramètres!$A$1:$I$89,3,0)*VLOOKUP('Données projet'!$B$11,Paramètres!$A$1:$I$89,5,0)</f>
        <v>-1.2710188457276673E-13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376.38993452481719</v>
      </c>
      <c r="BJ198" s="62">
        <f t="shared" si="206"/>
        <v>470.10036612616727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0.18997258359116695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6.6260199457537758E-25</v>
      </c>
      <c r="BS198" s="24">
        <f t="shared" si="169"/>
        <v>0.18997258359116695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152.56843845628913</v>
      </c>
      <c r="CE198" s="62">
        <f t="shared" si="207"/>
        <v>311.82523951987685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3.7637943479280183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3.8893982272947261E-23</v>
      </c>
      <c r="CN198" s="24">
        <f t="shared" si="172"/>
        <v>3.7637943479280183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112.21391999999965</v>
      </c>
      <c r="D199" s="12">
        <f t="shared" si="202"/>
        <v>29.851994916979699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1096.6491677801916</v>
      </c>
      <c r="H199" s="70">
        <f t="shared" si="192"/>
        <v>540.76480181373904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-5.3205440053716299E-14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300.81172286376216</v>
      </c>
      <c r="T199" s="62">
        <f t="shared" si="204"/>
        <v>217.90654346456347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279.33945837918748</v>
      </c>
      <c r="AO199" s="62">
        <f t="shared" si="205"/>
        <v>215.78305328671854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0.49395452661844447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1.0596832435389001E-23</v>
      </c>
      <c r="AX199" s="23">
        <f t="shared" si="166"/>
        <v>0.49395452661844447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-2.2737367544323206E-13</v>
      </c>
      <c r="BE199" s="14">
        <f>BD199*VLOOKUP('Données projet'!$B$11,Paramètres!$A$1:$I$89,3,0)*VLOOKUP('Données projet'!$B$11,Paramètres!$A$1:$I$89,5,0)</f>
        <v>-1.2710188457276673E-13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376.38993452481719</v>
      </c>
      <c r="BJ199" s="62">
        <f t="shared" si="206"/>
        <v>470.10036612616727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0.18624733709877878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4.6853036359198146E-25</v>
      </c>
      <c r="BS199" s="24">
        <f t="shared" si="169"/>
        <v>0.18624733709877878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152.56843845628913</v>
      </c>
      <c r="CE199" s="62">
        <f t="shared" si="207"/>
        <v>311.82523951987685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3.6899886364530219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2.7502198612550377E-23</v>
      </c>
      <c r="CN199" s="24">
        <f t="shared" si="172"/>
        <v>3.6899886364530219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112.78643999999964</v>
      </c>
      <c r="D200" s="12">
        <f t="shared" si="202"/>
        <v>29.986532698200904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1102.10715767032</v>
      </c>
      <c r="H200" s="70">
        <f t="shared" si="192"/>
        <v>541.99626078269921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-5.3205440053716299E-14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300.81172286376216</v>
      </c>
      <c r="T200" s="62">
        <f t="shared" si="204"/>
        <v>217.90654346456347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279.33945837918748</v>
      </c>
      <c r="AO200" s="62">
        <f t="shared" si="205"/>
        <v>215.78305328671854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0.48426837963396885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7.4930920741611198E-24</v>
      </c>
      <c r="AX200" s="23">
        <f t="shared" si="166"/>
        <v>0.48426837963396885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-2.2737367544323206E-13</v>
      </c>
      <c r="BE200" s="14">
        <f>BD200*VLOOKUP('Données projet'!$B$11,Paramètres!$A$1:$I$89,3,0)*VLOOKUP('Données projet'!$B$11,Paramètres!$A$1:$I$89,5,0)</f>
        <v>-1.2710188457276673E-13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376.38993452481719</v>
      </c>
      <c r="BJ200" s="62">
        <f t="shared" si="206"/>
        <v>470.10036612616727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0.18259514041793032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3.3130099728768879E-25</v>
      </c>
      <c r="BS200" s="24">
        <f t="shared" si="169"/>
        <v>0.18259514041793032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152.56843845628913</v>
      </c>
      <c r="CE200" s="62">
        <f t="shared" si="207"/>
        <v>311.82523951987685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3.6176302099630111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1.944699113647363E-23</v>
      </c>
      <c r="CN200" s="24">
        <f t="shared" si="172"/>
        <v>3.6176302099630111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113.35895999999964</v>
      </c>
      <c r="D201" s="12">
        <f t="shared" si="202"/>
        <v>30.120991009151766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1107.5645341057304</v>
      </c>
      <c r="H201" s="70">
        <f t="shared" si="192"/>
        <v>543.22758134093874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-5.3205440053716299E-14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300.81172286376216</v>
      </c>
      <c r="T201" s="62">
        <f t="shared" si="204"/>
        <v>217.90654346456347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279.33945837918748</v>
      </c>
      <c r="AO201" s="62">
        <f t="shared" si="205"/>
        <v>215.78305328671854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0.4747721720838925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5.2984162176945005E-24</v>
      </c>
      <c r="AX201" s="23">
        <f t="shared" si="166"/>
        <v>0.4747721720838925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-2.2737367544323206E-13</v>
      </c>
      <c r="BE201" s="14">
        <f>BD201*VLOOKUP('Données projet'!$B$11,Paramètres!$A$1:$I$89,3,0)*VLOOKUP('Données projet'!$B$11,Paramètres!$A$1:$I$89,5,0)</f>
        <v>-1.2710188457276673E-13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376.38993452481719</v>
      </c>
      <c r="BJ201" s="62">
        <f t="shared" si="206"/>
        <v>470.10036612616727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0.17901456108637329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2.3426518179599073E-25</v>
      </c>
      <c r="BS201" s="24">
        <f t="shared" si="169"/>
        <v>0.17901456108637329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152.56843845628913</v>
      </c>
      <c r="CE201" s="62">
        <f t="shared" si="207"/>
        <v>311.82523951987685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3.5466906880821871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1.3751099306275188E-23</v>
      </c>
      <c r="CN201" s="24">
        <f t="shared" si="172"/>
        <v>3.5466906880821871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113.93147999999964</v>
      </c>
      <c r="D202" s="12">
        <f t="shared" si="202"/>
        <v>30.255370297788318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1113.0213005443281</v>
      </c>
      <c r="H202" s="70">
        <f t="shared" si="192"/>
        <v>544.45876426864731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-5.3205440053716299E-14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300.81172286376216</v>
      </c>
      <c r="T202" s="62">
        <f t="shared" si="204"/>
        <v>217.90654346456347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279.33945837918748</v>
      </c>
      <c r="AO202" s="62">
        <f t="shared" si="205"/>
        <v>215.78305328671854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0.46546217937175843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3.7465460370805599E-24</v>
      </c>
      <c r="AX202" s="23">
        <f t="shared" si="166"/>
        <v>0.46546217937175843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-2.2737367544323206E-13</v>
      </c>
      <c r="BE202" s="14">
        <f>BD202*VLOOKUP('Données projet'!$B$11,Paramètres!$A$1:$I$89,3,0)*VLOOKUP('Données projet'!$B$11,Paramètres!$A$1:$I$89,5,0)</f>
        <v>-1.2710188457276673E-13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376.38993452481719</v>
      </c>
      <c r="BJ202" s="62">
        <f t="shared" si="206"/>
        <v>470.10036612616727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0.17550419473157033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1.656504986438444E-25</v>
      </c>
      <c r="BS202" s="24">
        <f t="shared" si="169"/>
        <v>0.17550419473157033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152.56843845628913</v>
      </c>
      <c r="CE202" s="62">
        <f t="shared" si="207"/>
        <v>311.82523951987685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3.47714224695661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9.7234955682368152E-24</v>
      </c>
      <c r="CN202" s="24">
        <f t="shared" si="172"/>
        <v>3.47714224695661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114.50399999999964</v>
      </c>
      <c r="D203" s="12">
        <f t="shared" si="202"/>
        <v>30.389671007303843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1118.477460407255</v>
      </c>
      <c r="H203" s="70">
        <f t="shared" si="192"/>
        <v>545.68981033772025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-5.3205440053716299E-14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300.81172286376216</v>
      </c>
      <c r="T203" s="62">
        <f t="shared" si="204"/>
        <v>217.90654346456347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279.33945837918748</v>
      </c>
      <c r="AO203" s="62">
        <f t="shared" si="205"/>
        <v>215.78305328671854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0.45633474993817447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2.6492081088472503E-24</v>
      </c>
      <c r="AX203" s="23">
        <f t="shared" si="166"/>
        <v>0.45633474993817447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-2.2737367544323206E-13</v>
      </c>
      <c r="BE203" s="14">
        <f>BD203*VLOOKUP('Données projet'!$B$11,Paramètres!$A$1:$I$89,3,0)*VLOOKUP('Données projet'!$B$11,Paramètres!$A$1:$I$89,5,0)</f>
        <v>-1.2710188457276673E-13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376.38993452481719</v>
      </c>
      <c r="BJ203" s="62">
        <f t="shared" si="206"/>
        <v>470.10036612616727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0.17206266451987301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1.1713259089799537E-25</v>
      </c>
      <c r="BS203" s="24">
        <f t="shared" si="169"/>
        <v>0.17206266451987301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152.56843845628913</v>
      </c>
      <c r="CE203" s="62">
        <f t="shared" si="207"/>
        <v>311.82523951987685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3.408957608341145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6.8755496531375942E-24</v>
      </c>
      <c r="CN203" s="24">
        <f t="shared" si="172"/>
        <v>3.408957608341145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1.2880503926580862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1.244502252163008</v>
      </c>
      <c r="BA205" s="88">
        <f>EXP(LN('Données projet'!B88)/'Données projet'!A88)</f>
        <v>1.3070441688874561</v>
      </c>
      <c r="BV205" s="88">
        <f>EXP(LN('Données projet'!B114)/'Données projet'!A114)</f>
        <v>1.4261938757879591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3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4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3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5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5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4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3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4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5" sqref="G2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7" t="s">
        <v>191</v>
      </c>
      <c r="C2" s="318"/>
      <c r="D2" s="318"/>
      <c r="E2" s="318"/>
      <c r="F2" s="318"/>
      <c r="G2" s="31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16"/>
      <c r="C4" s="316"/>
      <c r="D4" s="316"/>
      <c r="E4" s="316"/>
      <c r="F4" s="316"/>
      <c r="G4" s="31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129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L25" sqref="L2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7" t="s">
        <v>271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2.4800000000000004</v>
      </c>
      <c r="C6" s="156">
        <f ca="1">IF(OR('Données projet'!B9="",'Données projet'!C9="",'Données projet'!C9=0%),0,Calculateur!S3)</f>
        <v>300.81172286376216</v>
      </c>
      <c r="D6" s="156">
        <f>IF(OR('Données projet'!B9="",'Données projet'!C9="",'Données projet'!C9=0%),0,Calculateur!T3)</f>
        <v>217.90654346456347</v>
      </c>
      <c r="E6" s="156">
        <f ca="1">MIN(C6,D6)</f>
        <v>217.90654346456347</v>
      </c>
      <c r="F6" s="156">
        <f ca="1">E6*B6</f>
        <v>540.40822779211749</v>
      </c>
      <c r="G6" s="156">
        <f ca="1">F6*(100%-'Données projet'!$C$24)*(100%-'Données projet'!$C$25)*(100%-'Données projet'!$C$26)*(100%-'Données projet'!$C$27)</f>
        <v>462.04903476226042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462.04903476226042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Laricio</v>
      </c>
      <c r="B7" s="163">
        <f>'Données projet'!D10</f>
        <v>1.9219999999999999</v>
      </c>
      <c r="C7" s="156">
        <f ca="1">IF(OR('Données projet'!B10="",'Données projet'!C10="",'Données projet'!C10=0%),0,Calculateur!AN3)</f>
        <v>279.33945837918748</v>
      </c>
      <c r="D7" s="156">
        <f>IF(OR('Données projet'!B10="",'Données projet'!C10="",'Données projet'!C10=0%),0,Calculateur!AO3)</f>
        <v>215.78305328671854</v>
      </c>
      <c r="E7" s="156">
        <f t="shared" ref="E7:E15" ca="1" si="0">MIN(C7,D7)</f>
        <v>215.78305328671854</v>
      </c>
      <c r="F7" s="156">
        <f t="shared" ref="F7:F15" ca="1" si="1">E7*B7</f>
        <v>414.73502841707301</v>
      </c>
      <c r="G7" s="156">
        <f ca="1">F7*(100%-'Données projet'!$C$24)*(100%-'Données projet'!$C$25)*(100%-'Données projet'!$C$26)*(100%-'Données projet'!$C$27)</f>
        <v>354.59844929659744</v>
      </c>
      <c r="H7" s="164">
        <f>IF(OR('Données projet'!B10="",'Données projet'!C10="",'Données projet'!C10=0%),0,AVERAGE(Calculateur!$AX$3:$AX$33)*B7)</f>
        <v>5.4847066872640777</v>
      </c>
      <c r="I7" s="158">
        <f>H7*(100%-'Données projet'!$C$24)*(100%-'Données projet'!$C$25)*(100%-'Données projet'!$C$26)*(100%-'Données projet'!$C$27)</f>
        <v>4.6894242176107861</v>
      </c>
      <c r="J7" s="159">
        <f>IF(OR('Données projet'!B10="",'Données projet'!C10="",'Données projet'!C10=0%),0,SUM(Calculateur!$AQ$3:$AQ$33)*VLOOKUP('Données projet'!$B$10,Paramètres!$A$1:$I$89,9,0)*B7)</f>
        <v>55.372819999999997</v>
      </c>
      <c r="K7" s="160">
        <f>J7*(100%-'Données projet'!$C$24)*(100%-'Données projet'!$C$25)*(100%-'Données projet'!$C$26)*(100%-'Données projet'!$C$27)</f>
        <v>47.343761099999995</v>
      </c>
      <c r="L7" s="161">
        <f t="shared" ref="L7:L15" ca="1" si="2">G7+I7+K7</f>
        <v>406.63163461420822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Douglas</v>
      </c>
      <c r="B8" s="163">
        <f>'Données projet'!D11</f>
        <v>1.4260000000000002</v>
      </c>
      <c r="C8" s="156">
        <f ca="1">IF(OR('Données projet'!B11="",'Données projet'!C11="",'Données projet'!C11=0%),0,Calculateur!BI3)</f>
        <v>376.38993452481719</v>
      </c>
      <c r="D8" s="156">
        <f>IF(OR('Données projet'!B11="",'Données projet'!C11="",'Données projet'!C11=0%),0,Calculateur!BJ3)</f>
        <v>470.10036612616727</v>
      </c>
      <c r="E8" s="156">
        <f t="shared" ca="1" si="0"/>
        <v>376.38993452481719</v>
      </c>
      <c r="F8" s="156">
        <f t="shared" ca="1" si="1"/>
        <v>536.73204663238937</v>
      </c>
      <c r="G8" s="156">
        <f ca="1">F8*(100%-'Données projet'!$C$24)*(100%-'Données projet'!$C$25)*(100%-'Données projet'!$C$26)*(100%-'Données projet'!$C$27)</f>
        <v>458.90589987069291</v>
      </c>
      <c r="H8" s="164">
        <f>IF(OR('Données projet'!B11="",'Données projet'!C11="",'Données projet'!C11=0%),0,AVERAGE(Calculateur!$BS$3:$BS$33)*B8)</f>
        <v>4.9696423493150119</v>
      </c>
      <c r="I8" s="158">
        <f>H8*(100%-'Données projet'!$C$24)*(100%-'Données projet'!$C$25)*(100%-'Données projet'!$C$26)*(100%-'Données projet'!$C$27)</f>
        <v>4.2490442086643352</v>
      </c>
      <c r="J8" s="159">
        <f>IF(OR('Données projet'!B11="",'Données projet'!C11="",'Données projet'!C11=0%),0,SUM(Calculateur!$BL$3:$BL$33)*VLOOKUP('Données projet'!$B$11,Paramètres!$A$1:$I$89,9,0)*B8)</f>
        <v>66.223440000000011</v>
      </c>
      <c r="K8" s="160">
        <f>J8*(100%-'Données projet'!$C$24)*(100%-'Données projet'!$C$25)*(100%-'Données projet'!$C$26)*(100%-'Données projet'!$C$27)</f>
        <v>56.621041200000008</v>
      </c>
      <c r="L8" s="161">
        <f t="shared" ca="1" si="2"/>
        <v>519.7759852793572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Pin maritime</v>
      </c>
      <c r="B9" s="163">
        <f>'Données projet'!D12</f>
        <v>0.372</v>
      </c>
      <c r="C9" s="156">
        <f ca="1">IF(OR('Données projet'!B12="",'Données projet'!C12="",'Données projet'!C12=0%),0,Calculateur!CD3)</f>
        <v>152.56843845628913</v>
      </c>
      <c r="D9" s="156">
        <f>IF(OR('Données projet'!B12="",'Données projet'!C12="",'Données projet'!C12=0%),0,Calculateur!CE3)</f>
        <v>311.82523951987685</v>
      </c>
      <c r="E9" s="156">
        <f t="shared" ca="1" si="0"/>
        <v>152.56843845628913</v>
      </c>
      <c r="F9" s="156">
        <f t="shared" ca="1" si="1"/>
        <v>56.755459105739554</v>
      </c>
      <c r="G9" s="156">
        <f ca="1">F9*(100%-'Données projet'!$C$24)*(100%-'Données projet'!$C$25)*(100%-'Données projet'!$C$26)*(100%-'Données projet'!$C$27)</f>
        <v>48.525917535407316</v>
      </c>
      <c r="H9" s="164">
        <f>IF(OR('Données projet'!B12="",'Données projet'!C12="",'Données projet'!C12=0%),0,AVERAGE(Calculateur!$CN$3:$CN$33)*B9)</f>
        <v>3.6024412983322245</v>
      </c>
      <c r="I9" s="158">
        <f>H9*(100%-'Données projet'!$C$24)*(100%-'Données projet'!$C$25)*(100%-'Données projet'!$C$26)*(100%-'Données projet'!$C$27)</f>
        <v>3.080087310074052</v>
      </c>
      <c r="J9" s="159">
        <f>IF(OR('Données projet'!B12="",'Données projet'!C12="",'Données projet'!C12=0%),0,SUM(Calculateur!$CG$3:$CG$33)*VLOOKUP('Données projet'!$B$12,Paramètres!$A$1:$I$89,9,0)*B9)</f>
        <v>26.337599999999998</v>
      </c>
      <c r="K9" s="160">
        <f>J9*(100%-'Données projet'!$C$24)*(100%-'Données projet'!$C$25)*(100%-'Données projet'!$C$26)*(100%-'Données projet'!$C$27)</f>
        <v>22.518647999999999</v>
      </c>
      <c r="L9" s="161">
        <f t="shared" ca="1" si="2"/>
        <v>74.124652845481364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1548.6307619473196</v>
      </c>
      <c r="G16" s="175">
        <f t="shared" ca="1" si="3"/>
        <v>1324.0793014649582</v>
      </c>
      <c r="H16" s="176">
        <f t="shared" si="3"/>
        <v>14.056790334911312</v>
      </c>
      <c r="I16" s="176">
        <f t="shared" si="3"/>
        <v>12.018555736349175</v>
      </c>
      <c r="J16" s="177">
        <f t="shared" si="3"/>
        <v>147.93386000000001</v>
      </c>
      <c r="K16" s="177">
        <f t="shared" si="3"/>
        <v>126.4834503</v>
      </c>
      <c r="L16" s="178">
        <f t="shared" ca="1" si="3"/>
        <v>1462.581307501307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Laricio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Douglas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Pin maritime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4" zoomScale="90" zoomScaleNormal="90" workbookViewId="0">
      <selection activeCell="T38" sqref="T3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7" t="s">
        <v>272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1685.2755715400876</v>
      </c>
      <c r="U10" s="190">
        <f>'Données projet'!D9</f>
        <v>2.4800000000000004</v>
      </c>
      <c r="V10" s="189">
        <f>U10*T10</f>
        <v>4179.4834174194184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Laricio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1704.3402412494472</v>
      </c>
      <c r="U11" s="190">
        <f>'Données projet'!D10</f>
        <v>1.9219999999999999</v>
      </c>
      <c r="V11" s="189">
        <f t="shared" ref="V11" si="0">U11*T11</f>
        <v>3275.7419436814375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Douglas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6593.4095079332874</v>
      </c>
      <c r="U12" s="190">
        <f>'Données projet'!D11</f>
        <v>1.4260000000000002</v>
      </c>
      <c r="V12" s="189">
        <f t="shared" ref="V12:V19" si="1">U12*T12</f>
        <v>9402.2019583128695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Pin maritime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3548.6489049708143</v>
      </c>
      <c r="U13" s="190">
        <f>'Données projet'!D12</f>
        <v>0.372</v>
      </c>
      <c r="V13" s="189">
        <f t="shared" si="1"/>
        <v>1320.0973926491429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69.999999999999986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40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2799.9999999999995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5935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565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565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>
        <v>0</v>
      </c>
      <c r="D23" s="194">
        <f>B23*C23</f>
        <v>0</v>
      </c>
      <c r="E23" s="206"/>
      <c r="F23" s="261"/>
      <c r="H23" s="203">
        <v>3</v>
      </c>
      <c r="I23" s="204">
        <v>580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-31346.059596912179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0</v>
      </c>
      <c r="C24" s="206">
        <v>0</v>
      </c>
      <c r="D24" s="194">
        <f t="shared" ref="D24:D42" si="2">B24*C24</f>
        <v>0</v>
      </c>
      <c r="E24" s="206"/>
      <c r="F24" s="264"/>
      <c r="H24" s="203">
        <v>4</v>
      </c>
      <c r="I24" s="204">
        <v>580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796.91020726775287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40</v>
      </c>
      <c r="B25" s="193">
        <f>'Données projet'!D38</f>
        <v>88</v>
      </c>
      <c r="C25" s="206">
        <v>15</v>
      </c>
      <c r="D25" s="194">
        <f t="shared" si="2"/>
        <v>1320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-32142.969804179931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50</v>
      </c>
      <c r="B26" s="193">
        <f>'Données projet'!D39</f>
        <v>0</v>
      </c>
      <c r="C26" s="206">
        <v>0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60</v>
      </c>
      <c r="B27" s="193">
        <f>'Données projet'!D40</f>
        <v>102</v>
      </c>
      <c r="C27" s="206">
        <v>32</v>
      </c>
      <c r="D27" s="194">
        <f t="shared" si="2"/>
        <v>3264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70</v>
      </c>
      <c r="B28" s="193">
        <f>'Données projet'!D41</f>
        <v>113</v>
      </c>
      <c r="C28" s="206">
        <v>45</v>
      </c>
      <c r="D28" s="194">
        <f t="shared" si="2"/>
        <v>5085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80</v>
      </c>
      <c r="B29" s="193">
        <f>'Données projet'!D42</f>
        <v>124</v>
      </c>
      <c r="C29" s="206">
        <v>58</v>
      </c>
      <c r="D29" s="194">
        <f t="shared" si="2"/>
        <v>7192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90</v>
      </c>
      <c r="B30" s="193">
        <f>'Données projet'!D43</f>
        <v>135</v>
      </c>
      <c r="C30" s="206">
        <v>62</v>
      </c>
      <c r="D30" s="194">
        <f t="shared" si="2"/>
        <v>8370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100</v>
      </c>
      <c r="B31" s="193">
        <f>'Données projet'!D44</f>
        <v>723</v>
      </c>
      <c r="C31" s="206">
        <v>70</v>
      </c>
      <c r="D31" s="194">
        <f t="shared" si="2"/>
        <v>50610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Laricio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22</v>
      </c>
      <c r="B54" s="193">
        <f>'Données projet'!D62</f>
        <v>16</v>
      </c>
      <c r="C54" s="204">
        <v>12</v>
      </c>
      <c r="D54" s="191">
        <f>B54*C54</f>
        <v>192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17</v>
      </c>
      <c r="C55" s="204">
        <v>12</v>
      </c>
      <c r="D55" s="191">
        <f t="shared" ref="D55:D73" si="4">B55*C55</f>
        <v>204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34</v>
      </c>
      <c r="C56" s="204">
        <v>15</v>
      </c>
      <c r="D56" s="191">
        <f t="shared" si="4"/>
        <v>510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41</v>
      </c>
      <c r="C57" s="204">
        <v>17</v>
      </c>
      <c r="D57" s="191">
        <f t="shared" si="4"/>
        <v>697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41</v>
      </c>
      <c r="C58" s="204">
        <v>17</v>
      </c>
      <c r="D58" s="191">
        <f t="shared" si="4"/>
        <v>697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53</v>
      </c>
      <c r="C59" s="204">
        <v>17</v>
      </c>
      <c r="D59" s="191">
        <f t="shared" si="4"/>
        <v>901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53</v>
      </c>
      <c r="C60" s="204">
        <v>20</v>
      </c>
      <c r="D60" s="191">
        <f t="shared" si="4"/>
        <v>1060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58</v>
      </c>
      <c r="B61" s="193">
        <f>'Données projet'!D69</f>
        <v>78</v>
      </c>
      <c r="C61" s="204">
        <v>25</v>
      </c>
      <c r="D61" s="191">
        <f t="shared" si="4"/>
        <v>1950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66</v>
      </c>
      <c r="B62" s="193">
        <f>'Données projet'!D70</f>
        <v>65</v>
      </c>
      <c r="C62" s="204">
        <v>30</v>
      </c>
      <c r="D62" s="191">
        <f t="shared" si="4"/>
        <v>1950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74</v>
      </c>
      <c r="B63" s="193">
        <f>'Données projet'!D71</f>
        <v>37</v>
      </c>
      <c r="C63" s="204">
        <v>35</v>
      </c>
      <c r="D63" s="191">
        <f t="shared" si="4"/>
        <v>1295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82</v>
      </c>
      <c r="B64" s="193">
        <f>'Données projet'!D72</f>
        <v>555</v>
      </c>
      <c r="C64" s="204">
        <v>45</v>
      </c>
      <c r="D64" s="191">
        <f t="shared" si="4"/>
        <v>24975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Douglas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19</v>
      </c>
      <c r="B85" s="193">
        <f>'Données projet'!D88</f>
        <v>0</v>
      </c>
      <c r="C85" s="204">
        <v>12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54</v>
      </c>
      <c r="C86" s="204">
        <v>18</v>
      </c>
      <c r="D86" s="191">
        <f t="shared" ref="D86:D104" si="6">B86*C86</f>
        <v>972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54</v>
      </c>
      <c r="C87" s="204">
        <v>24</v>
      </c>
      <c r="D87" s="191">
        <f t="shared" si="6"/>
        <v>1296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69</v>
      </c>
      <c r="C88" s="204">
        <v>35</v>
      </c>
      <c r="D88" s="191">
        <f t="shared" si="6"/>
        <v>2415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72</v>
      </c>
      <c r="C89" s="204">
        <v>46</v>
      </c>
      <c r="D89" s="191">
        <f t="shared" si="6"/>
        <v>3312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66</v>
      </c>
      <c r="C90" s="204">
        <v>54</v>
      </c>
      <c r="D90" s="191">
        <f t="shared" si="6"/>
        <v>3564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48</v>
      </c>
      <c r="C91" s="204">
        <v>62</v>
      </c>
      <c r="D91" s="191">
        <f t="shared" si="6"/>
        <v>2976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35</v>
      </c>
      <c r="C92" s="204">
        <v>70</v>
      </c>
      <c r="D92" s="191">
        <f t="shared" si="6"/>
        <v>2450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666</v>
      </c>
      <c r="C93" s="204">
        <v>80</v>
      </c>
      <c r="D93" s="191">
        <f t="shared" si="6"/>
        <v>53280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Pin maritime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13</v>
      </c>
      <c r="B116" s="193">
        <f>'Données projet'!D114</f>
        <v>28</v>
      </c>
      <c r="C116" s="204">
        <v>5</v>
      </c>
      <c r="D116" s="191">
        <f>B116*C116</f>
        <v>140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18</v>
      </c>
      <c r="B117" s="193">
        <f>'Données projet'!D115</f>
        <v>40</v>
      </c>
      <c r="C117" s="204">
        <v>10</v>
      </c>
      <c r="D117" s="191">
        <f t="shared" ref="D117:D135" si="8">B117*C117</f>
        <v>400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23</v>
      </c>
      <c r="B118" s="193">
        <f>'Données projet'!D116</f>
        <v>52</v>
      </c>
      <c r="C118" s="204">
        <v>20</v>
      </c>
      <c r="D118" s="191">
        <f t="shared" si="8"/>
        <v>1040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30</v>
      </c>
      <c r="B119" s="193">
        <f>'Données projet'!D117</f>
        <v>0</v>
      </c>
      <c r="C119" s="204">
        <v>30</v>
      </c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34</v>
      </c>
      <c r="B120" s="193">
        <f>'Données projet'!D118</f>
        <v>325</v>
      </c>
      <c r="C120" s="204">
        <v>40</v>
      </c>
      <c r="D120" s="191">
        <f t="shared" si="8"/>
        <v>13000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2024-11-15T15:51:28Z</dcterms:modified>
</cp:coreProperties>
</file>