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1C2E71C2-B2B6-4EAE-A6EA-B38FC62F0003}" xr6:coauthVersionLast="47" xr6:coauthVersionMax="47" xr10:uidLastSave="{00000000-0000-0000-0000-000000000000}"/>
  <bookViews>
    <workbookView xWindow="-110" yWindow="-110" windowWidth="19420" windowHeight="104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<sst xmlns="http://schemas.openxmlformats.org/spreadsheetml/2006/main" count="1179" uniqueCount="327">
  <si>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</si>
  <si>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</si>
  <si>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</si>
  <si>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</si>
  <si>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</si>
  <si>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</si>
  <si>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</si>
  <si>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</si>
  <si>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</si>
  <si>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</si>
  <si>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</si>
  <si>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</si>
  <si>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</si>
  <si>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</si>
  <si>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</si>
  <si>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</si>
  <si>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</si>
  <si>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</si>
  <si>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</si>
  <si>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</si>
  <si>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</si>
  <si>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</si>
  <si>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</si>
  <si>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</si>
  <si>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</si>
  <si>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</si>
  <si>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</si>
  <si>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</si>
  <si>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</si>
  <si>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</si>
  <si>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</si>
  <si>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</si>
  <si>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</si>
  <si>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</si>
  <si>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</si>
  <si>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</si>
  <si>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</si>
  <si>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</si>
  <si>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</si>
  <si>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</si>
  <si>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</si>
  <si>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</si>
  <si>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</si>
  <si>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</si>
  <si>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</si>
  <si>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</si>
  <si>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</si>
  <si>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</si>
  <si>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</si>
  <si>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</si>
  <si>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</si>
  <si>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</si>
  <si>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</si>
  <si>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</si>
  <si>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</si>
  <si>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</si>
  <si>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</si>
  <si>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</si>
  <si>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</si>
  <si>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</si>
  <si>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</si>
  <si>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</si>
  <si>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</si>
  <si>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</si>
  <si>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</si>
  <si>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</si>
  <si>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</si>
  <si>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</si>
  <si>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</si>
  <si>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</si>
  <si>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</si>
  <si>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</si>
  <si>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</si>
  <si>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</si>
  <si>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</si>
  <si>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</si>
  <si>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</si>
  <si>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</si>
  <si>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</si>
  <si>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</si>
  <si>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</si>
  <si>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</si>
  <si>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</si>
  <si>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</si>
  <si>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</si>
  <si>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</si>
  <si>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</si>
  <si>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</si>
  <si>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</si>
  <si>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</si>
  <si>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</si>
  <si>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</si>
  <si>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</si>
  <si>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</si>
  <si>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</si>
  <si>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</si>
  <si>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</si>
  <si>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</si>
  <si>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</si>
  <si>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</si>
  <si>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</si>
  <si>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</si>
  <si>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</si>
  <si>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</si>
  <si>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</si>
  <si>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</si>
  <si>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</si>
  <si>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</si>
  <si>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</si>
  <si>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</si>
  <si>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</si>
  <si>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</si>
  <si>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</si>
  <si>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</si>
  <si>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</si>
  <si>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</si>
  <si>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</si>
  <si>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</si>
  <si>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</si>
  <si>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</si>
  <si>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</si>
  <si>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</si>
  <si>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</si>
  <si>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</si>
  <si>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</si>
  <si>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</si>
  <si>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</si>
  <si>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</si>
  <si>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</si>
  <si>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</si>
  <si>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</si>
  <si>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</si>
  <si>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</si>
  <si>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</si>
  <si>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</si>
  <si>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</si>
  <si>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</si>
  <si>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</si>
  <si>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</si>
  <si>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</si>
  <si>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</si>
  <si>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</si>
  <si>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</si>
  <si>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</si>
  <si>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</si>
  <si>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</si>
  <si>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</si>
  <si>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</si>
  <si>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</si>
  <si>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</si>
  <si>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</si>
  <si>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</si>
  <si>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</si>
  <si>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</si>
  <si>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</si>
  <si>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</si>
  <si>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</si>
  <si>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</si>
  <si>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</si>
  <si>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</si>
  <si>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</si>
  <si>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</si>
  <si>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</si>
  <si>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</si>
  <si>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</si>
  <si>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</si>
  <si>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</si>
  <si>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</si>
  <si>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</si>
  <si>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</si>
  <si>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</si>
  <si>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</si>
  <si>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</si>
  <si>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</si>
  <si>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</si>
  <si>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</si>
  <si>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</si>
  <si>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</si>
  <si>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</si>
  <si>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</si>
  <si>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</si>
  <si>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</si>
  <si>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</si>
  <si>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</si>
  <si>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</si>
  <si>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</si>
  <si>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</si>
  <si>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</si>
  <si>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</si>
  <si>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</si>
  <si>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</si>
  <si>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</si>
  <si>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</si>
  <si>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</si>
  <si>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</si>
  <si>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</si>
  <si>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</si>
  <si>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</si>
  <si>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</si>
  <si>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</si>
  <si>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</si>
  <si>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</si>
  <si>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</si>
  <si>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</si>
  <si>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</si>
  <si>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</si>
  <si>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</si>
  <si>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</si>
  <si>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</si>
  <si>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</si>
  <si>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</si>
  <si>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</si>
  <si>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</si>
  <si>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</si>
  <si>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</si>
  <si>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</si>
  <si>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</si>
  <si>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</si>
  <si>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</si>
  <si>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</si>
  <si>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</si>
  <si>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</si>
  <si>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</si>
  <si>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</si>
  <si>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</si>
  <si>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</si>
  <si>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</si>
  <si>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</si>
  <si>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</si>
  <si>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</si>
  <si>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</si>
  <si>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</si>
  <si>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</si>
  <si>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</si>
  <si>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</si>
  <si>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</si>
  <si>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</si>
  <si>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</si>
  <si>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</si>
  <si>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</si>
  <si>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</si>
  <si>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</si>
  <si>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</si>
  <si>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</si>
  <si>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</si>
  <si>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</si>
  <si>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</si>
  <si>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</si>
  <si>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</si>
  <si>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</si>
  <si>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</si>
  <si>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</si>
  <si>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</si>
  <si>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</si>
  <si>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</si>
  <si>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</si>
  <si>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</si>
  <si>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</si>
  <si>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</si>
  <si>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</si>
  <si>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</si>
  <si>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</si>
  <si>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</si>
  <si>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</si>
  <si>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</si>
  <si>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</si>
  <si>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</si>
  <si>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</si>
  <si>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</si>
  <si>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</si>
  <si>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</si>
  <si>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</si>
  <si>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</si>
  <si>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</si>
  <si>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</si>
  <si>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</si>
  <si>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</si>
  <si>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</si>
  <si>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</si>
  <si>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</si>
  <si>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</si>
  <si>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</si>
  <si>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</si>
  <si>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</si>
  <si>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</si>
  <si>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</si>
  <si>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</si>
  <si>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</si>
  <si>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</si>
  <si>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</si>
  <si>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</si>
  <si>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</si>
  <si>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</si>
  <si>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</si>
  <si>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</si>
  <si>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</si>
  <si>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</si>
  <si>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</si>
  <si>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</si>
  <si>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</si>
  <si>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</si>
  <si>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</si>
  <si>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</si>
  <si>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</si>
  <si>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</si>
  <si>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</si>
  <si>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</si>
  <si>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</si>
  <si>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</si>
  <si>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</si>
  <si>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</si>
  <si>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</si>
  <si>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</si>
  <si>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</si>
  <si>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</si>
  <si>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</si>
  <si>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</si>
  <si>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</si>
  <si>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</si>
  <si>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</si>
  <si>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</si>
  <si>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</si>
  <si>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</si>
  <si>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</si>
  <si>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</si>
  <si>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CR</t>
  </si>
  <si>
    <t>équivalence pour le peuplier Vesten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</si>
</sst>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2.1624739229022425</c:v>
                </c:pt>
                <c:pt idx="2">
                  <c:v>3.5256914312731613</c:v>
                </c:pt>
                <c:pt idx="3">
                  <c:v>5.7525435563535652</c:v>
                </c:pt>
                <c:pt idx="4">
                  <c:v>9.3926953448745145</c:v>
                </c:pt>
                <c:pt idx="5">
                  <c:v>15.347141622441059</c:v>
                </c:pt>
                <c:pt idx="6">
                  <c:v>25.093643154540132</c:v>
                </c:pt>
                <c:pt idx="7">
                  <c:v>41.057329941412029</c:v>
                </c:pt>
                <c:pt idx="8">
                  <c:v>67.220248993827795</c:v>
                </c:pt>
                <c:pt idx="9">
                  <c:v>110.1243870092231</c:v>
                </c:pt>
                <c:pt idx="10">
                  <c:v>149.28543295633219</c:v>
                </c:pt>
                <c:pt idx="11">
                  <c:v>188.19942324175375</c:v>
                </c:pt>
                <c:pt idx="12">
                  <c:v>226.92498868517808</c:v>
                </c:pt>
                <c:pt idx="13">
                  <c:v>265.49890154341307</c:v>
                </c:pt>
                <c:pt idx="14">
                  <c:v>303.94631361712794</c:v>
                </c:pt>
                <c:pt idx="15">
                  <c:v>311.62231095092511</c:v>
                </c:pt>
                <c:pt idx="16">
                  <c:v>319.29411338136987</c:v>
                </c:pt>
                <c:pt idx="17">
                  <c:v>326.96183601334951</c:v>
                </c:pt>
                <c:pt idx="18">
                  <c:v>334.62558810738301</c:v>
                </c:pt>
                <c:pt idx="19">
                  <c:v>342.28547350637564</c:v>
                </c:pt>
                <c:pt idx="20">
                  <c:v>345.06994718046388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2.0346071328210988</c:v>
                </c:pt>
                <c:pt idx="2">
                  <c:v>3.3169067695557395</c:v>
                </c:pt>
                <c:pt idx="3">
                  <c:v>5.4113929911521907</c:v>
                </c:pt>
                <c:pt idx="4">
                  <c:v>8.8348776604325749</c:v>
                </c:pt>
                <c:pt idx="5">
                  <c:v>14.434439731677529</c:v>
                </c:pt>
                <c:pt idx="6">
                  <c:v>23.599308848428134</c:v>
                </c:pt>
                <c:pt idx="7">
                  <c:v>38.609167285203689</c:v>
                </c:pt>
                <c:pt idx="8">
                  <c:v>63.206983264980444</c:v>
                </c:pt>
                <c:pt idx="9">
                  <c:v>103.54156485484738</c:v>
                </c:pt>
                <c:pt idx="10">
                  <c:v>140.35517105945675</c:v>
                </c:pt>
                <c:pt idx="11">
                  <c:v>176.93516308851761</c:v>
                </c:pt>
                <c:pt idx="12">
                  <c:v>213.33698185162152</c:v>
                </c:pt>
                <c:pt idx="13">
                  <c:v>249.59539894800471</c:v>
                </c:pt>
                <c:pt idx="14">
                  <c:v>285.73419775157055</c:v>
                </c:pt>
                <c:pt idx="15">
                  <c:v>292.94920611018648</c:v>
                </c:pt>
                <c:pt idx="16">
                  <c:v>300.16024779634716</c:v>
                </c:pt>
                <c:pt idx="17">
                  <c:v>307.36743165246116</c:v>
                </c:pt>
                <c:pt idx="18">
                  <c:v>314.57086099454204</c:v>
                </c:pt>
                <c:pt idx="19">
                  <c:v>321.77063401574418</c:v>
                </c:pt>
                <c:pt idx="20">
                  <c:v>324.38784519639671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1.8807855723271203</c:v>
                </c:pt>
                <c:pt idx="2">
                  <c:v>3.0657680328814667</c:v>
                </c:pt>
                <c:pt idx="3">
                  <c:v>5.0010774211664097</c:v>
                </c:pt>
                <c:pt idx="4">
                  <c:v>8.1640327643389909</c:v>
                </c:pt>
                <c:pt idx="5">
                  <c:v>13.336905920637804</c:v>
                </c:pt>
                <c:pt idx="6">
                  <c:v>21.802520022526707</c:v>
                </c:pt>
                <c:pt idx="7">
                  <c:v>35.665755227846866</c:v>
                </c:pt>
                <c:pt idx="8">
                  <c:v>58.382270569279349</c:v>
                </c:pt>
                <c:pt idx="9">
                  <c:v>95.628410585718214</c:v>
                </c:pt>
                <c:pt idx="10">
                  <c:v>129.62071281147163</c:v>
                </c:pt>
                <c:pt idx="11">
                  <c:v>163.39566693544896</c:v>
                </c:pt>
                <c:pt idx="12">
                  <c:v>197.00485363092116</c:v>
                </c:pt>
                <c:pt idx="13">
                  <c:v>230.48062342230324</c:v>
                </c:pt>
                <c:pt idx="14">
                  <c:v>263.84510369616982</c:v>
                </c:pt>
                <c:pt idx="15">
                  <c:v>270.50613620263147</c:v>
                </c:pt>
                <c:pt idx="16">
                  <c:v>277.16347822786918</c:v>
                </c:pt>
                <c:pt idx="17">
                  <c:v>283.81723103581874</c:v>
                </c:pt>
                <c:pt idx="18">
                  <c:v>290.46749074881262</c:v>
                </c:pt>
                <c:pt idx="19">
                  <c:v>297.11434872301794</c:v>
                </c:pt>
                <c:pt idx="20">
                  <c:v>299.53056172289973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" zoomScale="80" zoomScaleNormal="80" workbookViewId="0">
      <selection activeCell="H12" sqref="H12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7.9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112</v>
      </c>
      <c r="C9" s="264">
        <v>0.5</v>
      </c>
      <c r="D9" s="33">
        <f t="shared" ref="D9:D18" si="0">C9*$C$5</f>
        <v>3.95</v>
      </c>
      <c r="E9" s="265">
        <v>20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119</v>
      </c>
      <c r="C10" s="264">
        <v>0.25</v>
      </c>
      <c r="D10" s="33">
        <f t="shared" si="0"/>
        <v>1.9750000000000001</v>
      </c>
      <c r="E10" s="265">
        <v>20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 t="s">
        <v>111</v>
      </c>
      <c r="C11" s="264">
        <v>0.25</v>
      </c>
      <c r="D11" s="33">
        <f t="shared" si="0"/>
        <v>1.9750000000000001</v>
      </c>
      <c r="E11" s="265">
        <v>20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H11" s="23" t="s">
        <v>326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7.9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Koster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9</v>
      </c>
      <c r="B36" s="259">
        <v>96.153846150000007</v>
      </c>
      <c r="C36" s="259"/>
      <c r="D36" s="259"/>
      <c r="E36" s="260"/>
      <c r="F36" s="260"/>
      <c r="G36" s="260"/>
      <c r="H36" s="260"/>
      <c r="I36" s="49">
        <f>IFERROR(B36/A36,"")</f>
        <v>10.683760683333334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14</v>
      </c>
      <c r="B37" s="259">
        <v>272.43589739999999</v>
      </c>
      <c r="C37" s="259"/>
      <c r="D37" s="259"/>
      <c r="E37" s="260"/>
      <c r="F37" s="260"/>
      <c r="G37" s="260"/>
      <c r="H37" s="260"/>
      <c r="I37" s="53">
        <f t="shared" ref="I37:I55" si="1">IF(A37&lt;&gt;0,(B37-(B36-D36))/(A37-A36),"")</f>
        <v>35.256410250000002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19</v>
      </c>
      <c r="B38" s="259">
        <v>307.69230770000001</v>
      </c>
      <c r="C38" s="259"/>
      <c r="D38" s="259"/>
      <c r="E38" s="260"/>
      <c r="F38" s="260"/>
      <c r="G38" s="260"/>
      <c r="H38" s="260"/>
      <c r="I38" s="53">
        <f t="shared" si="1"/>
        <v>7.0512820600000055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20</v>
      </c>
      <c r="B39" s="259">
        <v>310.25641030000003</v>
      </c>
      <c r="C39" s="259" t="s">
        <v>325</v>
      </c>
      <c r="D39" s="259">
        <v>310.25641030000003</v>
      </c>
      <c r="E39" s="260">
        <v>0.77</v>
      </c>
      <c r="F39" s="260">
        <v>0.21</v>
      </c>
      <c r="G39" s="260">
        <v>0</v>
      </c>
      <c r="H39" s="260">
        <v>0</v>
      </c>
      <c r="I39" s="49">
        <f t="shared" si="1"/>
        <v>2.5641026000000124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/>
      <c r="B40" s="259"/>
      <c r="C40" s="259"/>
      <c r="D40" s="259"/>
      <c r="E40" s="260"/>
      <c r="F40" s="260"/>
      <c r="G40" s="260"/>
      <c r="H40" s="260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/>
      <c r="B41" s="259"/>
      <c r="C41" s="259"/>
      <c r="D41" s="259"/>
      <c r="E41" s="260"/>
      <c r="F41" s="260"/>
      <c r="G41" s="260"/>
      <c r="H41" s="260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/>
      <c r="B42" s="259"/>
      <c r="C42" s="259"/>
      <c r="D42" s="259"/>
      <c r="E42" s="260"/>
      <c r="F42" s="260"/>
      <c r="G42" s="260"/>
      <c r="H42" s="260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/>
      <c r="B43" s="259"/>
      <c r="C43" s="259"/>
      <c r="D43" s="259"/>
      <c r="E43" s="260"/>
      <c r="F43" s="260"/>
      <c r="G43" s="260"/>
      <c r="H43" s="260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Peuplier Trichobel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9</v>
      </c>
      <c r="B62" s="261">
        <v>96.153846150000007</v>
      </c>
      <c r="C62" s="261"/>
      <c r="D62" s="261"/>
      <c r="E62" s="260"/>
      <c r="F62" s="260"/>
      <c r="G62" s="260"/>
      <c r="H62" s="260"/>
      <c r="I62" s="53">
        <f>IFERROR(B62/A62,"")</f>
        <v>10.683760683333334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14</v>
      </c>
      <c r="B63" s="261">
        <v>272.43589739999999</v>
      </c>
      <c r="C63" s="261"/>
      <c r="D63" s="261"/>
      <c r="E63" s="260"/>
      <c r="F63" s="260"/>
      <c r="G63" s="260"/>
      <c r="H63" s="260"/>
      <c r="I63" s="49">
        <f>IF(A63&lt;&gt;0,(B63-(B62-D62))/(A63-A62),"")</f>
        <v>35.256410250000002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19</v>
      </c>
      <c r="B64" s="261">
        <v>307.69230770000001</v>
      </c>
      <c r="C64" s="261"/>
      <c r="D64" s="261"/>
      <c r="E64" s="260"/>
      <c r="F64" s="260"/>
      <c r="G64" s="260"/>
      <c r="H64" s="260"/>
      <c r="I64" s="49">
        <f>IF(A64&lt;&gt;0,(B64-(B63-D63))/(A64-A63),"")</f>
        <v>7.0512820600000055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20</v>
      </c>
      <c r="B65" s="261">
        <v>310.25641030000003</v>
      </c>
      <c r="C65" s="261" t="s">
        <v>325</v>
      </c>
      <c r="D65" s="261">
        <v>310.25641030000003</v>
      </c>
      <c r="E65" s="260">
        <v>0.77</v>
      </c>
      <c r="F65" s="260">
        <v>0.21</v>
      </c>
      <c r="G65" s="260">
        <v>0</v>
      </c>
      <c r="H65" s="260">
        <v>0</v>
      </c>
      <c r="I65" s="49">
        <f>IF(A65&lt;&gt;0,(B65-(B64-D64))/(A65-A64),"")</f>
        <v>2.5641026000000124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/>
      <c r="B66" s="261"/>
      <c r="C66" s="261"/>
      <c r="D66" s="261"/>
      <c r="E66" s="260"/>
      <c r="F66" s="260"/>
      <c r="G66" s="260"/>
      <c r="H66" s="260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/>
      <c r="B67" s="261"/>
      <c r="C67" s="261"/>
      <c r="D67" s="261"/>
      <c r="E67" s="260"/>
      <c r="F67" s="260"/>
      <c r="G67" s="260"/>
      <c r="H67" s="260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/>
      <c r="B68" s="261"/>
      <c r="C68" s="261"/>
      <c r="D68" s="261"/>
      <c r="E68" s="260"/>
      <c r="F68" s="260"/>
      <c r="G68" s="260"/>
      <c r="H68" s="260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Peuplier I-214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>
        <v>9</v>
      </c>
      <c r="B88" s="261">
        <v>96.153846150000007</v>
      </c>
      <c r="C88" s="261"/>
      <c r="D88" s="261"/>
      <c r="E88" s="260"/>
      <c r="F88" s="260"/>
      <c r="G88" s="260"/>
      <c r="H88" s="260"/>
      <c r="I88" s="53">
        <f>IFERROR(B88/A88,"")</f>
        <v>10.683760683333334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>
        <v>14</v>
      </c>
      <c r="B89" s="261">
        <v>272.43589739999999</v>
      </c>
      <c r="C89" s="261"/>
      <c r="D89" s="261"/>
      <c r="E89" s="260"/>
      <c r="F89" s="260"/>
      <c r="G89" s="260"/>
      <c r="H89" s="260"/>
      <c r="I89" s="53">
        <f t="shared" ref="I89:I107" si="3">IF(A89&lt;&gt;0,(B89-(B88-D88))/(A89-A88),"")</f>
        <v>35.256410250000002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>
        <v>19</v>
      </c>
      <c r="B90" s="261">
        <v>307.69230770000001</v>
      </c>
      <c r="C90" s="261"/>
      <c r="D90" s="261"/>
      <c r="E90" s="260"/>
      <c r="F90" s="260"/>
      <c r="G90" s="260"/>
      <c r="H90" s="260"/>
      <c r="I90" s="53">
        <f t="shared" si="3"/>
        <v>7.0512820600000055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>
        <v>20</v>
      </c>
      <c r="B91" s="261">
        <v>310.25641030000003</v>
      </c>
      <c r="C91" s="261" t="s">
        <v>325</v>
      </c>
      <c r="D91" s="261">
        <v>310.25641030000003</v>
      </c>
      <c r="E91" s="260">
        <v>0.77</v>
      </c>
      <c r="F91" s="260">
        <v>0.21</v>
      </c>
      <c r="G91" s="260">
        <v>0</v>
      </c>
      <c r="H91" s="260">
        <v>0</v>
      </c>
      <c r="I91" s="53">
        <f t="shared" si="3"/>
        <v>2.5641026000000124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6" zoomScale="115" zoomScaleNormal="115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Peuplier Koster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Peuplier Trichobel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Peuplier I-214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169.76258214884751</v>
      </c>
      <c r="T3" s="59">
        <f>IF('Données projet'!E9&gt;30,$R$33-$H$33,LOOKUP('Données projet'!$E$9,$A$3:$A$203,R3:R203)-LOOKUP('Données projet'!$E$9,$A$3:$A$203,$H$3:$H$203))</f>
        <v>378.2513167340262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160.0845775223442</v>
      </c>
      <c r="AO3" s="59">
        <f>IF('Données projet'!E10&gt;30,$AM$33-$H$33,LOOKUP('Données projet'!$E$10,$A$3:$A$203,AM3:AM203)-LOOKUP('Données projet'!$E$10,$A$3:$A$203,$H$3:$H$203))</f>
        <v>357.56921474995909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148.4522606780651</v>
      </c>
      <c r="BJ3" s="59">
        <f>IF('Données projet'!E11&gt;30,$BH$33-$H$33,LOOKUP('Données projet'!$E$11,$A$3:$A$203,BH3:BH203)-LOOKUP('Données projet'!$E$11,$A$3:$A$203,$H$3:$H$203))</f>
        <v>332.71193127646211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10.683760683333334</v>
      </c>
      <c r="N4" s="13">
        <f>IF('Données projet'!$A$36&gt;35,N3+M4-V3,IF(A4&lt;'Données projet'!$A$36,$K$205^A4,IF(A4='Données projet'!$A$36,'Données projet'!$B$36,N3+M4-V3)))</f>
        <v>1.660847009958063</v>
      </c>
      <c r="O4" s="13">
        <f>N4*VLOOKUP('Données projet'!$B$9,Paramètres!$A$1:$I$89,3,0)*VLOOKUP('Données projet'!$B$9,Paramètres!$A$1:$I$89,5,0)</f>
        <v>0.84464035538427262</v>
      </c>
      <c r="P4" s="13">
        <f>EXP(-1.0587+0.8836*LN(O4)+0.284)</f>
        <v>0.39697146637778047</v>
      </c>
      <c r="Q4" s="20">
        <f t="shared" ref="Q4:Q34" si="2">(O4+P4)*0.475*44/12</f>
        <v>2.1624739229022425</v>
      </c>
      <c r="R4" s="59">
        <f t="shared" si="0"/>
        <v>169.97490787582609</v>
      </c>
      <c r="S4" s="59">
        <f ca="1">AVERAGE(OFFSET($R$3,0,0,'Données projet'!$E$9+1,1))-AVERAGE(OFFSET($H$3,0,0,'Données projet'!$E$9+1,1))</f>
        <v>169.76258214884751</v>
      </c>
      <c r="T4" s="59">
        <f>$T$3</f>
        <v>378.2513167340262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10.683760683333334</v>
      </c>
      <c r="AI4" s="13">
        <f>IF('Données projet'!$A$62&gt;35,AI3+AH4-AQ3,IF(A4&lt;'Données projet'!$A$62,$AF$205^A4,IF(A4='Données projet'!$A$62,'Données projet'!$B$62,AI3+AH4-AQ3)))</f>
        <v>1.660847009958063</v>
      </c>
      <c r="AJ4" s="13">
        <f>AI4*VLOOKUP('Données projet'!$B$10,Paramètres!$A$1:$I$89,3,0)*VLOOKUP('Données projet'!$B$10,Paramètres!$A$1:$I$89,5,0)</f>
        <v>0.79282192867358092</v>
      </c>
      <c r="AK4" s="13">
        <f>EXP(-1.0587+0.8836*LN(AJ4)+0.284)</f>
        <v>0.37537355428590158</v>
      </c>
      <c r="AL4" s="20">
        <f t="shared" ref="AL4:AL67" si="4">(AJ4+AK4)*0.475*44/12</f>
        <v>2.0346071328210988</v>
      </c>
      <c r="AM4" s="59">
        <f t="shared" ref="AM4:AM67" si="5">AL4+(AD4+AE4)*44/12</f>
        <v>169.84704108574493</v>
      </c>
      <c r="AN4" s="59">
        <f ca="1">AVERAGE(OFFSET($AM$3,0,0,'Données projet'!$E$10+1,1))-AVERAGE(OFFSET($H$3,0,0,'Données projet'!$E$10+1,1))</f>
        <v>160.0845775223442</v>
      </c>
      <c r="AO4" s="59">
        <f>$AO$3</f>
        <v>357.56921474995909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10.683760683333334</v>
      </c>
      <c r="BD4" s="12">
        <f>IF('Données projet'!$A$88&gt;35,BD3+BC4-BL3,IF(A4&lt;'Données projet'!$A$88,$BA$205^A4,IF(A4='Données projet'!$A$88,'Données projet'!$B$88,BD3+BC4-BL3)))</f>
        <v>1.660847009958063</v>
      </c>
      <c r="BE4" s="13">
        <f>BD4*VLOOKUP('Données projet'!$B$11,Paramètres!$A$1:$I$89,3,0)*VLOOKUP('Données projet'!$B$11,Paramètres!$A$1:$I$89,5,0)</f>
        <v>0.73063981662075106</v>
      </c>
      <c r="BF4" s="13">
        <f>EXP(-1.0587+0.8836*LN(BE4)+0.284)</f>
        <v>0.34923706701204527</v>
      </c>
      <c r="BG4" s="20">
        <f t="shared" ref="BG4:BG67" si="7">(BE4+BF4)*0.475*44/12</f>
        <v>1.8807855723271203</v>
      </c>
      <c r="BH4" s="59">
        <f t="shared" ref="BH4:BH67" si="8">BG4+(AY4+AZ4)*44/12</f>
        <v>169.69321952525095</v>
      </c>
      <c r="BI4" s="59">
        <f ca="1">AVERAGE(OFFSET($BH$3,0,0,'Données projet'!$E$11+1,1))-AVERAGE(OFFSET($H$3,0,0,'Données projet'!$E$11+1,1))</f>
        <v>148.4522606780651</v>
      </c>
      <c r="BJ4" s="59">
        <f>$BJ$3</f>
        <v>332.71193127646211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10.683760683333334</v>
      </c>
      <c r="N5" s="13">
        <f>IF('Données projet'!$A$36&gt;35,N4+M5-V4,IF(A5&lt;'Données projet'!$A$36,$K$205^A5,IF(A5='Données projet'!$A$36,'Données projet'!$B$36,N4+M5-V4)))</f>
        <v>2.7584127904866382</v>
      </c>
      <c r="O5" s="13">
        <f>N5*VLOOKUP('Données projet'!$B$9,Paramètres!$A$1:$I$89,3,0)*VLOOKUP('Données projet'!$B$9,Paramètres!$A$1:$I$89,5,0)</f>
        <v>1.4028184087298849</v>
      </c>
      <c r="P5" s="13">
        <f t="shared" ref="P5:P68" si="33">EXP(-1.0587+0.8836*LN(O5)+0.284)</f>
        <v>0.62150203027862905</v>
      </c>
      <c r="Q5" s="20">
        <f t="shared" si="2"/>
        <v>3.5256914312731613</v>
      </c>
      <c r="R5" s="59">
        <f t="shared" si="0"/>
        <v>174.12297271877401</v>
      </c>
      <c r="S5" s="59">
        <f ca="1">AVERAGE(OFFSET($R$3,0,0,'Données projet'!$E$9+1,1))-AVERAGE(OFFSET($H$3,0,0,'Données projet'!$E$9+1,1))</f>
        <v>169.76258214884751</v>
      </c>
      <c r="T5" s="59">
        <f t="shared" ref="T5:T68" si="34">$T$3</f>
        <v>378.2513167340262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10.683760683333334</v>
      </c>
      <c r="AI5" s="13">
        <f>IF('Données projet'!$A$62&gt;35,AI4+AH5-AQ4,IF(A5&lt;'Données projet'!$A$62,$AF$205^A5,IF(A5='Données projet'!$A$62,'Données projet'!$B$62,AI4+AH5-AQ4)))</f>
        <v>2.7584127904866382</v>
      </c>
      <c r="AJ5" s="13">
        <f>AI5*VLOOKUP('Données projet'!$B$10,Paramètres!$A$1:$I$89,3,0)*VLOOKUP('Données projet'!$B$10,Paramètres!$A$1:$I$89,5,0)</f>
        <v>1.3167559296667017</v>
      </c>
      <c r="AK5" s="13">
        <f t="shared" ref="AK5:AK68" si="35">EXP(-1.0587+0.8836*LN(AJ5)+0.284)</f>
        <v>0.58768814854711993</v>
      </c>
      <c r="AL5" s="20">
        <f t="shared" si="4"/>
        <v>3.3169067695557395</v>
      </c>
      <c r="AM5" s="59">
        <f t="shared" si="5"/>
        <v>173.91418805705658</v>
      </c>
      <c r="AN5" s="59">
        <f ca="1">AVERAGE(OFFSET($AM$3,0,0,'Données projet'!$E$10+1,1))-AVERAGE(OFFSET($H$3,0,0,'Données projet'!$E$10+1,1))</f>
        <v>160.0845775223442</v>
      </c>
      <c r="AO5" s="59">
        <f t="shared" ref="AO5:AO68" si="36">$AO$3</f>
        <v>357.56921474995909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10.683760683333334</v>
      </c>
      <c r="BD5" s="12">
        <f>IF('Données projet'!$A$88&gt;35,BD4+BC5-BL4,IF(A5&lt;'Données projet'!$A$88,$BA$205^A5,IF(A5='Données projet'!$A$88,'Données projet'!$B$88,BD4+BC5-BL4)))</f>
        <v>2.7584127904866382</v>
      </c>
      <c r="BE5" s="13">
        <f>BD5*VLOOKUP('Données projet'!$B$11,Paramètres!$A$1:$I$89,3,0)*VLOOKUP('Données projet'!$B$11,Paramètres!$A$1:$I$89,5,0)</f>
        <v>1.2134809547908818</v>
      </c>
      <c r="BF5" s="13">
        <f t="shared" ref="BF5:BF68" si="37">EXP(-1.0587+0.8836*LN(BE5)+0.284)</f>
        <v>0.54676863346641957</v>
      </c>
      <c r="BG5" s="20">
        <f t="shared" si="7"/>
        <v>3.0657680328814667</v>
      </c>
      <c r="BH5" s="59">
        <f t="shared" si="8"/>
        <v>173.6630493203823</v>
      </c>
      <c r="BI5" s="59">
        <f ca="1">AVERAGE(OFFSET($BH$3,0,0,'Données projet'!$E$11+1,1))-AVERAGE(OFFSET($H$3,0,0,'Données projet'!$E$11+1,1))</f>
        <v>148.4522606780651</v>
      </c>
      <c r="BJ5" s="59">
        <f t="shared" ref="BJ5:BJ68" si="38">$BJ$3</f>
        <v>332.71193127646211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10.683760683333334</v>
      </c>
      <c r="N6" s="13">
        <f>IF('Données projet'!$A$36&gt;35,N5+M6-V5,IF(A6&lt;'Données projet'!$A$36,$K$205^A6,IF(A6='Données projet'!$A$36,'Données projet'!$B$36,N5+M6-V5)))</f>
        <v>4.5813016353098099</v>
      </c>
      <c r="O6" s="13">
        <f>N6*VLOOKUP('Données projet'!$B$9,Paramètres!$A$1:$I$89,3,0)*VLOOKUP('Données projet'!$B$9,Paramètres!$A$1:$I$89,5,0)</f>
        <v>2.3298667596531573</v>
      </c>
      <c r="P6" s="13">
        <f t="shared" si="33"/>
        <v>0.97302906217664165</v>
      </c>
      <c r="Q6" s="20">
        <f t="shared" si="2"/>
        <v>5.7525435563535652</v>
      </c>
      <c r="R6" s="59">
        <f t="shared" si="0"/>
        <v>179.10756412623846</v>
      </c>
      <c r="S6" s="59">
        <f ca="1">AVERAGE(OFFSET($R$3,0,0,'Données projet'!$E$9+1,1))-AVERAGE(OFFSET($H$3,0,0,'Données projet'!$E$9+1,1))</f>
        <v>169.76258214884751</v>
      </c>
      <c r="T6" s="59">
        <f t="shared" si="34"/>
        <v>378.2513167340262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10.683760683333334</v>
      </c>
      <c r="AI6" s="13">
        <f>IF('Données projet'!$A$62&gt;35,AI5+AH6-AQ5,IF(A6&lt;'Données projet'!$A$62,$AF$205^A6,IF(A6='Données projet'!$A$62,'Données projet'!$B$62,AI5+AH6-AQ5)))</f>
        <v>4.5813016353098099</v>
      </c>
      <c r="AJ6" s="13">
        <f>AI6*VLOOKUP('Données projet'!$B$10,Paramètres!$A$1:$I$89,3,0)*VLOOKUP('Données projet'!$B$10,Paramètres!$A$1:$I$89,5,0)</f>
        <v>2.1869301486314909</v>
      </c>
      <c r="AK6" s="13">
        <f t="shared" si="35"/>
        <v>0.92008975059464748</v>
      </c>
      <c r="AL6" s="20">
        <f t="shared" si="4"/>
        <v>5.4113929911521907</v>
      </c>
      <c r="AM6" s="59">
        <f t="shared" si="5"/>
        <v>178.76641356103707</v>
      </c>
      <c r="AN6" s="59">
        <f ca="1">AVERAGE(OFFSET($AM$3,0,0,'Données projet'!$E$10+1,1))-AVERAGE(OFFSET($H$3,0,0,'Données projet'!$E$10+1,1))</f>
        <v>160.0845775223442</v>
      </c>
      <c r="AO6" s="59">
        <f t="shared" si="36"/>
        <v>357.56921474995909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10.683760683333334</v>
      </c>
      <c r="BD6" s="12">
        <f>IF('Données projet'!$A$88&gt;35,BD5+BC6-BL5,IF(A6&lt;'Données projet'!$A$88,$BA$205^A6,IF(A6='Données projet'!$A$88,'Données projet'!$B$88,BD5+BC6-BL5)))</f>
        <v>4.5813016353098099</v>
      </c>
      <c r="BE6" s="13">
        <f>BD6*VLOOKUP('Données projet'!$B$11,Paramètres!$A$1:$I$89,3,0)*VLOOKUP('Données projet'!$B$11,Paramètres!$A$1:$I$89,5,0)</f>
        <v>2.0154062154054917</v>
      </c>
      <c r="BF6" s="13">
        <f t="shared" si="37"/>
        <v>0.85602579674747081</v>
      </c>
      <c r="BG6" s="20">
        <f t="shared" si="7"/>
        <v>5.0010774211664097</v>
      </c>
      <c r="BH6" s="59">
        <f t="shared" si="8"/>
        <v>178.35609799105129</v>
      </c>
      <c r="BI6" s="59">
        <f ca="1">AVERAGE(OFFSET($BH$3,0,0,'Données projet'!$E$11+1,1))-AVERAGE(OFFSET($H$3,0,0,'Données projet'!$E$11+1,1))</f>
        <v>148.4522606780651</v>
      </c>
      <c r="BJ6" s="59">
        <f t="shared" si="38"/>
        <v>332.71193127646211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10.683760683333334</v>
      </c>
      <c r="N7" s="13">
        <f>IF('Données projet'!$A$36&gt;35,N6+M7-V6,IF(A7&lt;'Données projet'!$A$36,$K$205^A7,IF(A7='Données projet'!$A$36,'Données projet'!$B$36,N6+M7-V6)))</f>
        <v>7.6088411227202828</v>
      </c>
      <c r="O7" s="13">
        <f>N7*VLOOKUP('Données projet'!$B$9,Paramètres!$A$1:$I$89,3,0)*VLOOKUP('Données projet'!$B$9,Paramètres!$A$1:$I$89,5,0)</f>
        <v>3.8695522413706276</v>
      </c>
      <c r="P7" s="13">
        <f t="shared" si="33"/>
        <v>1.5233828848731132</v>
      </c>
      <c r="Q7" s="20">
        <f t="shared" si="2"/>
        <v>9.3926953448745145</v>
      </c>
      <c r="R7" s="59">
        <f t="shared" si="0"/>
        <v>185.47881740905146</v>
      </c>
      <c r="S7" s="59">
        <f ca="1">AVERAGE(OFFSET($R$3,0,0,'Données projet'!$E$9+1,1))-AVERAGE(OFFSET($H$3,0,0,'Données projet'!$E$9+1,1))</f>
        <v>169.76258214884751</v>
      </c>
      <c r="T7" s="59">
        <f t="shared" si="34"/>
        <v>378.2513167340262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10.683760683333334</v>
      </c>
      <c r="AI7" s="13">
        <f>IF('Données projet'!$A$62&gt;35,AI6+AH7-AQ6,IF(A7&lt;'Données projet'!$A$62,$AF$205^A7,IF(A7='Données projet'!$A$62,'Données projet'!$B$62,AI6+AH7-AQ6)))</f>
        <v>7.6088411227202828</v>
      </c>
      <c r="AJ7" s="13">
        <f>AI7*VLOOKUP('Données projet'!$B$10,Paramètres!$A$1:$I$89,3,0)*VLOOKUP('Données projet'!$B$10,Paramètres!$A$1:$I$89,5,0)</f>
        <v>3.6321563983417544</v>
      </c>
      <c r="AK7" s="13">
        <f t="shared" si="35"/>
        <v>1.4405006315716857</v>
      </c>
      <c r="AL7" s="20">
        <f t="shared" si="4"/>
        <v>8.8348776604325749</v>
      </c>
      <c r="AM7" s="59">
        <f t="shared" si="5"/>
        <v>184.92099972460952</v>
      </c>
      <c r="AN7" s="59">
        <f ca="1">AVERAGE(OFFSET($AM$3,0,0,'Données projet'!$E$10+1,1))-AVERAGE(OFFSET($H$3,0,0,'Données projet'!$E$10+1,1))</f>
        <v>160.0845775223442</v>
      </c>
      <c r="AO7" s="59">
        <f t="shared" si="36"/>
        <v>357.56921474995909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10.683760683333334</v>
      </c>
      <c r="BD7" s="12">
        <f>IF('Données projet'!$A$88&gt;35,BD6+BC7-BL6,IF(A7&lt;'Données projet'!$A$88,$BA$205^A7,IF(A7='Données projet'!$A$88,'Données projet'!$B$88,BD6+BC7-BL6)))</f>
        <v>7.6088411227202828</v>
      </c>
      <c r="BE7" s="13">
        <f>BD7*VLOOKUP('Données projet'!$B$11,Paramètres!$A$1:$I$89,3,0)*VLOOKUP('Données projet'!$B$11,Paramètres!$A$1:$I$89,5,0)</f>
        <v>3.3472813867071065</v>
      </c>
      <c r="BF7" s="13">
        <f t="shared" si="37"/>
        <v>1.3402015401860954</v>
      </c>
      <c r="BG7" s="20">
        <f t="shared" si="7"/>
        <v>8.1640327643389909</v>
      </c>
      <c r="BH7" s="59">
        <f t="shared" si="8"/>
        <v>184.25015482851595</v>
      </c>
      <c r="BI7" s="59">
        <f ca="1">AVERAGE(OFFSET($BH$3,0,0,'Données projet'!$E$11+1,1))-AVERAGE(OFFSET($H$3,0,0,'Données projet'!$E$11+1,1))</f>
        <v>148.4522606780651</v>
      </c>
      <c r="BJ7" s="59">
        <f t="shared" si="38"/>
        <v>332.71193127646211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10.683760683333334</v>
      </c>
      <c r="N8" s="13">
        <f>IF('Données projet'!$A$36&gt;35,N7+M8-V7,IF(A8&lt;'Données projet'!$A$36,$K$205^A8,IF(A8='Données projet'!$A$36,'Données projet'!$B$36,N7+M8-V7)))</f>
        <v>12.637121027915933</v>
      </c>
      <c r="O8" s="13">
        <f>N8*VLOOKUP('Données projet'!$B$9,Paramètres!$A$1:$I$89,3,0)*VLOOKUP('Données projet'!$B$9,Paramètres!$A$1:$I$89,5,0)</f>
        <v>6.4267342699569276</v>
      </c>
      <c r="P8" s="13">
        <f t="shared" si="33"/>
        <v>2.385021685511624</v>
      </c>
      <c r="Q8" s="20">
        <f t="shared" si="2"/>
        <v>15.347141622441059</v>
      </c>
      <c r="R8" s="59">
        <f t="shared" si="0"/>
        <v>194.13818949888841</v>
      </c>
      <c r="S8" s="59">
        <f ca="1">AVERAGE(OFFSET($R$3,0,0,'Données projet'!$E$9+1,1))-AVERAGE(OFFSET($H$3,0,0,'Données projet'!$E$9+1,1))</f>
        <v>169.76258214884751</v>
      </c>
      <c r="T8" s="59">
        <f t="shared" si="34"/>
        <v>378.2513167340262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10.683760683333334</v>
      </c>
      <c r="AI8" s="13">
        <f>IF('Données projet'!$A$62&gt;35,AI7+AH8-AQ7,IF(A8&lt;'Données projet'!$A$62,$AF$205^A8,IF(A8='Données projet'!$A$62,'Données projet'!$B$62,AI7+AH8-AQ7)))</f>
        <v>12.637121027915933</v>
      </c>
      <c r="AJ8" s="13">
        <f>AI8*VLOOKUP('Données projet'!$B$10,Paramètres!$A$1:$I$89,3,0)*VLOOKUP('Données projet'!$B$10,Paramètres!$A$1:$I$89,5,0)</f>
        <v>6.0324560938859495</v>
      </c>
      <c r="AK8" s="13">
        <f t="shared" si="35"/>
        <v>2.2552604984647857</v>
      </c>
      <c r="AL8" s="20">
        <f t="shared" si="4"/>
        <v>14.434439731677529</v>
      </c>
      <c r="AM8" s="59">
        <f t="shared" si="5"/>
        <v>193.22548760812487</v>
      </c>
      <c r="AN8" s="59">
        <f ca="1">AVERAGE(OFFSET($AM$3,0,0,'Données projet'!$E$10+1,1))-AVERAGE(OFFSET($H$3,0,0,'Données projet'!$E$10+1,1))</f>
        <v>160.0845775223442</v>
      </c>
      <c r="AO8" s="59">
        <f t="shared" si="36"/>
        <v>357.56921474995909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10.683760683333334</v>
      </c>
      <c r="BD8" s="12">
        <f>IF('Données projet'!$A$88&gt;35,BD7+BC8-BL7,IF(A8&lt;'Données projet'!$A$88,$BA$205^A8,IF(A8='Données projet'!$A$88,'Données projet'!$B$88,BD7+BC8-BL7)))</f>
        <v>12.637121027915933</v>
      </c>
      <c r="BE8" s="13">
        <f>BD8*VLOOKUP('Données projet'!$B$11,Paramètres!$A$1:$I$89,3,0)*VLOOKUP('Données projet'!$B$11,Paramètres!$A$1:$I$89,5,0)</f>
        <v>5.5593222826007773</v>
      </c>
      <c r="BF8" s="13">
        <f t="shared" si="37"/>
        <v>2.0982313560429389</v>
      </c>
      <c r="BG8" s="20">
        <f t="shared" si="7"/>
        <v>13.336905920637804</v>
      </c>
      <c r="BH8" s="59">
        <f t="shared" si="8"/>
        <v>192.12795379708515</v>
      </c>
      <c r="BI8" s="59">
        <f ca="1">AVERAGE(OFFSET($BH$3,0,0,'Données projet'!$E$11+1,1))-AVERAGE(OFFSET($H$3,0,0,'Données projet'!$E$11+1,1))</f>
        <v>148.4522606780651</v>
      </c>
      <c r="BJ8" s="59">
        <f t="shared" si="38"/>
        <v>332.71193127646211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10.683760683333334</v>
      </c>
      <c r="N9" s="13">
        <f>IF('Données projet'!$A$36&gt;35,N8+M9-V8,IF(A9&lt;'Données projet'!$A$36,$K$205^A9,IF(A9='Données projet'!$A$36,'Données projet'!$B$36,N8+M9-V8)))</f>
        <v>20.98832467369234</v>
      </c>
      <c r="O9" s="13">
        <f>N9*VLOOKUP('Données projet'!$B$9,Paramètres!$A$1:$I$89,3,0)*VLOOKUP('Données projet'!$B$9,Paramètres!$A$1:$I$89,5,0)</f>
        <v>10.673822396052978</v>
      </c>
      <c r="P9" s="13">
        <f t="shared" si="33"/>
        <v>3.7340109941136075</v>
      </c>
      <c r="Q9" s="20">
        <f t="shared" si="2"/>
        <v>25.093643154540132</v>
      </c>
      <c r="R9" s="59">
        <f t="shared" si="0"/>
        <v>206.56389525079911</v>
      </c>
      <c r="S9" s="59">
        <f ca="1">AVERAGE(OFFSET($R$3,0,0,'Données projet'!$E$9+1,1))-AVERAGE(OFFSET($H$3,0,0,'Données projet'!$E$9+1,1))</f>
        <v>169.76258214884751</v>
      </c>
      <c r="T9" s="59">
        <f t="shared" si="34"/>
        <v>378.2513167340262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10.683760683333334</v>
      </c>
      <c r="AI9" s="13">
        <f>IF('Données projet'!$A$62&gt;35,AI8+AH9-AQ8,IF(A9&lt;'Données projet'!$A$62,$AF$205^A9,IF(A9='Données projet'!$A$62,'Données projet'!$B$62,AI8+AH9-AQ8)))</f>
        <v>20.98832467369234</v>
      </c>
      <c r="AJ9" s="13">
        <f>AI9*VLOOKUP('Données projet'!$B$10,Paramètres!$A$1:$I$89,3,0)*VLOOKUP('Données projet'!$B$10,Paramètres!$A$1:$I$89,5,0)</f>
        <v>10.018986666233776</v>
      </c>
      <c r="AK9" s="13">
        <f t="shared" si="35"/>
        <v>3.5308557347775946</v>
      </c>
      <c r="AL9" s="20">
        <f t="shared" si="4"/>
        <v>23.599308848428134</v>
      </c>
      <c r="AM9" s="59">
        <f t="shared" si="5"/>
        <v>205.06956094468711</v>
      </c>
      <c r="AN9" s="59">
        <f ca="1">AVERAGE(OFFSET($AM$3,0,0,'Données projet'!$E$10+1,1))-AVERAGE(OFFSET($H$3,0,0,'Données projet'!$E$10+1,1))</f>
        <v>160.0845775223442</v>
      </c>
      <c r="AO9" s="59">
        <f t="shared" si="36"/>
        <v>357.56921474995909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10.683760683333334</v>
      </c>
      <c r="BD9" s="12">
        <f>IF('Données projet'!$A$88&gt;35,BD8+BC9-BL8,IF(A9&lt;'Données projet'!$A$88,$BA$205^A9,IF(A9='Données projet'!$A$88,'Données projet'!$B$88,BD8+BC9-BL8)))</f>
        <v>20.98832467369234</v>
      </c>
      <c r="BE9" s="13">
        <f>BD9*VLOOKUP('Données projet'!$B$11,Paramètres!$A$1:$I$89,3,0)*VLOOKUP('Données projet'!$B$11,Paramètres!$A$1:$I$89,5,0)</f>
        <v>9.2331837904507346</v>
      </c>
      <c r="BF9" s="13">
        <f t="shared" si="37"/>
        <v>3.2850095239186663</v>
      </c>
      <c r="BG9" s="20">
        <f t="shared" si="7"/>
        <v>21.802520022526707</v>
      </c>
      <c r="BH9" s="59">
        <f t="shared" si="8"/>
        <v>203.27277211878567</v>
      </c>
      <c r="BI9" s="59">
        <f ca="1">AVERAGE(OFFSET($BH$3,0,0,'Données projet'!$E$11+1,1))-AVERAGE(OFFSET($H$3,0,0,'Données projet'!$E$11+1,1))</f>
        <v>148.4522606780651</v>
      </c>
      <c r="BJ9" s="59">
        <f t="shared" si="38"/>
        <v>332.71193127646211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10.683760683333334</v>
      </c>
      <c r="N10" s="13">
        <f>IF('Données projet'!$A$36&gt;35,N9+M10-V9,IF(A10&lt;'Données projet'!$A$36,$K$205^A10,IF(A10='Données projet'!$A$36,'Données projet'!$B$36,N9+M10-V9)))</f>
        <v>34.858396278330964</v>
      </c>
      <c r="O10" s="13">
        <f>N10*VLOOKUP('Données projet'!$B$9,Paramètres!$A$1:$I$89,3,0)*VLOOKUP('Données projet'!$B$9,Paramètres!$A$1:$I$89,5,0)</f>
        <v>17.727586011307995</v>
      </c>
      <c r="P10" s="13">
        <f t="shared" si="33"/>
        <v>5.846000557923789</v>
      </c>
      <c r="Q10" s="20">
        <f t="shared" si="2"/>
        <v>41.057329941412029</v>
      </c>
      <c r="R10" s="59">
        <f t="shared" si="0"/>
        <v>225.18151087714827</v>
      </c>
      <c r="S10" s="59">
        <f ca="1">AVERAGE(OFFSET($R$3,0,0,'Données projet'!$E$9+1,1))-AVERAGE(OFFSET($H$3,0,0,'Données projet'!$E$9+1,1))</f>
        <v>169.76258214884751</v>
      </c>
      <c r="T10" s="59">
        <f t="shared" si="34"/>
        <v>378.2513167340262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10.683760683333334</v>
      </c>
      <c r="AI10" s="13">
        <f>IF('Données projet'!$A$62&gt;35,AI9+AH10-AQ9,IF(A10&lt;'Données projet'!$A$62,$AF$205^A10,IF(A10='Données projet'!$A$62,'Données projet'!$B$62,AI9+AH10-AQ9)))</f>
        <v>34.858396278330964</v>
      </c>
      <c r="AJ10" s="13">
        <f>AI10*VLOOKUP('Données projet'!$B$10,Paramètres!$A$1:$I$89,3,0)*VLOOKUP('Données projet'!$B$10,Paramètres!$A$1:$I$89,5,0)</f>
        <v>16.640004047424071</v>
      </c>
      <c r="AK10" s="13">
        <f t="shared" si="35"/>
        <v>5.5279388914488603</v>
      </c>
      <c r="AL10" s="20">
        <f t="shared" si="4"/>
        <v>38.609167285203689</v>
      </c>
      <c r="AM10" s="59">
        <f t="shared" si="5"/>
        <v>222.73334822093992</v>
      </c>
      <c r="AN10" s="59">
        <f ca="1">AVERAGE(OFFSET($AM$3,0,0,'Données projet'!$E$10+1,1))-AVERAGE(OFFSET($H$3,0,0,'Données projet'!$E$10+1,1))</f>
        <v>160.0845775223442</v>
      </c>
      <c r="AO10" s="59">
        <f t="shared" si="36"/>
        <v>357.56921474995909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10.683760683333334</v>
      </c>
      <c r="BD10" s="12">
        <f>IF('Données projet'!$A$88&gt;35,BD9+BC10-BL9,IF(A10&lt;'Données projet'!$A$88,$BA$205^A10,IF(A10='Données projet'!$A$88,'Données projet'!$B$88,BD9+BC10-BL9)))</f>
        <v>34.858396278330964</v>
      </c>
      <c r="BE10" s="13">
        <f>BD10*VLOOKUP('Données projet'!$B$11,Paramètres!$A$1:$I$89,3,0)*VLOOKUP('Données projet'!$B$11,Paramètres!$A$1:$I$89,5,0)</f>
        <v>15.334905690763357</v>
      </c>
      <c r="BF10" s="13">
        <f t="shared" si="37"/>
        <v>5.1430398946032652</v>
      </c>
      <c r="BG10" s="20">
        <f t="shared" si="7"/>
        <v>35.665755227846866</v>
      </c>
      <c r="BH10" s="59">
        <f t="shared" si="8"/>
        <v>219.78993616358309</v>
      </c>
      <c r="BI10" s="59">
        <f ca="1">AVERAGE(OFFSET($BH$3,0,0,'Données projet'!$E$11+1,1))-AVERAGE(OFFSET($H$3,0,0,'Données projet'!$E$11+1,1))</f>
        <v>148.4522606780651</v>
      </c>
      <c r="BJ10" s="59">
        <f t="shared" si="38"/>
        <v>332.71193127646211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10.683760683333334</v>
      </c>
      <c r="N11" s="13">
        <f>IF('Données projet'!$A$36&gt;35,N10+M11-V10,IF(A11&lt;'Données projet'!$A$36,$K$205^A11,IF(A11='Données projet'!$A$36,'Données projet'!$B$36,N10+M11-V10)))</f>
        <v>57.894463230799253</v>
      </c>
      <c r="O11" s="13">
        <f>N11*VLOOKUP('Données projet'!$B$9,Paramètres!$A$1:$I$89,3,0)*VLOOKUP('Données projet'!$B$9,Paramètres!$A$1:$I$89,5,0)</f>
        <v>29.442808220655269</v>
      </c>
      <c r="P11" s="13">
        <f t="shared" si="33"/>
        <v>9.1525500533128419</v>
      </c>
      <c r="Q11" s="20">
        <f t="shared" si="2"/>
        <v>67.220248993827795</v>
      </c>
      <c r="R11" s="59">
        <f t="shared" si="0"/>
        <v>253.97352186004835</v>
      </c>
      <c r="S11" s="59">
        <f ca="1">AVERAGE(OFFSET($R$3,0,0,'Données projet'!$E$9+1,1))-AVERAGE(OFFSET($H$3,0,0,'Données projet'!$E$9+1,1))</f>
        <v>169.76258214884751</v>
      </c>
      <c r="T11" s="59">
        <f t="shared" si="34"/>
        <v>378.2513167340262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10.683760683333334</v>
      </c>
      <c r="AI11" s="13">
        <f>IF('Données projet'!$A$62&gt;35,AI10+AH11-AQ10,IF(A11&lt;'Données projet'!$A$62,$AF$205^A11,IF(A11='Données projet'!$A$62,'Données projet'!$B$62,AI10+AH11-AQ10)))</f>
        <v>57.894463230799253</v>
      </c>
      <c r="AJ11" s="13">
        <f>AI11*VLOOKUP('Données projet'!$B$10,Paramètres!$A$1:$I$89,3,0)*VLOOKUP('Données projet'!$B$10,Paramètres!$A$1:$I$89,5,0)</f>
        <v>27.636500967854332</v>
      </c>
      <c r="AK11" s="13">
        <f t="shared" si="35"/>
        <v>8.6545899019909029</v>
      </c>
      <c r="AL11" s="20">
        <f t="shared" si="4"/>
        <v>63.206983264980444</v>
      </c>
      <c r="AM11" s="59">
        <f t="shared" si="5"/>
        <v>249.96025613120099</v>
      </c>
      <c r="AN11" s="59">
        <f ca="1">AVERAGE(OFFSET($AM$3,0,0,'Données projet'!$E$10+1,1))-AVERAGE(OFFSET($H$3,0,0,'Données projet'!$E$10+1,1))</f>
        <v>160.0845775223442</v>
      </c>
      <c r="AO11" s="59">
        <f t="shared" si="36"/>
        <v>357.56921474995909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10.683760683333334</v>
      </c>
      <c r="BD11" s="12">
        <f>IF('Données projet'!$A$88&gt;35,BD10+BC11-BL10,IF(A11&lt;'Données projet'!$A$88,$BA$205^A11,IF(A11='Données projet'!$A$88,'Données projet'!$B$88,BD10+BC11-BL10)))</f>
        <v>57.894463230799253</v>
      </c>
      <c r="BE11" s="13">
        <f>BD11*VLOOKUP('Données projet'!$B$11,Paramètres!$A$1:$I$89,3,0)*VLOOKUP('Données projet'!$B$11,Paramètres!$A$1:$I$89,5,0)</f>
        <v>25.468932264493208</v>
      </c>
      <c r="BF11" s="13">
        <f t="shared" si="37"/>
        <v>8.0519886365284279</v>
      </c>
      <c r="BG11" s="20">
        <f t="shared" si="7"/>
        <v>58.382270569279349</v>
      </c>
      <c r="BH11" s="59">
        <f t="shared" si="8"/>
        <v>245.1355434354999</v>
      </c>
      <c r="BI11" s="59">
        <f ca="1">AVERAGE(OFFSET($BH$3,0,0,'Données projet'!$E$11+1,1))-AVERAGE(OFFSET($H$3,0,0,'Données projet'!$E$11+1,1))</f>
        <v>148.4522606780651</v>
      </c>
      <c r="BJ11" s="59">
        <f t="shared" si="38"/>
        <v>332.71193127646211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96.153846150000007</v>
      </c>
      <c r="L12" s="12">
        <f>VLOOKUP(A12,'Données projet'!$A$35:$I$55,9,0)</f>
        <v>10.683760683333334</v>
      </c>
      <c r="M12" s="12">
        <f t="array" ref="M12">INDEX(L:L,MIN(IF(ISNUMBER(L12:L208),ROW(L12:L208),"")))</f>
        <v>10.683760683333334</v>
      </c>
      <c r="N12" s="13">
        <f>IF('Données projet'!$A$36&gt;35,N11+M12-V11,IF(A12&lt;'Données projet'!$A$36,$K$205^A12,IF(A12='Données projet'!$A$36,'Données projet'!$B$36,N11+M12-V11)))</f>
        <v>96.153846150000007</v>
      </c>
      <c r="O12" s="13">
        <f>N12*VLOOKUP('Données projet'!$B$9,Paramètres!$A$1:$I$89,3,0)*VLOOKUP('Données projet'!$B$9,Paramètres!$A$1:$I$89,5,0)</f>
        <v>48.899999998044002</v>
      </c>
      <c r="P12" s="13">
        <f t="shared" si="33"/>
        <v>14.329313117299405</v>
      </c>
      <c r="Q12" s="20">
        <f t="shared" si="2"/>
        <v>110.1243870092231</v>
      </c>
      <c r="R12" s="59">
        <f t="shared" si="0"/>
        <v>299.48234576177919</v>
      </c>
      <c r="S12" s="59">
        <f ca="1">AVERAGE(OFFSET($R$3,0,0,'Données projet'!$E$9+1,1))-AVERAGE(OFFSET($H$3,0,0,'Données projet'!$E$9+1,1))</f>
        <v>169.76258214884751</v>
      </c>
      <c r="T12" s="59">
        <f t="shared" si="34"/>
        <v>378.2513167340262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96.153846150000007</v>
      </c>
      <c r="AG12" s="12">
        <f>VLOOKUP(A12,'Données projet'!$A$61:$I$81,9,0)</f>
        <v>10.683760683333334</v>
      </c>
      <c r="AH12" s="12">
        <f t="array" ref="AH12">INDEX(AG:AG,MIN(IF(ISNUMBER(AG12:AG208),ROW(AG12:AG208),"")))</f>
        <v>10.683760683333334</v>
      </c>
      <c r="AI12" s="13">
        <f>IF('Données projet'!$A$62&gt;35,AI11+AH12-AQ11,IF(A12&lt;'Données projet'!$A$62,$AF$205^A12,IF(A12='Données projet'!$A$62,'Données projet'!$B$62,AI11+AH12-AQ11)))</f>
        <v>96.153846150000007</v>
      </c>
      <c r="AJ12" s="13">
        <f>AI12*VLOOKUP('Données projet'!$B$10,Paramètres!$A$1:$I$89,3,0)*VLOOKUP('Données projet'!$B$10,Paramètres!$A$1:$I$89,5,0)</f>
        <v>45.899999998164006</v>
      </c>
      <c r="AK12" s="13">
        <f t="shared" si="35"/>
        <v>13.549702310839278</v>
      </c>
      <c r="AL12" s="20">
        <f t="shared" si="4"/>
        <v>103.54156485484738</v>
      </c>
      <c r="AM12" s="59">
        <f t="shared" si="5"/>
        <v>292.89952360740347</v>
      </c>
      <c r="AN12" s="59">
        <f ca="1">AVERAGE(OFFSET($AM$3,0,0,'Données projet'!$E$10+1,1))-AVERAGE(OFFSET($H$3,0,0,'Données projet'!$E$10+1,1))</f>
        <v>160.0845775223442</v>
      </c>
      <c r="AO12" s="59">
        <f t="shared" si="36"/>
        <v>357.56921474995909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96.153846150000007</v>
      </c>
      <c r="BB12" s="12">
        <f>VLOOKUP(A12,'Données projet'!$A$87:$I$107,9,0)</f>
        <v>10.683760683333334</v>
      </c>
      <c r="BC12" s="12">
        <f t="array" ref="BC12">INDEX(BB:BB,MIN(IF(ISNUMBER(BB12:BB208),ROW(BB12:BB208),"")))</f>
        <v>10.683760683333334</v>
      </c>
      <c r="BD12" s="12">
        <f>IF('Données projet'!$A$88&gt;35,BD11+BC12-BL11,IF(A12&lt;'Données projet'!$A$88,$BA$205^A12,IF(A12='Données projet'!$A$88,'Données projet'!$B$88,BD11+BC12-BL11)))</f>
        <v>96.153846150000007</v>
      </c>
      <c r="BE12" s="13">
        <f>BD12*VLOOKUP('Données projet'!$B$11,Paramètres!$A$1:$I$89,3,0)*VLOOKUP('Données projet'!$B$11,Paramètres!$A$1:$I$89,5,0)</f>
        <v>42.299999998307996</v>
      </c>
      <c r="BF12" s="13">
        <f t="shared" si="37"/>
        <v>12.60626445282208</v>
      </c>
      <c r="BG12" s="20">
        <f t="shared" si="7"/>
        <v>95.628410585718214</v>
      </c>
      <c r="BH12" s="59">
        <f t="shared" si="8"/>
        <v>284.9863693382743</v>
      </c>
      <c r="BI12" s="59">
        <f ca="1">AVERAGE(OFFSET($BH$3,0,0,'Données projet'!$E$11+1,1))-AVERAGE(OFFSET($H$3,0,0,'Données projet'!$E$11+1,1))</f>
        <v>148.4522606780651</v>
      </c>
      <c r="BJ12" s="59">
        <f t="shared" si="38"/>
        <v>332.71193127646211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35.256410250000002</v>
      </c>
      <c r="N13" s="13">
        <f>IF('Données projet'!$A$36&gt;35,N12+M13-V12,IF(A13&lt;'Données projet'!$A$36,$K$205^A13,IF(A13='Données projet'!$A$36,'Données projet'!$B$36,N12+M13-V12)))</f>
        <v>131.41025640000001</v>
      </c>
      <c r="O13" s="13">
        <f>N13*VLOOKUP('Données projet'!$B$9,Paramètres!$A$1:$I$89,3,0)*VLOOKUP('Données projet'!$B$9,Paramètres!$A$1:$I$89,5,0)</f>
        <v>66.829999994784004</v>
      </c>
      <c r="P13" s="13">
        <f t="shared" si="33"/>
        <v>18.884124190669901</v>
      </c>
      <c r="Q13" s="20">
        <f t="shared" si="2"/>
        <v>149.28543295633219</v>
      </c>
      <c r="R13" s="59">
        <f t="shared" si="0"/>
        <v>341.22409494137707</v>
      </c>
      <c r="S13" s="59">
        <f ca="1">AVERAGE(OFFSET($R$3,0,0,'Données projet'!$E$9+1,1))-AVERAGE(OFFSET($H$3,0,0,'Données projet'!$E$9+1,1))</f>
        <v>169.76258214884751</v>
      </c>
      <c r="T13" s="59">
        <f t="shared" si="34"/>
        <v>378.2513167340262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35.256410250000002</v>
      </c>
      <c r="AI13" s="13">
        <f>IF('Données projet'!$A$62&gt;35,AI12+AH13-AQ12,IF(A13&lt;'Données projet'!$A$62,$AF$205^A13,IF(A13='Données projet'!$A$62,'Données projet'!$B$62,AI12+AH13-AQ12)))</f>
        <v>131.41025640000001</v>
      </c>
      <c r="AJ13" s="13">
        <f>AI13*VLOOKUP('Données projet'!$B$10,Paramètres!$A$1:$I$89,3,0)*VLOOKUP('Données projet'!$B$10,Paramètres!$A$1:$I$89,5,0)</f>
        <v>62.729999995104002</v>
      </c>
      <c r="AK13" s="13">
        <f t="shared" si="35"/>
        <v>17.856701091665425</v>
      </c>
      <c r="AL13" s="20">
        <f t="shared" si="4"/>
        <v>140.35517105945675</v>
      </c>
      <c r="AM13" s="59">
        <f t="shared" si="5"/>
        <v>332.29383304450164</v>
      </c>
      <c r="AN13" s="59">
        <f ca="1">AVERAGE(OFFSET($AM$3,0,0,'Données projet'!$E$10+1,1))-AVERAGE(OFFSET($H$3,0,0,'Données projet'!$E$10+1,1))</f>
        <v>160.0845775223442</v>
      </c>
      <c r="AO13" s="59">
        <f t="shared" si="36"/>
        <v>357.56921474995909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35.256410250000002</v>
      </c>
      <c r="BD13" s="12">
        <f>IF('Données projet'!$A$88&gt;35,BD12+BC13-BL12,IF(A13&lt;'Données projet'!$A$88,$BA$205^A13,IF(A13='Données projet'!$A$88,'Données projet'!$B$88,BD12+BC13-BL12)))</f>
        <v>131.41025640000001</v>
      </c>
      <c r="BE13" s="13">
        <f>BD13*VLOOKUP('Données projet'!$B$11,Paramètres!$A$1:$I$89,3,0)*VLOOKUP('Données projet'!$B$11,Paramètres!$A$1:$I$89,5,0)</f>
        <v>57.809999995487999</v>
      </c>
      <c r="BF13" s="13">
        <f t="shared" si="37"/>
        <v>16.613375781433529</v>
      </c>
      <c r="BG13" s="20">
        <f t="shared" si="7"/>
        <v>129.62071281147163</v>
      </c>
      <c r="BH13" s="59">
        <f t="shared" si="8"/>
        <v>321.55937479651652</v>
      </c>
      <c r="BI13" s="59">
        <f ca="1">AVERAGE(OFFSET($BH$3,0,0,'Données projet'!$E$11+1,1))-AVERAGE(OFFSET($H$3,0,0,'Données projet'!$E$11+1,1))</f>
        <v>148.4522606780651</v>
      </c>
      <c r="BJ13" s="59">
        <f t="shared" si="38"/>
        <v>332.71193127646211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35.256410250000002</v>
      </c>
      <c r="N14" s="13">
        <f>IF('Données projet'!$A$36&gt;35,N13+M14-V13,IF(A14&lt;'Données projet'!$A$36,$K$205^A14,IF(A14='Données projet'!$A$36,'Données projet'!$B$36,N13+M14-V13)))</f>
        <v>166.66666665000002</v>
      </c>
      <c r="O14" s="13">
        <f>N14*VLOOKUP('Données projet'!$B$9,Paramètres!$A$1:$I$89,3,0)*VLOOKUP('Données projet'!$B$9,Paramètres!$A$1:$I$89,5,0)</f>
        <v>84.759999991524012</v>
      </c>
      <c r="P14" s="13">
        <f t="shared" si="33"/>
        <v>23.297085123358535</v>
      </c>
      <c r="Q14" s="20">
        <f t="shared" si="2"/>
        <v>188.19942324175375</v>
      </c>
      <c r="R14" s="59">
        <f t="shared" si="0"/>
        <v>382.69522185086788</v>
      </c>
      <c r="S14" s="59">
        <f ca="1">AVERAGE(OFFSET($R$3,0,0,'Données projet'!$E$9+1,1))-AVERAGE(OFFSET($H$3,0,0,'Données projet'!$E$9+1,1))</f>
        <v>169.76258214884751</v>
      </c>
      <c r="T14" s="59">
        <f t="shared" si="34"/>
        <v>378.2513167340262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35.256410250000002</v>
      </c>
      <c r="AI14" s="13">
        <f>IF('Données projet'!$A$62&gt;35,AI13+AH14-AQ13,IF(A14&lt;'Données projet'!$A$62,$AF$205^A14,IF(A14='Données projet'!$A$62,'Données projet'!$B$62,AI13+AH14-AQ13)))</f>
        <v>166.66666665000002</v>
      </c>
      <c r="AJ14" s="13">
        <f>AI14*VLOOKUP('Données projet'!$B$10,Paramètres!$A$1:$I$89,3,0)*VLOOKUP('Données projet'!$B$10,Paramètres!$A$1:$I$89,5,0)</f>
        <v>79.559999992044013</v>
      </c>
      <c r="AK14" s="13">
        <f t="shared" si="35"/>
        <v>22.029567331506779</v>
      </c>
      <c r="AL14" s="20">
        <f t="shared" si="4"/>
        <v>176.93516308851761</v>
      </c>
      <c r="AM14" s="59">
        <f t="shared" si="5"/>
        <v>371.43096169763174</v>
      </c>
      <c r="AN14" s="59">
        <f ca="1">AVERAGE(OFFSET($AM$3,0,0,'Données projet'!$E$10+1,1))-AVERAGE(OFFSET($H$3,0,0,'Données projet'!$E$10+1,1))</f>
        <v>160.0845775223442</v>
      </c>
      <c r="AO14" s="59">
        <f t="shared" si="36"/>
        <v>357.56921474995909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35.256410250000002</v>
      </c>
      <c r="BD14" s="12">
        <f>IF('Données projet'!$A$88&gt;35,BD13+BC14-BL13,IF(A14&lt;'Données projet'!$A$88,$BA$205^A14,IF(A14='Données projet'!$A$88,'Données projet'!$B$88,BD13+BC14-BL13)))</f>
        <v>166.66666665000002</v>
      </c>
      <c r="BE14" s="13">
        <f>BD14*VLOOKUP('Données projet'!$B$11,Paramètres!$A$1:$I$89,3,0)*VLOOKUP('Données projet'!$B$11,Paramètres!$A$1:$I$89,5,0)</f>
        <v>73.319999992668002</v>
      </c>
      <c r="BF14" s="13">
        <f t="shared" si="37"/>
        <v>20.495693941561068</v>
      </c>
      <c r="BG14" s="20">
        <f t="shared" si="7"/>
        <v>163.39566693544896</v>
      </c>
      <c r="BH14" s="59">
        <f t="shared" si="8"/>
        <v>357.89146554456306</v>
      </c>
      <c r="BI14" s="59">
        <f ca="1">AVERAGE(OFFSET($BH$3,0,0,'Données projet'!$E$11+1,1))-AVERAGE(OFFSET($H$3,0,0,'Données projet'!$E$11+1,1))</f>
        <v>148.4522606780651</v>
      </c>
      <c r="BJ14" s="59">
        <f t="shared" si="38"/>
        <v>332.71193127646211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35.256410250000002</v>
      </c>
      <c r="N15" s="13">
        <f>IF('Données projet'!$A$36&gt;35,N14+M15-V14,IF(A15&lt;'Données projet'!$A$36,$K$205^A15,IF(A15='Données projet'!$A$36,'Données projet'!$B$36,N14+M15-V14)))</f>
        <v>201.92307690000001</v>
      </c>
      <c r="O15" s="13">
        <f>N15*VLOOKUP('Données projet'!$B$9,Paramètres!$A$1:$I$89,3,0)*VLOOKUP('Données projet'!$B$9,Paramètres!$A$1:$I$89,5,0)</f>
        <v>102.68999998826402</v>
      </c>
      <c r="P15" s="13">
        <f t="shared" si="33"/>
        <v>27.601859543895639</v>
      </c>
      <c r="Q15" s="20">
        <f t="shared" si="2"/>
        <v>226.92498868517808</v>
      </c>
      <c r="R15" s="59">
        <f t="shared" si="0"/>
        <v>423.95476613791095</v>
      </c>
      <c r="S15" s="59">
        <f ca="1">AVERAGE(OFFSET($R$3,0,0,'Données projet'!$E$9+1,1))-AVERAGE(OFFSET($H$3,0,0,'Données projet'!$E$9+1,1))</f>
        <v>169.76258214884751</v>
      </c>
      <c r="T15" s="59">
        <f t="shared" si="34"/>
        <v>378.2513167340262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35.256410250000002</v>
      </c>
      <c r="AI15" s="13">
        <f>IF('Données projet'!$A$62&gt;35,AI14+AH15-AQ14,IF(A15&lt;'Données projet'!$A$62,$AF$205^A15,IF(A15='Données projet'!$A$62,'Données projet'!$B$62,AI14+AH15-AQ14)))</f>
        <v>201.92307690000001</v>
      </c>
      <c r="AJ15" s="13">
        <f>AI15*VLOOKUP('Données projet'!$B$10,Paramètres!$A$1:$I$89,3,0)*VLOOKUP('Données projet'!$B$10,Paramètres!$A$1:$I$89,5,0)</f>
        <v>96.389999988984002</v>
      </c>
      <c r="AK15" s="13">
        <f t="shared" si="35"/>
        <v>26.100133131564231</v>
      </c>
      <c r="AL15" s="20">
        <f t="shared" si="4"/>
        <v>213.33698185162152</v>
      </c>
      <c r="AM15" s="59">
        <f t="shared" si="5"/>
        <v>410.36675930435439</v>
      </c>
      <c r="AN15" s="59">
        <f ca="1">AVERAGE(OFFSET($AM$3,0,0,'Données projet'!$E$10+1,1))-AVERAGE(OFFSET($H$3,0,0,'Données projet'!$E$10+1,1))</f>
        <v>160.0845775223442</v>
      </c>
      <c r="AO15" s="59">
        <f t="shared" si="36"/>
        <v>357.56921474995909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35.256410250000002</v>
      </c>
      <c r="BD15" s="12">
        <f>IF('Données projet'!$A$88&gt;35,BD14+BC15-BL14,IF(A15&lt;'Données projet'!$A$88,$BA$205^A15,IF(A15='Données projet'!$A$88,'Données projet'!$B$88,BD14+BC15-BL14)))</f>
        <v>201.92307690000001</v>
      </c>
      <c r="BE15" s="13">
        <f>BD15*VLOOKUP('Données projet'!$B$11,Paramètres!$A$1:$I$89,3,0)*VLOOKUP('Données projet'!$B$11,Paramètres!$A$1:$I$89,5,0)</f>
        <v>88.829999989847991</v>
      </c>
      <c r="BF15" s="13">
        <f t="shared" si="37"/>
        <v>24.282834630776605</v>
      </c>
      <c r="BG15" s="20">
        <f t="shared" si="7"/>
        <v>197.00485363092116</v>
      </c>
      <c r="BH15" s="59">
        <f t="shared" si="8"/>
        <v>394.03463108365406</v>
      </c>
      <c r="BI15" s="59">
        <f ca="1">AVERAGE(OFFSET($BH$3,0,0,'Données projet'!$E$11+1,1))-AVERAGE(OFFSET($H$3,0,0,'Données projet'!$E$11+1,1))</f>
        <v>148.4522606780651</v>
      </c>
      <c r="BJ15" s="59">
        <f t="shared" si="38"/>
        <v>332.71193127646211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35.256410250000002</v>
      </c>
      <c r="N16" s="13">
        <f>IF('Données projet'!$A$36&gt;35,N15+M16-V15,IF(A16&lt;'Données projet'!$A$36,$K$205^A16,IF(A16='Données projet'!$A$36,'Données projet'!$B$36,N15+M16-V15)))</f>
        <v>237.17948715</v>
      </c>
      <c r="O16" s="13">
        <f>N16*VLOOKUP('Données projet'!$B$9,Paramètres!$A$1:$I$89,3,0)*VLOOKUP('Données projet'!$B$9,Paramètres!$A$1:$I$89,5,0)</f>
        <v>120.619999985004</v>
      </c>
      <c r="P16" s="13">
        <f t="shared" si="33"/>
        <v>31.819560709778635</v>
      </c>
      <c r="Q16" s="20">
        <f t="shared" si="2"/>
        <v>265.49890154341307</v>
      </c>
      <c r="R16" s="59">
        <f t="shared" si="0"/>
        <v>465.03990179503188</v>
      </c>
      <c r="S16" s="59">
        <f ca="1">AVERAGE(OFFSET($R$3,0,0,'Données projet'!$E$9+1,1))-AVERAGE(OFFSET($H$3,0,0,'Données projet'!$E$9+1,1))</f>
        <v>169.76258214884751</v>
      </c>
      <c r="T16" s="59">
        <f t="shared" si="34"/>
        <v>378.2513167340262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35.256410250000002</v>
      </c>
      <c r="AI16" s="13">
        <f>IF('Données projet'!$A$62&gt;35,AI15+AH16-AQ15,IF(A16&lt;'Données projet'!$A$62,$AF$205^A16,IF(A16='Données projet'!$A$62,'Données projet'!$B$62,AI15+AH16-AQ15)))</f>
        <v>237.17948715</v>
      </c>
      <c r="AJ16" s="13">
        <f>AI16*VLOOKUP('Données projet'!$B$10,Paramètres!$A$1:$I$89,3,0)*VLOOKUP('Données projet'!$B$10,Paramètres!$A$1:$I$89,5,0)</f>
        <v>113.21999998592401</v>
      </c>
      <c r="AK16" s="13">
        <f t="shared" si="35"/>
        <v>30.088363046423218</v>
      </c>
      <c r="AL16" s="20">
        <f t="shared" si="4"/>
        <v>249.59539894800471</v>
      </c>
      <c r="AM16" s="59">
        <f t="shared" si="5"/>
        <v>449.1363991996235</v>
      </c>
      <c r="AN16" s="59">
        <f ca="1">AVERAGE(OFFSET($AM$3,0,0,'Données projet'!$E$10+1,1))-AVERAGE(OFFSET($H$3,0,0,'Données projet'!$E$10+1,1))</f>
        <v>160.0845775223442</v>
      </c>
      <c r="AO16" s="59">
        <f t="shared" si="36"/>
        <v>357.56921474995909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35.256410250000002</v>
      </c>
      <c r="BD16" s="12">
        <f>IF('Données projet'!$A$88&gt;35,BD15+BC16-BL15,IF(A16&lt;'Données projet'!$A$88,$BA$205^A16,IF(A16='Données projet'!$A$88,'Données projet'!$B$88,BD15+BC16-BL15)))</f>
        <v>237.17948715</v>
      </c>
      <c r="BE16" s="13">
        <f>BD16*VLOOKUP('Données projet'!$B$11,Paramètres!$A$1:$I$89,3,0)*VLOOKUP('Données projet'!$B$11,Paramètres!$A$1:$I$89,5,0)</f>
        <v>104.33999998702799</v>
      </c>
      <c r="BF16" s="13">
        <f t="shared" si="37"/>
        <v>27.99337231285903</v>
      </c>
      <c r="BG16" s="20">
        <f t="shared" si="7"/>
        <v>230.48062342230324</v>
      </c>
      <c r="BH16" s="59">
        <f t="shared" si="8"/>
        <v>430.02162367392202</v>
      </c>
      <c r="BI16" s="59">
        <f ca="1">AVERAGE(OFFSET($BH$3,0,0,'Données projet'!$E$11+1,1))-AVERAGE(OFFSET($H$3,0,0,'Données projet'!$E$11+1,1))</f>
        <v>148.4522606780651</v>
      </c>
      <c r="BJ16" s="59">
        <f t="shared" si="38"/>
        <v>332.71193127646211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272.43589739999999</v>
      </c>
      <c r="L17" s="12">
        <f>VLOOKUP(A17,'Données projet'!$A$35:$I$55,9,0)</f>
        <v>35.256410250000002</v>
      </c>
      <c r="M17" s="12">
        <f t="array" ref="M17">INDEX(L:L,MIN(IF(ISNUMBER(L17:L213),ROW(L17:L213),"")))</f>
        <v>35.256410250000002</v>
      </c>
      <c r="N17" s="13">
        <f>IF('Données projet'!$A$36&gt;35,N16+M17-V16,IF(A17&lt;'Données projet'!$A$36,$K$205^A17,IF(A17='Données projet'!$A$36,'Données projet'!$B$36,N16+M17-V16)))</f>
        <v>272.43589739999999</v>
      </c>
      <c r="O17" s="13">
        <f>N17*VLOOKUP('Données projet'!$B$9,Paramètres!$A$1:$I$89,3,0)*VLOOKUP('Données projet'!$B$9,Paramètres!$A$1:$I$89,5,0)</f>
        <v>138.54999998174401</v>
      </c>
      <c r="P17" s="13">
        <f t="shared" si="33"/>
        <v>35.964629846272047</v>
      </c>
      <c r="Q17" s="20">
        <f t="shared" si="2"/>
        <v>303.94631361712794</v>
      </c>
      <c r="R17" s="59">
        <f t="shared" si="0"/>
        <v>505.97617538940113</v>
      </c>
      <c r="S17" s="59">
        <f ca="1">AVERAGE(OFFSET($R$3,0,0,'Données projet'!$E$9+1,1))-AVERAGE(OFFSET($H$3,0,0,'Données projet'!$E$9+1,1))</f>
        <v>169.76258214884751</v>
      </c>
      <c r="T17" s="59">
        <f t="shared" si="34"/>
        <v>378.2513167340262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272.43589739999999</v>
      </c>
      <c r="AG17" s="12">
        <f>VLOOKUP(A17,'Données projet'!$A$61:$I$81,9,0)</f>
        <v>35.256410250000002</v>
      </c>
      <c r="AH17" s="12">
        <f t="array" ref="AH17">INDEX(AG:AG,MIN(IF(ISNUMBER(AG17:AG213),ROW(AG17:AG213),"")))</f>
        <v>35.256410250000002</v>
      </c>
      <c r="AI17" s="13">
        <f>IF('Données projet'!$A$62&gt;35,AI16+AH17-AQ16,IF(A17&lt;'Données projet'!$A$62,$AF$205^A17,IF(A17='Données projet'!$A$62,'Données projet'!$B$62,AI16+AH17-AQ16)))</f>
        <v>272.43589739999999</v>
      </c>
      <c r="AJ17" s="13">
        <f>AI17*VLOOKUP('Données projet'!$B$10,Paramètres!$A$1:$I$89,3,0)*VLOOKUP('Données projet'!$B$10,Paramètres!$A$1:$I$89,5,0)</f>
        <v>130.04999998286399</v>
      </c>
      <c r="AK17" s="13">
        <f t="shared" si="35"/>
        <v>34.007912601769839</v>
      </c>
      <c r="AL17" s="20">
        <f t="shared" si="4"/>
        <v>285.73419775157055</v>
      </c>
      <c r="AM17" s="59">
        <f t="shared" si="5"/>
        <v>487.76405952384374</v>
      </c>
      <c r="AN17" s="59">
        <f ca="1">AVERAGE(OFFSET($AM$3,0,0,'Données projet'!$E$10+1,1))-AVERAGE(OFFSET($H$3,0,0,'Données projet'!$E$10+1,1))</f>
        <v>160.0845775223442</v>
      </c>
      <c r="AO17" s="59">
        <f t="shared" si="36"/>
        <v>357.56921474995909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272.43589739999999</v>
      </c>
      <c r="BB17" s="12">
        <f>VLOOKUP(A17,'Données projet'!$A$87:$I$107,9,0)</f>
        <v>35.256410250000002</v>
      </c>
      <c r="BC17" s="12">
        <f t="array" ref="BC17">INDEX(BB:BB,MIN(IF(ISNUMBER(BB17:BB213),ROW(BB17:BB213),"")))</f>
        <v>35.256410250000002</v>
      </c>
      <c r="BD17" s="12">
        <f>IF('Données projet'!$A$88&gt;35,BD16+BC17-BL16,IF(A17&lt;'Données projet'!$A$88,$BA$205^A17,IF(A17='Données projet'!$A$88,'Données projet'!$B$88,BD16+BC17-BL16)))</f>
        <v>272.43589739999999</v>
      </c>
      <c r="BE17" s="13">
        <f>BD17*VLOOKUP('Données projet'!$B$11,Paramètres!$A$1:$I$89,3,0)*VLOOKUP('Données projet'!$B$11,Paramètres!$A$1:$I$89,5,0)</f>
        <v>119.849999984208</v>
      </c>
      <c r="BF17" s="13">
        <f t="shared" si="37"/>
        <v>31.640011707372793</v>
      </c>
      <c r="BG17" s="20">
        <f t="shared" si="7"/>
        <v>263.84510369616982</v>
      </c>
      <c r="BH17" s="59">
        <f t="shared" si="8"/>
        <v>465.87496546844301</v>
      </c>
      <c r="BI17" s="59">
        <f ca="1">AVERAGE(OFFSET($BH$3,0,0,'Données projet'!$E$11+1,1))-AVERAGE(OFFSET($H$3,0,0,'Données projet'!$E$11+1,1))</f>
        <v>148.4522606780651</v>
      </c>
      <c r="BJ17" s="59">
        <f t="shared" si="38"/>
        <v>332.71193127646211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7.0512820600000055</v>
      </c>
      <c r="N18" s="13">
        <f>IF('Données projet'!$A$36&gt;35,N17+M18-V17,IF(A18&lt;'Données projet'!$A$36,$K$205^A18,IF(A18='Données projet'!$A$36,'Données projet'!$B$36,N17+M18-V17)))</f>
        <v>279.48717945999999</v>
      </c>
      <c r="O18" s="13">
        <f>N18*VLOOKUP('Données projet'!$B$9,Paramètres!$A$1:$I$89,3,0)*VLOOKUP('Données projet'!$B$9,Paramètres!$A$1:$I$89,5,0)</f>
        <v>142.13599998617761</v>
      </c>
      <c r="P18" s="13">
        <f t="shared" si="33"/>
        <v>36.785901038276975</v>
      </c>
      <c r="Q18" s="20">
        <f t="shared" si="2"/>
        <v>311.62231095092511</v>
      </c>
      <c r="R18" s="59">
        <f t="shared" si="0"/>
        <v>516.11906088380613</v>
      </c>
      <c r="S18" s="59">
        <f ca="1">AVERAGE(OFFSET($R$3,0,0,'Données projet'!$E$9+1,1))-AVERAGE(OFFSET($H$3,0,0,'Données projet'!$E$9+1,1))</f>
        <v>169.76258214884751</v>
      </c>
      <c r="T18" s="59">
        <f t="shared" si="34"/>
        <v>378.2513167340262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7.0512820600000055</v>
      </c>
      <c r="AI18" s="13">
        <f>IF('Données projet'!$A$62&gt;35,AI17+AH18-AQ17,IF(A18&lt;'Données projet'!$A$62,$AF$205^A18,IF(A18='Données projet'!$A$62,'Données projet'!$B$62,AI17+AH18-AQ17)))</f>
        <v>279.48717945999999</v>
      </c>
      <c r="AJ18" s="13">
        <f>AI18*VLOOKUP('Données projet'!$B$10,Paramètres!$A$1:$I$89,3,0)*VLOOKUP('Données projet'!$B$10,Paramètres!$A$1:$I$89,5,0)</f>
        <v>133.4159999870256</v>
      </c>
      <c r="AK18" s="13">
        <f t="shared" si="35"/>
        <v>34.784501128870971</v>
      </c>
      <c r="AL18" s="20">
        <f t="shared" si="4"/>
        <v>292.94920611018648</v>
      </c>
      <c r="AM18" s="59">
        <f t="shared" si="5"/>
        <v>497.44595604306755</v>
      </c>
      <c r="AN18" s="59">
        <f ca="1">AVERAGE(OFFSET($AM$3,0,0,'Données projet'!$E$10+1,1))-AVERAGE(OFFSET($H$3,0,0,'Données projet'!$E$10+1,1))</f>
        <v>160.0845775223442</v>
      </c>
      <c r="AO18" s="59">
        <f t="shared" si="36"/>
        <v>357.56921474995909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7.0512820600000055</v>
      </c>
      <c r="BD18" s="12">
        <f>IF('Données projet'!$A$88&gt;35,BD17+BC18-BL17,IF(A18&lt;'Données projet'!$A$88,$BA$205^A18,IF(A18='Données projet'!$A$88,'Données projet'!$B$88,BD17+BC18-BL17)))</f>
        <v>279.48717945999999</v>
      </c>
      <c r="BE18" s="13">
        <f>BD18*VLOOKUP('Données projet'!$B$11,Paramètres!$A$1:$I$89,3,0)*VLOOKUP('Données projet'!$B$11,Paramètres!$A$1:$I$89,5,0)</f>
        <v>122.95199998804318</v>
      </c>
      <c r="BF18" s="13">
        <f t="shared" si="37"/>
        <v>32.362527975190197</v>
      </c>
      <c r="BG18" s="20">
        <f t="shared" si="7"/>
        <v>270.50613620263147</v>
      </c>
      <c r="BH18" s="59">
        <f t="shared" si="8"/>
        <v>475.00288613551254</v>
      </c>
      <c r="BI18" s="59">
        <f ca="1">AVERAGE(OFFSET($BH$3,0,0,'Données projet'!$E$11+1,1))-AVERAGE(OFFSET($H$3,0,0,'Données projet'!$E$11+1,1))</f>
        <v>148.4522606780651</v>
      </c>
      <c r="BJ18" s="59">
        <f t="shared" si="38"/>
        <v>332.71193127646211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7.0512820600000055</v>
      </c>
      <c r="N19" s="13">
        <f>IF('Données projet'!$A$36&gt;35,N18+M19-V18,IF(A19&lt;'Données projet'!$A$36,$K$205^A19,IF(A19='Données projet'!$A$36,'Données projet'!$B$36,N18+M19-V18)))</f>
        <v>286.53846152</v>
      </c>
      <c r="O19" s="13">
        <f>N19*VLOOKUP('Données projet'!$B$9,Paramètres!$A$1:$I$89,3,0)*VLOOKUP('Données projet'!$B$9,Paramètres!$A$1:$I$89,5,0)</f>
        <v>145.72199999061121</v>
      </c>
      <c r="P19" s="13">
        <f t="shared" si="33"/>
        <v>37.604763673333217</v>
      </c>
      <c r="Q19" s="20">
        <f t="shared" si="2"/>
        <v>319.29411338136987</v>
      </c>
      <c r="R19" s="59">
        <f t="shared" si="0"/>
        <v>526.23615930348387</v>
      </c>
      <c r="S19" s="59">
        <f ca="1">AVERAGE(OFFSET($R$3,0,0,'Données projet'!$E$9+1,1))-AVERAGE(OFFSET($H$3,0,0,'Données projet'!$E$9+1,1))</f>
        <v>169.76258214884751</v>
      </c>
      <c r="T19" s="59">
        <f t="shared" si="34"/>
        <v>378.2513167340262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7.0512820600000055</v>
      </c>
      <c r="AI19" s="13">
        <f>IF('Données projet'!$A$62&gt;35,AI18+AH19-AQ18,IF(A19&lt;'Données projet'!$A$62,$AF$205^A19,IF(A19='Données projet'!$A$62,'Données projet'!$B$62,AI18+AH19-AQ18)))</f>
        <v>286.53846152</v>
      </c>
      <c r="AJ19" s="13">
        <f>AI19*VLOOKUP('Données projet'!$B$10,Paramètres!$A$1:$I$89,3,0)*VLOOKUP('Données projet'!$B$10,Paramètres!$A$1:$I$89,5,0)</f>
        <v>136.78199999118721</v>
      </c>
      <c r="AK19" s="13">
        <f t="shared" si="35"/>
        <v>35.558812140686769</v>
      </c>
      <c r="AL19" s="20">
        <f t="shared" si="4"/>
        <v>300.16024779634716</v>
      </c>
      <c r="AM19" s="59">
        <f t="shared" si="5"/>
        <v>507.10229371846123</v>
      </c>
      <c r="AN19" s="59">
        <f ca="1">AVERAGE(OFFSET($AM$3,0,0,'Données projet'!$E$10+1,1))-AVERAGE(OFFSET($H$3,0,0,'Données projet'!$E$10+1,1))</f>
        <v>160.0845775223442</v>
      </c>
      <c r="AO19" s="59">
        <f t="shared" si="36"/>
        <v>357.56921474995909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7.0512820600000055</v>
      </c>
      <c r="BD19" s="12">
        <f>IF('Données projet'!$A$88&gt;35,BD18+BC19-BL18,IF(A19&lt;'Données projet'!$A$88,$BA$205^A19,IF(A19='Données projet'!$A$88,'Données projet'!$B$88,BD18+BC19-BL18)))</f>
        <v>286.53846152</v>
      </c>
      <c r="BE19" s="13">
        <f>BD19*VLOOKUP('Données projet'!$B$11,Paramètres!$A$1:$I$89,3,0)*VLOOKUP('Données projet'!$B$11,Paramètres!$A$1:$I$89,5,0)</f>
        <v>126.05399999187838</v>
      </c>
      <c r="BF19" s="13">
        <f t="shared" si="37"/>
        <v>33.082925306419682</v>
      </c>
      <c r="BG19" s="20">
        <f t="shared" si="7"/>
        <v>277.16347822786918</v>
      </c>
      <c r="BH19" s="59">
        <f t="shared" si="8"/>
        <v>484.10552414998324</v>
      </c>
      <c r="BI19" s="59">
        <f ca="1">AVERAGE(OFFSET($BH$3,0,0,'Données projet'!$E$11+1,1))-AVERAGE(OFFSET($H$3,0,0,'Données projet'!$E$11+1,1))</f>
        <v>148.4522606780651</v>
      </c>
      <c r="BJ19" s="59">
        <f t="shared" si="38"/>
        <v>332.71193127646211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7.0512820600000055</v>
      </c>
      <c r="N20" s="13">
        <f>IF('Données projet'!$A$36&gt;35,N19+M20-V19,IF(A20&lt;'Données projet'!$A$36,$K$205^A20,IF(A20='Données projet'!$A$36,'Données projet'!$B$36,N19+M20-V19)))</f>
        <v>293.58974358</v>
      </c>
      <c r="O20" s="13">
        <f>N20*VLOOKUP('Données projet'!$B$9,Paramètres!$A$1:$I$89,3,0)*VLOOKUP('Données projet'!$B$9,Paramètres!$A$1:$I$89,5,0)</f>
        <v>149.30799999504481</v>
      </c>
      <c r="P20" s="13">
        <f t="shared" si="33"/>
        <v>38.421283840371188</v>
      </c>
      <c r="Q20" s="20">
        <f t="shared" si="2"/>
        <v>326.96183601334951</v>
      </c>
      <c r="R20" s="59">
        <f t="shared" si="0"/>
        <v>536.32796032922226</v>
      </c>
      <c r="S20" s="59">
        <f ca="1">AVERAGE(OFFSET($R$3,0,0,'Données projet'!$E$9+1,1))-AVERAGE(OFFSET($H$3,0,0,'Données projet'!$E$9+1,1))</f>
        <v>169.76258214884751</v>
      </c>
      <c r="T20" s="59">
        <f t="shared" si="34"/>
        <v>378.2513167340262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7.0512820600000055</v>
      </c>
      <c r="AI20" s="13">
        <f>IF('Données projet'!$A$62&gt;35,AI19+AH20-AQ19,IF(A20&lt;'Données projet'!$A$62,$AF$205^A20,IF(A20='Données projet'!$A$62,'Données projet'!$B$62,AI19+AH20-AQ19)))</f>
        <v>293.58974358</v>
      </c>
      <c r="AJ20" s="13">
        <f>AI20*VLOOKUP('Données projet'!$B$10,Paramètres!$A$1:$I$89,3,0)*VLOOKUP('Données projet'!$B$10,Paramètres!$A$1:$I$89,5,0)</f>
        <v>140.14799999534878</v>
      </c>
      <c r="AK20" s="13">
        <f t="shared" si="35"/>
        <v>36.330908130466241</v>
      </c>
      <c r="AL20" s="20">
        <f t="shared" si="4"/>
        <v>307.36743165246116</v>
      </c>
      <c r="AM20" s="59">
        <f t="shared" si="5"/>
        <v>516.73355596833392</v>
      </c>
      <c r="AN20" s="59">
        <f ca="1">AVERAGE(OFFSET($AM$3,0,0,'Données projet'!$E$10+1,1))-AVERAGE(OFFSET($H$3,0,0,'Données projet'!$E$10+1,1))</f>
        <v>160.0845775223442</v>
      </c>
      <c r="AO20" s="59">
        <f t="shared" si="36"/>
        <v>357.56921474995909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7.0512820600000055</v>
      </c>
      <c r="BD20" s="12">
        <f>IF('Données projet'!$A$88&gt;35,BD19+BC20-BL19,IF(A20&lt;'Données projet'!$A$88,$BA$205^A20,IF(A20='Données projet'!$A$88,'Données projet'!$B$88,BD19+BC20-BL19)))</f>
        <v>293.58974358</v>
      </c>
      <c r="BE20" s="13">
        <f>BD20*VLOOKUP('Données projet'!$B$11,Paramètres!$A$1:$I$89,3,0)*VLOOKUP('Données projet'!$B$11,Paramètres!$A$1:$I$89,5,0)</f>
        <v>129.15599999571359</v>
      </c>
      <c r="BF20" s="13">
        <f t="shared" si="37"/>
        <v>33.801261843034013</v>
      </c>
      <c r="BG20" s="20">
        <f t="shared" si="7"/>
        <v>283.81723103581874</v>
      </c>
      <c r="BH20" s="59">
        <f t="shared" si="8"/>
        <v>493.18335535169149</v>
      </c>
      <c r="BI20" s="59">
        <f ca="1">AVERAGE(OFFSET($BH$3,0,0,'Données projet'!$E$11+1,1))-AVERAGE(OFFSET($H$3,0,0,'Données projet'!$E$11+1,1))</f>
        <v>148.4522606780651</v>
      </c>
      <c r="BJ20" s="59">
        <f t="shared" si="38"/>
        <v>332.71193127646211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7.0512820600000055</v>
      </c>
      <c r="N21" s="13">
        <f>IF('Données projet'!$A$36&gt;35,N20+M21-V20,IF(A21&lt;'Données projet'!$A$36,$K$205^A21,IF(A21='Données projet'!$A$36,'Données projet'!$B$36,N20+M21-V20)))</f>
        <v>300.64102564000001</v>
      </c>
      <c r="O21" s="13">
        <f>N21*VLOOKUP('Données projet'!$B$9,Paramètres!$A$1:$I$89,3,0)*VLOOKUP('Données projet'!$B$9,Paramètres!$A$1:$I$89,5,0)</f>
        <v>152.89399999947841</v>
      </c>
      <c r="P21" s="13">
        <f t="shared" si="33"/>
        <v>39.235524272703238</v>
      </c>
      <c r="Q21" s="20">
        <f t="shared" si="2"/>
        <v>334.62558810738301</v>
      </c>
      <c r="R21" s="59">
        <f t="shared" si="0"/>
        <v>546.39494129938612</v>
      </c>
      <c r="S21" s="59">
        <f ca="1">AVERAGE(OFFSET($R$3,0,0,'Données projet'!$E$9+1,1))-AVERAGE(OFFSET($H$3,0,0,'Données projet'!$E$9+1,1))</f>
        <v>169.76258214884751</v>
      </c>
      <c r="T21" s="59">
        <f t="shared" si="34"/>
        <v>378.2513167340262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7.0512820600000055</v>
      </c>
      <c r="AI21" s="13">
        <f>IF('Données projet'!$A$62&gt;35,AI20+AH21-AQ20,IF(A21&lt;'Données projet'!$A$62,$AF$205^A21,IF(A21='Données projet'!$A$62,'Données projet'!$B$62,AI20+AH21-AQ20)))</f>
        <v>300.64102564000001</v>
      </c>
      <c r="AJ21" s="13">
        <f>AI21*VLOOKUP('Données projet'!$B$10,Paramètres!$A$1:$I$89,3,0)*VLOOKUP('Données projet'!$B$10,Paramètres!$A$1:$I$89,5,0)</f>
        <v>143.51399999951039</v>
      </c>
      <c r="AK21" s="13">
        <f t="shared" si="35"/>
        <v>37.100848418408503</v>
      </c>
      <c r="AL21" s="20">
        <f t="shared" si="4"/>
        <v>314.57086099454204</v>
      </c>
      <c r="AM21" s="59">
        <f t="shared" si="5"/>
        <v>526.34021418654515</v>
      </c>
      <c r="AN21" s="59">
        <f ca="1">AVERAGE(OFFSET($AM$3,0,0,'Données projet'!$E$10+1,1))-AVERAGE(OFFSET($H$3,0,0,'Données projet'!$E$10+1,1))</f>
        <v>160.0845775223442</v>
      </c>
      <c r="AO21" s="59">
        <f t="shared" si="36"/>
        <v>357.56921474995909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7.0512820600000055</v>
      </c>
      <c r="BD21" s="12">
        <f>IF('Données projet'!$A$88&gt;35,BD20+BC21-BL20,IF(A21&lt;'Données projet'!$A$88,$BA$205^A21,IF(A21='Données projet'!$A$88,'Données projet'!$B$88,BD20+BC21-BL20)))</f>
        <v>300.64102564000001</v>
      </c>
      <c r="BE21" s="13">
        <f>BD21*VLOOKUP('Données projet'!$B$11,Paramètres!$A$1:$I$89,3,0)*VLOOKUP('Données projet'!$B$11,Paramètres!$A$1:$I$89,5,0)</f>
        <v>132.25799999954879</v>
      </c>
      <c r="BF21" s="13">
        <f t="shared" si="37"/>
        <v>34.517592774889074</v>
      </c>
      <c r="BG21" s="20">
        <f t="shared" si="7"/>
        <v>290.46749074881262</v>
      </c>
      <c r="BH21" s="59">
        <f t="shared" si="8"/>
        <v>502.23684394081573</v>
      </c>
      <c r="BI21" s="59">
        <f ca="1">AVERAGE(OFFSET($BH$3,0,0,'Données projet'!$E$11+1,1))-AVERAGE(OFFSET($H$3,0,0,'Données projet'!$E$11+1,1))</f>
        <v>148.4522606780651</v>
      </c>
      <c r="BJ21" s="59">
        <f t="shared" si="38"/>
        <v>332.71193127646211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307.69230770000001</v>
      </c>
      <c r="L22" s="12">
        <f>VLOOKUP(A22,'Données projet'!$A$35:$I$55,9,0)</f>
        <v>7.0512820600000055</v>
      </c>
      <c r="M22" s="12">
        <f t="array" ref="M22">INDEX(L:L,MIN(IF(ISNUMBER(L22:L218),ROW(L22:L218),"")))</f>
        <v>7.0512820600000055</v>
      </c>
      <c r="N22" s="13">
        <f>IF('Données projet'!$A$36&gt;35,N21+M22-V21,IF(A22&lt;'Données projet'!$A$36,$K$205^A22,IF(A22='Données projet'!$A$36,'Données projet'!$B$36,N21+M22-V21)))</f>
        <v>307.69230770000001</v>
      </c>
      <c r="O22" s="13">
        <f>N22*VLOOKUP('Données projet'!$B$9,Paramètres!$A$1:$I$89,3,0)*VLOOKUP('Données projet'!$B$9,Paramètres!$A$1:$I$89,5,0)</f>
        <v>156.48000000391201</v>
      </c>
      <c r="P22" s="13">
        <f t="shared" si="33"/>
        <v>40.047544593050084</v>
      </c>
      <c r="Q22" s="20">
        <f t="shared" si="2"/>
        <v>342.28547350637564</v>
      </c>
      <c r="R22" s="59">
        <f t="shared" si="0"/>
        <v>556.43756774939914</v>
      </c>
      <c r="S22" s="59">
        <f ca="1">AVERAGE(OFFSET($R$3,0,0,'Données projet'!$E$9+1,1))-AVERAGE(OFFSET($H$3,0,0,'Données projet'!$E$9+1,1))</f>
        <v>169.76258214884751</v>
      </c>
      <c r="T22" s="59">
        <f t="shared" si="34"/>
        <v>378.2513167340262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307.69230770000001</v>
      </c>
      <c r="AG22" s="12">
        <f>VLOOKUP(A22,'Données projet'!$A$61:$I$81,9,0)</f>
        <v>7.0512820600000055</v>
      </c>
      <c r="AH22" s="12">
        <f t="array" ref="AH22">INDEX(AG:AG,MIN(IF(ISNUMBER(AG22:AG218),ROW(AG22:AG218),"")))</f>
        <v>7.0512820600000055</v>
      </c>
      <c r="AI22" s="13">
        <f>IF('Données projet'!$A$62&gt;35,AI21+AH22-AQ21,IF(A22&lt;'Données projet'!$A$62,$AF$205^A22,IF(A22='Données projet'!$A$62,'Données projet'!$B$62,AI21+AH22-AQ21)))</f>
        <v>307.69230770000001</v>
      </c>
      <c r="AJ22" s="13">
        <f>AI22*VLOOKUP('Données projet'!$B$10,Paramètres!$A$1:$I$89,3,0)*VLOOKUP('Données projet'!$B$10,Paramètres!$A$1:$I$89,5,0)</f>
        <v>146.88000000367202</v>
      </c>
      <c r="AK22" s="13">
        <f t="shared" si="35"/>
        <v>37.868689383358138</v>
      </c>
      <c r="AL22" s="20">
        <f t="shared" si="4"/>
        <v>321.77063401574418</v>
      </c>
      <c r="AM22" s="59">
        <f t="shared" si="5"/>
        <v>535.92272825876773</v>
      </c>
      <c r="AN22" s="59">
        <f ca="1">AVERAGE(OFFSET($AM$3,0,0,'Données projet'!$E$10+1,1))-AVERAGE(OFFSET($H$3,0,0,'Données projet'!$E$10+1,1))</f>
        <v>160.0845775223442</v>
      </c>
      <c r="AO22" s="59">
        <f t="shared" si="36"/>
        <v>357.56921474995909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>
        <f>VLOOKUP(A22,'Données projet'!$A$87:$I$107,2,0)</f>
        <v>307.69230770000001</v>
      </c>
      <c r="BB22" s="12">
        <f>VLOOKUP(A22,'Données projet'!$A$87:$I$107,9,0)</f>
        <v>7.0512820600000055</v>
      </c>
      <c r="BC22" s="12">
        <f t="array" ref="BC22">INDEX(BB:BB,MIN(IF(ISNUMBER(BB22:BB218),ROW(BB22:BB218),"")))</f>
        <v>7.0512820600000055</v>
      </c>
      <c r="BD22" s="12">
        <f>IF('Données projet'!$A$88&gt;35,BD21+BC22-BL21,IF(A22&lt;'Données projet'!$A$88,$BA$205^A22,IF(A22='Données projet'!$A$88,'Données projet'!$B$88,BD21+BC22-BL21)))</f>
        <v>307.69230770000001</v>
      </c>
      <c r="BE22" s="13">
        <f>BD22*VLOOKUP('Données projet'!$B$11,Paramètres!$A$1:$I$89,3,0)*VLOOKUP('Données projet'!$B$11,Paramètres!$A$1:$I$89,5,0)</f>
        <v>135.36000000338399</v>
      </c>
      <c r="BF22" s="13">
        <f t="shared" si="37"/>
        <v>35.231970555286608</v>
      </c>
      <c r="BG22" s="20">
        <f t="shared" si="7"/>
        <v>297.11434872301794</v>
      </c>
      <c r="BH22" s="59">
        <f t="shared" si="8"/>
        <v>511.2664429660415</v>
      </c>
      <c r="BI22" s="59">
        <f ca="1">AVERAGE(OFFSET($BH$3,0,0,'Données projet'!$E$11+1,1))-AVERAGE(OFFSET($H$3,0,0,'Données projet'!$E$11+1,1))</f>
        <v>148.4522606780651</v>
      </c>
      <c r="BJ22" s="59">
        <f t="shared" si="38"/>
        <v>332.71193127646211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310.25641030000003</v>
      </c>
      <c r="L23" s="12">
        <f>VLOOKUP(A23,'Données projet'!$A$35:$I$55,9,0)</f>
        <v>2.5641026000000124</v>
      </c>
      <c r="M23" s="12">
        <f t="array" ref="M23">INDEX(L:L,MIN(IF(ISNUMBER(L23:L219),ROW(L23:L219),"")))</f>
        <v>2.5641026000000124</v>
      </c>
      <c r="N23" s="13">
        <f>IF('Données projet'!$A$36&gt;35,N22+M23-V22,IF(A23&lt;'Données projet'!$A$36,$K$205^A23,IF(A23='Données projet'!$A$36,'Données projet'!$B$36,N22+M23-V22)))</f>
        <v>310.25641030000003</v>
      </c>
      <c r="O23" s="13">
        <f>N23*VLOOKUP('Données projet'!$B$9,Paramètres!$A$1:$I$89,3,0)*VLOOKUP('Données projet'!$B$9,Paramètres!$A$1:$I$89,5,0)</f>
        <v>157.78400002216802</v>
      </c>
      <c r="P23" s="13">
        <f t="shared" si="33"/>
        <v>40.342285440299278</v>
      </c>
      <c r="Q23" s="20">
        <f t="shared" si="2"/>
        <v>345.06994718046388</v>
      </c>
      <c r="R23" s="59">
        <f t="shared" si="0"/>
        <v>561.58465006735958</v>
      </c>
      <c r="S23" s="59">
        <f ca="1">AVERAGE(OFFSET($R$3,0,0,'Données projet'!$E$9+1,1))-AVERAGE(OFFSET($H$3,0,0,'Données projet'!$E$9+1,1))</f>
        <v>169.76258214884751</v>
      </c>
      <c r="T23" s="59">
        <f t="shared" si="34"/>
        <v>378.2513167340262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310.25641030000003</v>
      </c>
      <c r="W23" s="16">
        <f>IF(ISNA(VLOOKUP(A23,'Données projet'!$A$35:$I$55,5,0)),0%,VLOOKUP(A23,'Données projet'!$A$35:$I$55,5,0)*VLOOKUP('Données projet'!$B$9,Paramètres!$A$1:$I$89,7,0))</f>
        <v>0.46199999999999997</v>
      </c>
      <c r="X23" s="16">
        <f>IF(ISNA(VLOOKUP(A23,'Données projet'!$A$35:$I$55,6,0)),0%,VLOOKUP(A23,'Données projet'!$A$35:$I$55,6,0)*VLOOKUP('Données projet'!$B$9,Paramètres!$A$1:$I$89,7,0))</f>
        <v>0.126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80.584598735594696</v>
      </c>
      <c r="AA23" s="21">
        <f>EXP(-LN(2)/25)*AA22+(1-EXP(-LN(2)/25))/(LN(2)/25)*Calculateur!V23*Calculateur!X23*VLOOKUP('Données projet'!$B$9,Paramètres!$A$1:$I$89,3,0)*0.475*44/12</f>
        <v>21.891083581427264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102.47568231702196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310.25641030000003</v>
      </c>
      <c r="AG23" s="12">
        <f>VLOOKUP(A23,'Données projet'!$A$61:$I$81,9,0)</f>
        <v>2.5641026000000124</v>
      </c>
      <c r="AH23" s="12">
        <f t="array" ref="AH23">INDEX(AG:AG,MIN(IF(ISNUMBER(AG23:AG219),ROW(AG23:AG219),"")))</f>
        <v>2.5641026000000124</v>
      </c>
      <c r="AI23" s="13">
        <f>IF('Données projet'!$A$62&gt;35,AI22+AH23-AQ22,IF(A23&lt;'Données projet'!$A$62,$AF$205^A23,IF(A23='Données projet'!$A$62,'Données projet'!$B$62,AI22+AH23-AQ22)))</f>
        <v>310.25641030000003</v>
      </c>
      <c r="AJ23" s="13">
        <f>AI23*VLOOKUP('Données projet'!$B$10,Paramètres!$A$1:$I$89,3,0)*VLOOKUP('Données projet'!$B$10,Paramètres!$A$1:$I$89,5,0)</f>
        <v>148.104000020808</v>
      </c>
      <c r="AK23" s="13">
        <f t="shared" si="35"/>
        <v>38.147394350328867</v>
      </c>
      <c r="AL23" s="20">
        <f t="shared" si="4"/>
        <v>324.38784519639671</v>
      </c>
      <c r="AM23" s="59">
        <f t="shared" si="5"/>
        <v>540.90254808329246</v>
      </c>
      <c r="AN23" s="59">
        <f ca="1">AVERAGE(OFFSET($AM$3,0,0,'Données projet'!$E$10+1,1))-AVERAGE(OFFSET($H$3,0,0,'Données projet'!$E$10+1,1))</f>
        <v>160.0845775223442</v>
      </c>
      <c r="AO23" s="59">
        <f t="shared" si="36"/>
        <v>357.56921474995909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310.25641030000003</v>
      </c>
      <c r="AR23" s="16">
        <f>IF(ISNA(VLOOKUP(A23,'Données projet'!$A$61:$I$81,5,0)),0%,VLOOKUP(A23,'Données projet'!$A$61:$I$81,5,0)*VLOOKUP('Données projet'!$B$10,Paramètres!$A$1:$I$89,7,0))</f>
        <v>0.46199999999999997</v>
      </c>
      <c r="AS23" s="16">
        <f>IF(ISNA(VLOOKUP(A23,'Données projet'!$A$61:$I$81,6,0)),0%,VLOOKUP(A23,'Données projet'!$A$61:$I$81,6,0)*VLOOKUP('Données projet'!$B$10,Paramètres!$A$1:$I$89,7,0))</f>
        <v>0.126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75.640758322368029</v>
      </c>
      <c r="AV23" s="21">
        <f>EXP(-LN(2)/25)*AV22+(1-EXP(-LN(2)/25))/(LN(2)/25)*Calculateur!AQ23*Calculateur!AS23*VLOOKUP('Données projet'!$B$10,Paramètres!$A$1:$I$89,3,0)*0.475*44/12</f>
        <v>20.548072318763012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96.188830641131034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310.25641030000003</v>
      </c>
      <c r="BB23" s="12">
        <f>VLOOKUP(A23,'Données projet'!$A$87:$I$107,9,0)</f>
        <v>2.5641026000000124</v>
      </c>
      <c r="BC23" s="12">
        <f t="array" ref="BC23">INDEX(BB:BB,MIN(IF(ISNUMBER(BB23:BB219),ROW(BB23:BB219),"")))</f>
        <v>2.5641026000000124</v>
      </c>
      <c r="BD23" s="12">
        <f>IF('Données projet'!$A$88&gt;35,BD22+BC23-BL22,IF(A23&lt;'Données projet'!$A$88,$BA$205^A23,IF(A23='Données projet'!$A$88,'Données projet'!$B$88,BD22+BC23-BL22)))</f>
        <v>310.25641030000003</v>
      </c>
      <c r="BE23" s="13">
        <f>BD23*VLOOKUP('Données projet'!$B$11,Paramètres!$A$1:$I$89,3,0)*VLOOKUP('Données projet'!$B$11,Paramètres!$A$1:$I$89,5,0)</f>
        <v>136.48800001917598</v>
      </c>
      <c r="BF23" s="13">
        <f t="shared" si="37"/>
        <v>35.491269869570282</v>
      </c>
      <c r="BG23" s="20">
        <f t="shared" si="7"/>
        <v>299.53056172289973</v>
      </c>
      <c r="BH23" s="59">
        <f t="shared" si="8"/>
        <v>516.04526460979548</v>
      </c>
      <c r="BI23" s="59">
        <f ca="1">AVERAGE(OFFSET($BH$3,0,0,'Données projet'!$E$11+1,1))-AVERAGE(OFFSET($H$3,0,0,'Données projet'!$E$11+1,1))</f>
        <v>148.4522606780651</v>
      </c>
      <c r="BJ23" s="59">
        <f t="shared" si="38"/>
        <v>332.71193127646211</v>
      </c>
      <c r="BK23" s="15" t="str">
        <f>IF(ISNA(VLOOKUP(A23,'Données projet'!$A$87:$I$107,3,0)),0,VLOOKUP(A23,'Données projet'!$A$87:$I$107,3,0))</f>
        <v>CR</v>
      </c>
      <c r="BL23" s="15">
        <f>IF(ISNA(VLOOKUP(A23,'Données projet'!$A$87:$I$107,4,0)),0,VLOOKUP(A23,'Données projet'!$A$87:$I$107,4,0))</f>
        <v>310.25641030000003</v>
      </c>
      <c r="BM23" s="16">
        <f>IF(ISNA(VLOOKUP(A23,'Données projet'!$A$87:$I$107,5,0)),0%,VLOOKUP(A23,'Données projet'!$A$87:$I$107,5,0)*VLOOKUP('Données projet'!$B$11,Paramètres!$A$1:$I$89,7,0))</f>
        <v>0.46199999999999997</v>
      </c>
      <c r="BN23" s="16">
        <f>IF(ISNA(VLOOKUP(A23,'Données projet'!$A$87:$I$107,6,0)),0%,VLOOKUP(A23,'Données projet'!$A$87:$I$107,6,0)*VLOOKUP('Données projet'!$B$11,Paramètres!$A$1:$I$89,7,0))</f>
        <v>0.126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69.708149826496026</v>
      </c>
      <c r="BQ23" s="21">
        <f>EXP(-LN(2)/25)*BQ22+(1-EXP(-LN(2)/25))/(LN(2)/25)*Calculateur!BL23*Calculateur!BN23*VLOOKUP('Données projet'!$B$11,Paramètres!$A$1:$I$89,3,0)*0.475*44/12</f>
        <v>18.936458803565909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88.644608630061938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169.76258214884751</v>
      </c>
      <c r="T24" s="59">
        <f t="shared" si="34"/>
        <v>378.2513167340262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79.004383906141584</v>
      </c>
      <c r="AA24" s="21">
        <f>EXP(-LN(2)/25)*AA23+(1-EXP(-LN(2)/25))/(LN(2)/25)*Calculateur!V24*Calculateur!X24*VLOOKUP('Données projet'!$B$9,Paramètres!$A$1:$I$89,3,0)*0.475*44/12</f>
        <v>21.292470749691084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100.29685465583268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160.0845775223442</v>
      </c>
      <c r="AO24" s="59">
        <f t="shared" si="36"/>
        <v>357.56921474995909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74.157489187973383</v>
      </c>
      <c r="AV24" s="21">
        <f>EXP(-LN(2)/25)*AV23+(1-EXP(-LN(2)/25))/(LN(2)/25)*Calculateur!AQ24*Calculateur!AS24*VLOOKUP('Données projet'!$B$10,Paramètres!$A$1:$I$89,3,0)*0.475*44/12</f>
        <v>19.986184200630277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94.143673388603659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148.4522606780651</v>
      </c>
      <c r="BJ24" s="59">
        <f t="shared" si="38"/>
        <v>332.71193127646211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68.341215526171553</v>
      </c>
      <c r="BQ24" s="21">
        <f>EXP(-LN(2)/25)*BQ23+(1-EXP(-LN(2)/25))/(LN(2)/25)*Calculateur!BL24*Calculateur!BN24*VLOOKUP('Données projet'!$B$11,Paramètres!$A$1:$I$89,3,0)*0.475*44/12</f>
        <v>18.41864034175731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86.759855867928863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169.76258214884751</v>
      </c>
      <c r="T25" s="59">
        <f t="shared" si="34"/>
        <v>378.2513167340262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77.455156125658164</v>
      </c>
      <c r="AA25" s="21">
        <f>EXP(-LN(2)/25)*AA24+(1-EXP(-LN(2)/25))/(LN(2)/25)*Calculateur!V25*Calculateur!X25*VLOOKUP('Données projet'!$B$9,Paramètres!$A$1:$I$89,3,0)*0.475*44/12</f>
        <v>20.71022701731841</v>
      </c>
      <c r="AB25" s="21">
        <f>EXP(-LN(2)/2)*AB24+(1-EXP(-LN(2)/2))/(LN(2)/2)*V25*Y25*VLOOKUP('Données projet'!$B$9,Paramètres!$A$1:$I$89,3,0)*0.475*44/12</f>
        <v>0</v>
      </c>
      <c r="AC25" s="22">
        <f t="shared" si="3"/>
        <v>98.165383142976566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160.0845775223442</v>
      </c>
      <c r="AO25" s="59">
        <f t="shared" si="36"/>
        <v>357.56921474995909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72.703306056599374</v>
      </c>
      <c r="AV25" s="21">
        <f>EXP(-LN(2)/25)*AV24+(1-EXP(-LN(2)/25))/(LN(2)/25)*Calculateur!AQ25*Calculateur!AS25*VLOOKUP('Données projet'!$B$10,Paramètres!$A$1:$I$89,3,0)*0.475*44/12</f>
        <v>19.439660942636294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92.142966999235668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148.4522606780651</v>
      </c>
      <c r="BJ25" s="59">
        <f t="shared" si="38"/>
        <v>332.71193127646211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67.001085973728848</v>
      </c>
      <c r="BQ25" s="21">
        <f>EXP(-LN(2)/25)*BQ24+(1-EXP(-LN(2)/25))/(LN(2)/25)*Calculateur!BL25*Calculateur!BN25*VLOOKUP('Données projet'!$B$11,Paramètres!$A$1:$I$89,3,0)*0.475*44/12</f>
        <v>17.914981653017758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84.91606762674661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169.76258214884751</v>
      </c>
      <c r="T26" s="59">
        <f t="shared" si="34"/>
        <v>378.2513167340262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75.93630775701439</v>
      </c>
      <c r="AA26" s="21">
        <f>EXP(-LN(2)/25)*AA25+(1-EXP(-LN(2)/25))/(LN(2)/25)*Calculateur!V26*Calculateur!X26*VLOOKUP('Données projet'!$B$9,Paramètres!$A$1:$I$89,3,0)*0.475*44/12</f>
        <v>20.143904770426332</v>
      </c>
      <c r="AB26" s="21">
        <f>EXP(-LN(2)/2)*AB25+(1-EXP(-LN(2)/2))/(LN(2)/2)*V26*Y26*VLOOKUP('Données projet'!$B$9,Paramètres!$A$1:$I$89,3,0)*0.475*44/12</f>
        <v>0</v>
      </c>
      <c r="AC26" s="22">
        <f t="shared" si="3"/>
        <v>96.080212527440722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160.0845775223442</v>
      </c>
      <c r="AO26" s="59">
        <f t="shared" si="36"/>
        <v>357.56921474995909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71.277638569467484</v>
      </c>
      <c r="AV26" s="21">
        <f>EXP(-LN(2)/25)*AV25+(1-EXP(-LN(2)/25))/(LN(2)/25)*Calculateur!AQ26*Calculateur!AS26*VLOOKUP('Données projet'!$B$10,Paramètres!$A$1:$I$89,3,0)*0.475*44/12</f>
        <v>18.908082391872565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90.185720961340053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148.4522606780651</v>
      </c>
      <c r="BJ26" s="59">
        <f t="shared" si="38"/>
        <v>332.71193127646211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65.687235544411223</v>
      </c>
      <c r="BQ26" s="21">
        <f>EXP(-LN(2)/25)*BQ25+(1-EXP(-LN(2)/25))/(LN(2)/25)*Calculateur!BL26*Calculateur!BN26*VLOOKUP('Données projet'!$B$11,Paramètres!$A$1:$I$89,3,0)*0.475*44/12</f>
        <v>17.425095537608048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83.112331082019267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169.76258214884751</v>
      </c>
      <c r="T27" s="59">
        <f t="shared" si="34"/>
        <v>378.2513167340262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74.44724307847369</v>
      </c>
      <c r="AA27" s="21">
        <f>EXP(-LN(2)/25)*AA26+(1-EXP(-LN(2)/25))/(LN(2)/25)*Calculateur!V27*Calculateur!X27*VLOOKUP('Données projet'!$B$9,Paramètres!$A$1:$I$89,3,0)*0.475*44/12</f>
        <v>19.59306863515711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94.0403117136308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160.0845775223442</v>
      </c>
      <c r="AO27" s="59">
        <f t="shared" si="36"/>
        <v>357.56921474995909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69.879927552186942</v>
      </c>
      <c r="AV27" s="21">
        <f>EXP(-LN(2)/25)*AV26+(1-EXP(-LN(2)/25))/(LN(2)/25)*Calculateur!AQ27*Calculateur!AS27*VLOOKUP('Données projet'!$B$10,Paramètres!$A$1:$I$89,3,0)*0.475*44/12</f>
        <v>18.391039884533971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88.270967436720909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148.4522606780651</v>
      </c>
      <c r="BJ27" s="59">
        <f t="shared" si="38"/>
        <v>332.71193127646211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64.399148920642887</v>
      </c>
      <c r="BQ27" s="21">
        <f>EXP(-LN(2)/25)*BQ26+(1-EXP(-LN(2)/25))/(LN(2)/25)*Calculateur!BL27*Calculateur!BN27*VLOOKUP('Données projet'!$B$11,Paramètres!$A$1:$I$89,3,0)*0.475*44/12</f>
        <v>16.948605383786205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81.347754304429088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169.76258214884751</v>
      </c>
      <c r="T28" s="59">
        <f t="shared" si="34"/>
        <v>378.2513167340262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72.987378050039396</v>
      </c>
      <c r="AA28" s="21">
        <f>EXP(-LN(2)/25)*AA27+(1-EXP(-LN(2)/25))/(LN(2)/25)*Calculateur!V28*Calculateur!X28*VLOOKUP('Données projet'!$B$9,Paramètres!$A$1:$I$89,3,0)*0.475*44/12</f>
        <v>19.057295142974041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92.044673193013438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160.0845775223442</v>
      </c>
      <c r="AO28" s="59">
        <f t="shared" si="36"/>
        <v>357.56921474995909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68.509624795435741</v>
      </c>
      <c r="AV28" s="21">
        <f>EXP(-LN(2)/25)*AV27+(1-EXP(-LN(2)/25))/(LN(2)/25)*Calculateur!AQ28*Calculateur!AS28*VLOOKUP('Données projet'!$B$10,Paramètres!$A$1:$I$89,3,0)*0.475*44/12</f>
        <v>17.888135931748636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86.397760727184377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148.4522606780651</v>
      </c>
      <c r="BJ28" s="59">
        <f t="shared" si="38"/>
        <v>332.71193127646211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63.136320889911381</v>
      </c>
      <c r="BQ28" s="21">
        <f>EXP(-LN(2)/25)*BQ27+(1-EXP(-LN(2)/25))/(LN(2)/25)*Calculateur!BL28*Calculateur!BN28*VLOOKUP('Données projet'!$B$11,Paramètres!$A$1:$I$89,3,0)*0.475*44/12</f>
        <v>16.485144878278152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79.621465768189537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169.76258214884751</v>
      </c>
      <c r="T29" s="59">
        <f t="shared" si="34"/>
        <v>378.2513167340262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71.55614008438296</v>
      </c>
      <c r="AA29" s="21">
        <f>EXP(-LN(2)/25)*AA28+(1-EXP(-LN(2)/25))/(LN(2)/25)*Calculateur!V29*Calculateur!X29*VLOOKUP('Données projet'!$B$9,Paramètres!$A$1:$I$89,3,0)*0.475*44/12</f>
        <v>18.53617240510982</v>
      </c>
      <c r="AB29" s="21">
        <f>EXP(-LN(2)/2)*AB28+(1-EXP(-LN(2)/2))/(LN(2)/2)*V29*Y29*VLOOKUP('Données projet'!$B$9,Paramètres!$A$1:$I$89,3,0)*0.475*44/12</f>
        <v>0</v>
      </c>
      <c r="AC29" s="22">
        <f t="shared" si="3"/>
        <v>90.092312489492784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160.0845775223442</v>
      </c>
      <c r="AO29" s="59">
        <f t="shared" si="36"/>
        <v>357.56921474995909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67.166192839942269</v>
      </c>
      <c r="AV29" s="21">
        <f>EXP(-LN(2)/25)*AV28+(1-EXP(-LN(2)/25))/(LN(2)/25)*Calculateur!AQ29*Calculateur!AS29*VLOOKUP('Données projet'!$B$10,Paramètres!$A$1:$I$89,3,0)*0.475*44/12</f>
        <v>17.398983913998784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84.565176753941046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148.4522606780651</v>
      </c>
      <c r="BJ29" s="59">
        <f t="shared" si="38"/>
        <v>332.71193127646211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61.898256146613477</v>
      </c>
      <c r="BQ29" s="21">
        <f>EXP(-LN(2)/25)*BQ28+(1-EXP(-LN(2)/25))/(LN(2)/25)*Calculateur!BL29*Calculateur!BN29*VLOOKUP('Données projet'!$B$11,Paramètres!$A$1:$I$89,3,0)*0.475*44/12</f>
        <v>16.034357724665544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77.932613871279017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169.76258214884751</v>
      </c>
      <c r="T30" s="59">
        <f t="shared" si="34"/>
        <v>378.2513167340262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70.152967822264088</v>
      </c>
      <c r="AA30" s="21">
        <f>EXP(-LN(2)/25)*AA29+(1-EXP(-LN(2)/25))/(LN(2)/25)*Calculateur!V30*Calculateur!X30*VLOOKUP('Données projet'!$B$9,Paramètres!$A$1:$I$89,3,0)*0.475*44/12</f>
        <v>18.029299795917151</v>
      </c>
      <c r="AB30" s="21">
        <f>EXP(-LN(2)/2)*AB29+(1-EXP(-LN(2)/2))/(LN(2)/2)*V30*Y30*VLOOKUP('Données projet'!$B$9,Paramètres!$A$1:$I$89,3,0)*0.475*44/12</f>
        <v>0</v>
      </c>
      <c r="AC30" s="22">
        <f t="shared" si="3"/>
        <v>88.182267618181243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160.0845775223442</v>
      </c>
      <c r="AO30" s="59">
        <f t="shared" si="36"/>
        <v>357.56921474995909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65.84910476568345</v>
      </c>
      <c r="AV30" s="21">
        <f>EXP(-LN(2)/25)*AV29+(1-EXP(-LN(2)/25))/(LN(2)/25)*Calculateur!AQ30*Calculateur!AS30*VLOOKUP('Données projet'!$B$10,Paramètres!$A$1:$I$89,3,0)*0.475*44/12</f>
        <v>16.923207783897688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82.77231254958113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148.4522606780651</v>
      </c>
      <c r="BJ30" s="59">
        <f t="shared" si="38"/>
        <v>332.71193127646211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60.684469097786717</v>
      </c>
      <c r="BQ30" s="21">
        <f>EXP(-LN(2)/25)*BQ29+(1-EXP(-LN(2)/25))/(LN(2)/25)*Calculateur!BL30*Calculateur!BN30*VLOOKUP('Données projet'!$B$11,Paramètres!$A$1:$I$89,3,0)*0.475*44/12</f>
        <v>15.595897369474338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76.280366467261061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169.76258214884751</v>
      </c>
      <c r="T31" s="59">
        <f t="shared" si="34"/>
        <v>378.2513167340262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68.777310912354793</v>
      </c>
      <c r="AA31" s="21">
        <f>EXP(-LN(2)/25)*AA30+(1-EXP(-LN(2)/25))/(LN(2)/25)*Calculateur!V31*Calculateur!X31*VLOOKUP('Données projet'!$B$9,Paramètres!$A$1:$I$89,3,0)*0.475*44/12</f>
        <v>17.536287644878126</v>
      </c>
      <c r="AB31" s="21">
        <f>EXP(-LN(2)/2)*AB30+(1-EXP(-LN(2)/2))/(LN(2)/2)*V31*Y31*VLOOKUP('Données projet'!$B$9,Paramètres!$A$1:$I$89,3,0)*0.475*44/12</f>
        <v>0</v>
      </c>
      <c r="AC31" s="22">
        <f t="shared" si="3"/>
        <v>86.313598557232922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160.0845775223442</v>
      </c>
      <c r="AO31" s="59">
        <f t="shared" si="36"/>
        <v>357.56921474995909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64.557843985216437</v>
      </c>
      <c r="AV31" s="21">
        <f>EXP(-LN(2)/25)*AV30+(1-EXP(-LN(2)/25))/(LN(2)/25)*Calculateur!AQ31*Calculateur!AS31*VLOOKUP('Données projet'!$B$10,Paramètres!$A$1:$I$89,3,0)*0.475*44/12</f>
        <v>16.460441777094186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81.018285762310626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148.4522606780651</v>
      </c>
      <c r="BJ31" s="59">
        <f t="shared" si="38"/>
        <v>332.71193127646211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59.494483672650453</v>
      </c>
      <c r="BQ31" s="21">
        <f>EXP(-LN(2)/25)*BQ30+(1-EXP(-LN(2)/25))/(LN(2)/25)*Calculateur!BL31*Calculateur!BN31*VLOOKUP('Données projet'!$B$11,Paramètres!$A$1:$I$89,3,0)*0.475*44/12</f>
        <v>15.169426735753465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74.663910408403922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169.76258214884751</v>
      </c>
      <c r="T32" s="59">
        <f t="shared" si="34"/>
        <v>378.2513167340262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67.428629795380957</v>
      </c>
      <c r="AA32" s="21">
        <f>EXP(-LN(2)/25)*AA31+(1-EXP(-LN(2)/25))/(LN(2)/25)*Calculateur!V32*Calculateur!X32*VLOOKUP('Données projet'!$B$9,Paramètres!$A$1:$I$89,3,0)*0.475*44/12</f>
        <v>17.056756937035647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84.4853867324166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160.0845775223442</v>
      </c>
      <c r="AO32" s="59">
        <f t="shared" si="36"/>
        <v>357.56921474995909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63.291904041063077</v>
      </c>
      <c r="AV32" s="21">
        <f>EXP(-LN(2)/25)*AV31+(1-EXP(-LN(2)/25))/(LN(2)/25)*Calculateur!AQ32*Calculateur!AS32*VLOOKUP('Données projet'!$B$10,Paramètres!$A$1:$I$89,3,0)*0.475*44/12</f>
        <v>16.010330131082533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79.302234172145603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148.4522606780651</v>
      </c>
      <c r="BJ32" s="59">
        <f t="shared" si="38"/>
        <v>332.71193127646211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58.327833135881669</v>
      </c>
      <c r="BQ32" s="21">
        <f>EXP(-LN(2)/25)*BQ31+(1-EXP(-LN(2)/25))/(LN(2)/25)*Calculateur!BL32*Calculateur!BN32*VLOOKUP('Données projet'!$B$11,Paramètres!$A$1:$I$89,3,0)*0.475*44/12</f>
        <v>14.754617963938804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73.082451099820474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169.76258214884751</v>
      </c>
      <c r="T33" s="59">
        <f t="shared" si="34"/>
        <v>378.2513167340262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66.106395492496716</v>
      </c>
      <c r="AA33" s="21">
        <f>EXP(-LN(2)/25)*AA32+(1-EXP(-LN(2)/25))/(LN(2)/25)*Calculateur!V33*Calculateur!X33*VLOOKUP('Données projet'!$B$9,Paramètres!$A$1:$I$89,3,0)*0.475*44/12</f>
        <v>16.590339021616543</v>
      </c>
      <c r="AB33" s="21">
        <f>EXP(-LN(2)/2)*AB32+(1-EXP(-LN(2)/2))/(LN(2)/2)*V33*Y33*VLOOKUP('Données projet'!$B$9,Paramètres!$A$1:$I$89,3,0)*0.475*44/12</f>
        <v>0</v>
      </c>
      <c r="AC33" s="22">
        <f t="shared" si="3"/>
        <v>82.69673451411326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160.0845775223442</v>
      </c>
      <c r="AO33" s="59">
        <f t="shared" si="36"/>
        <v>357.56921474995909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62.050788407067444</v>
      </c>
      <c r="AV33" s="21">
        <f>EXP(-LN(2)/25)*AV32+(1-EXP(-LN(2)/25))/(LN(2)/25)*Calculateur!AQ33*Calculateur!AS33*VLOOKUP('Données projet'!$B$10,Paramètres!$A$1:$I$89,3,0)*0.475*44/12</f>
        <v>15.572526811701412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77.623315218768852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148.4522606780651</v>
      </c>
      <c r="BJ33" s="59">
        <f t="shared" si="38"/>
        <v>332.71193127646211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57.184059904552356</v>
      </c>
      <c r="BQ33" s="21">
        <f>EXP(-LN(2)/25)*BQ32+(1-EXP(-LN(2)/25))/(LN(2)/25)*Calculateur!BL33*Calculateur!BN33*VLOOKUP('Données projet'!$B$11,Paramètres!$A$1:$I$89,3,0)*0.475*44/12</f>
        <v>14.351152159803261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71.535212064355619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169.76258214884751</v>
      </c>
      <c r="T34" s="59">
        <f t="shared" si="34"/>
        <v>378.2513167340262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64.810089397808753</v>
      </c>
      <c r="AA34" s="21">
        <f>EXP(-LN(2)/25)*AA33+(1-EXP(-LN(2)/25))/(LN(2)/25)*Calculateur!V34*Calculateur!X34*VLOOKUP('Données projet'!$B$9,Paramètres!$A$1:$I$89,3,0)*0.475*44/12</f>
        <v>16.136675328622427</v>
      </c>
      <c r="AB34" s="21">
        <f>EXP(-LN(2)/2)*AB33+(1-EXP(-LN(2)/2))/(LN(2)/2)*V34*Y34*VLOOKUP('Données projet'!$B$9,Paramètres!$A$1:$I$89,3,0)*0.475*44/12</f>
        <v>0</v>
      </c>
      <c r="AC34" s="22">
        <f t="shared" si="3"/>
        <v>80.946764726431184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160.0845775223442</v>
      </c>
      <c r="AO34" s="59">
        <f t="shared" si="36"/>
        <v>357.56921474995909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60.834010293648674</v>
      </c>
      <c r="AV34" s="21">
        <f>EXP(-LN(2)/25)*AV33+(1-EXP(-LN(2)/25))/(LN(2)/25)*Calculateur!AQ34*Calculateur!AS34*VLOOKUP('Données projet'!$B$10,Paramètres!$A$1:$I$89,3,0)*0.475*44/12</f>
        <v>15.146695247111843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75.980705540760511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148.4522606780651</v>
      </c>
      <c r="BJ34" s="59">
        <f t="shared" si="38"/>
        <v>332.71193127646211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56.062715368656626</v>
      </c>
      <c r="BQ34" s="21">
        <f>EXP(-LN(2)/25)*BQ33+(1-EXP(-LN(2)/25))/(LN(2)/25)*Calculateur!BL34*Calculateur!BN34*VLOOKUP('Données projet'!$B$11,Paramètres!$A$1:$I$89,3,0)*0.475*44/12</f>
        <v>13.958719149299149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70.021434517955782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169.76258214884751</v>
      </c>
      <c r="T35" s="59">
        <f t="shared" si="34"/>
        <v>378.2513167340262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63.539203074968967</v>
      </c>
      <c r="AA35" s="21">
        <f>EXP(-LN(2)/25)*AA34+(1-EXP(-LN(2)/25))/(LN(2)/25)*Calculateur!V35*Calculateur!X35*VLOOKUP('Données projet'!$B$9,Paramètres!$A$1:$I$89,3,0)*0.475*44/12</f>
        <v>15.695417093170372</v>
      </c>
      <c r="AB35" s="21">
        <f>EXP(-LN(2)/2)*AB34+(1-EXP(-LN(2)/2))/(LN(2)/2)*V35*Y35*VLOOKUP('Données projet'!$B$9,Paramètres!$A$1:$I$89,3,0)*0.475*44/12</f>
        <v>0</v>
      </c>
      <c r="AC35" s="22">
        <f t="shared" si="3"/>
        <v>79.234620168139344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160.0845775223442</v>
      </c>
      <c r="AO35" s="59">
        <f t="shared" si="36"/>
        <v>357.56921474995909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59.641092456872677</v>
      </c>
      <c r="AV35" s="21">
        <f>EXP(-LN(2)/25)*AV34+(1-EXP(-LN(2)/25))/(LN(2)/25)*Calculateur!AQ35*Calculateur!AS35*VLOOKUP('Données projet'!$B$10,Paramètres!$A$1:$I$89,3,0)*0.475*44/12</f>
        <v>14.732508069049485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74.373600525922157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148.4522606780651</v>
      </c>
      <c r="BJ35" s="59">
        <f t="shared" si="38"/>
        <v>332.71193127646211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54.963359715157182</v>
      </c>
      <c r="BQ35" s="21">
        <f>EXP(-LN(2)/25)*BQ34+(1-EXP(-LN(2)/25))/(LN(2)/25)*Calculateur!BL35*Calculateur!BN35*VLOOKUP('Données projet'!$B$11,Paramètres!$A$1:$I$89,3,0)*0.475*44/12</f>
        <v>13.577017240104427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68.540376955261607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169.76258214884751</v>
      </c>
      <c r="T36" s="59">
        <f t="shared" si="34"/>
        <v>378.2513167340262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62.293238057755957</v>
      </c>
      <c r="AA36" s="21">
        <f>EXP(-LN(2)/25)*AA35+(1-EXP(-LN(2)/25))/(LN(2)/25)*Calculateur!V36*Calculateur!X36*VLOOKUP('Données projet'!$B$9,Paramètres!$A$1:$I$89,3,0)*0.475*44/12</f>
        <v>15.266225087371515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77.559463145127467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160.0845775223442</v>
      </c>
      <c r="AO36" s="59">
        <f t="shared" si="36"/>
        <v>357.56921474995909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58.471567011267823</v>
      </c>
      <c r="AV36" s="21">
        <f>EXP(-LN(2)/25)*AV35+(1-EXP(-LN(2)/25))/(LN(2)/25)*Calculateur!AQ36*Calculateur!AS36*VLOOKUP('Données projet'!$B$10,Paramètres!$A$1:$I$89,3,0)*0.475*44/12</f>
        <v>14.329646861152399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72.80121387242022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148.4522606780651</v>
      </c>
      <c r="BJ36" s="59">
        <f t="shared" si="38"/>
        <v>332.71193127646211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53.885561755482122</v>
      </c>
      <c r="BQ36" s="21">
        <f>EXP(-LN(2)/25)*BQ35+(1-EXP(-LN(2)/25))/(LN(2)/25)*Calculateur!BL36*Calculateur!BN36*VLOOKUP('Données projet'!$B$11,Paramètres!$A$1:$I$89,3,0)*0.475*44/12</f>
        <v>13.205752989689465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67.091314745171587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169.76258214884751</v>
      </c>
      <c r="T37" s="59">
        <f t="shared" si="34"/>
        <v>378.2513167340262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61.07170565456687</v>
      </c>
      <c r="AA37" s="21">
        <f>EXP(-LN(2)/25)*AA36+(1-EXP(-LN(2)/25))/(LN(2)/25)*Calculateur!V37*Calculateur!X37*VLOOKUP('Données projet'!$B$9,Paramètres!$A$1:$I$89,3,0)*0.475*44/12</f>
        <v>14.848769359541455</v>
      </c>
      <c r="AB37" s="21">
        <f>EXP(-LN(2)/2)*AB36+(1-EXP(-LN(2)/2))/(LN(2)/2)*V37*Y37*VLOOKUP('Données projet'!$B$9,Paramètres!$A$1:$I$89,3,0)*0.475*44/12</f>
        <v>0</v>
      </c>
      <c r="AC37" s="22">
        <f t="shared" si="3"/>
        <v>75.92047501410832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160.0845775223442</v>
      </c>
      <c r="AO37" s="59">
        <f t="shared" si="36"/>
        <v>357.56921474995909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57.324975246311197</v>
      </c>
      <c r="AV37" s="21">
        <f>EXP(-LN(2)/25)*AV36+(1-EXP(-LN(2)/25))/(LN(2)/25)*Calculateur!AQ37*Calculateur!AS37*VLOOKUP('Données projet'!$B$10,Paramètres!$A$1:$I$89,3,0)*0.475*44/12</f>
        <v>13.937801914170809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71.262777160482003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148.4522606780651</v>
      </c>
      <c r="BJ37" s="59">
        <f t="shared" si="38"/>
        <v>332.71193127646211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52.828898756404449</v>
      </c>
      <c r="BQ37" s="21">
        <f>EXP(-LN(2)/25)*BQ36+(1-EXP(-LN(2)/25))/(LN(2)/25)*Calculateur!BL37*Calculateur!BN37*VLOOKUP('Données projet'!$B$11,Paramètres!$A$1:$I$89,3,0)*0.475*44/12</f>
        <v>12.844640979726039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65.673539736130493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169.76258214884751</v>
      </c>
      <c r="T38" s="59">
        <f t="shared" si="34"/>
        <v>378.2513167340262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59.874126756743124</v>
      </c>
      <c r="AA38" s="21">
        <f>EXP(-LN(2)/25)*AA37+(1-EXP(-LN(2)/25))/(LN(2)/25)*Calculateur!V38*Calculateur!X38*VLOOKUP('Données projet'!$B$9,Paramètres!$A$1:$I$89,3,0)*0.475*44/12</f>
        <v>14.442728980541951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74.316855737285067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160.0845775223442</v>
      </c>
      <c r="AO38" s="59">
        <f t="shared" si="36"/>
        <v>357.56921474995909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56.200867446513449</v>
      </c>
      <c r="AV38" s="21">
        <f>EXP(-LN(2)/25)*AV37+(1-EXP(-LN(2)/25))/(LN(2)/25)*Calculateur!AQ38*Calculateur!AS38*VLOOKUP('Données projet'!$B$10,Paramètres!$A$1:$I$89,3,0)*0.475*44/12</f>
        <v>13.556671987870661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69.757539434384114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148.4522606780651</v>
      </c>
      <c r="BJ38" s="59">
        <f t="shared" si="38"/>
        <v>332.71193127646211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51.792956274237895</v>
      </c>
      <c r="BQ38" s="21">
        <f>EXP(-LN(2)/25)*BQ37+(1-EXP(-LN(2)/25))/(LN(2)/25)*Calculateur!BL38*Calculateur!BN38*VLOOKUP('Données projet'!$B$11,Paramètres!$A$1:$I$89,3,0)*0.475*44/12</f>
        <v>12.493403596665118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64.286359870903013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169.76258214884751</v>
      </c>
      <c r="T39" s="59">
        <f t="shared" si="34"/>
        <v>378.2513167340262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58.700031650654701</v>
      </c>
      <c r="AA39" s="21">
        <f>EXP(-LN(2)/25)*AA38+(1-EXP(-LN(2)/25))/(LN(2)/25)*Calculateur!V39*Calculateur!X39*VLOOKUP('Données projet'!$B$9,Paramètres!$A$1:$I$89,3,0)*0.475*44/12</f>
        <v>14.047791797058924</v>
      </c>
      <c r="AB39" s="21">
        <f>EXP(-LN(2)/2)*AB38+(1-EXP(-LN(2)/2))/(LN(2)/2)*V39*Y39*VLOOKUP('Données projet'!$B$9,Paramètres!$A$1:$I$89,3,0)*0.475*44/12</f>
        <v>0</v>
      </c>
      <c r="AC39" s="22">
        <f t="shared" si="3"/>
        <v>72.747823447713628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160.0845775223442</v>
      </c>
      <c r="AO39" s="59">
        <f t="shared" si="36"/>
        <v>357.56921474995909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55.098802715031681</v>
      </c>
      <c r="AV39" s="21">
        <f>EXP(-LN(2)/25)*AV38+(1-EXP(-LN(2)/25))/(LN(2)/25)*Calculateur!AQ39*Calculateur!AS39*VLOOKUP('Données projet'!$B$10,Paramètres!$A$1:$I$89,3,0)*0.475*44/12</f>
        <v>13.185964079447942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68.284766794479623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148.4522606780651</v>
      </c>
      <c r="BJ39" s="59">
        <f t="shared" si="38"/>
        <v>332.71193127646211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50.777327992284107</v>
      </c>
      <c r="BQ39" s="21">
        <f>EXP(-LN(2)/25)*BQ38+(1-EXP(-LN(2)/25))/(LN(2)/25)*Calculateur!BL39*Calculateur!BN39*VLOOKUP('Données projet'!$B$11,Paramètres!$A$1:$I$89,3,0)*0.475*44/12</f>
        <v>12.15177081831477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62.929098810598873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169.76258214884751</v>
      </c>
      <c r="T40" s="59">
        <f t="shared" si="34"/>
        <v>378.2513167340262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57.548959833469368</v>
      </c>
      <c r="AA40" s="21">
        <f>EXP(-LN(2)/25)*AA39+(1-EXP(-LN(2)/25))/(LN(2)/25)*Calculateur!V40*Calculateur!X40*VLOOKUP('Données projet'!$B$9,Paramètres!$A$1:$I$89,3,0)*0.475*44/12</f>
        <v>13.663654191627083</v>
      </c>
      <c r="AB40" s="21">
        <f>EXP(-LN(2)/2)*AB39+(1-EXP(-LN(2)/2))/(LN(2)/2)*V40*Y40*VLOOKUP('Données projet'!$B$9,Paramètres!$A$1:$I$89,3,0)*0.475*44/12</f>
        <v>0</v>
      </c>
      <c r="AC40" s="22">
        <f t="shared" si="3"/>
        <v>71.212614025096457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160.0845775223442</v>
      </c>
      <c r="AO40" s="59">
        <f t="shared" si="36"/>
        <v>357.56921474995909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54.018348800741158</v>
      </c>
      <c r="AV40" s="21">
        <f>EXP(-LN(2)/25)*AV39+(1-EXP(-LN(2)/25))/(LN(2)/25)*Calculateur!AQ40*Calculateur!AS40*VLOOKUP('Données projet'!$B$10,Paramètres!$A$1:$I$89,3,0)*0.475*44/12</f>
        <v>12.825393198275723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66.843741999016885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148.4522606780651</v>
      </c>
      <c r="BJ40" s="59">
        <f t="shared" si="38"/>
        <v>332.71193127646211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49.781615561467348</v>
      </c>
      <c r="BQ40" s="21">
        <f>EXP(-LN(2)/25)*BQ39+(1-EXP(-LN(2)/25))/(LN(2)/25)*Calculateur!BL40*Calculateur!BN40*VLOOKUP('Données projet'!$B$11,Paramètres!$A$1:$I$89,3,0)*0.475*44/12</f>
        <v>11.819480006254098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61.601095567721444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169.76258214884751</v>
      </c>
      <c r="T41" s="59">
        <f t="shared" si="34"/>
        <v>378.2513167340262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56.420459832534554</v>
      </c>
      <c r="AA41" s="21">
        <f>EXP(-LN(2)/25)*AA40+(1-EXP(-LN(2)/25))/(LN(2)/25)*Calculateur!V41*Calculateur!X41*VLOOKUP('Données projet'!$B$9,Paramètres!$A$1:$I$89,3,0)*0.475*44/12</f>
        <v>13.290020849216695</v>
      </c>
      <c r="AB41" s="21">
        <f>EXP(-LN(2)/2)*AB40+(1-EXP(-LN(2)/2))/(LN(2)/2)*V41*Y41*VLOOKUP('Données projet'!$B$9,Paramètres!$A$1:$I$89,3,0)*0.475*44/12</f>
        <v>0</v>
      </c>
      <c r="AC41" s="22">
        <f t="shared" si="3"/>
        <v>69.71048068175125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160.0845775223442</v>
      </c>
      <c r="AO41" s="59">
        <f t="shared" si="36"/>
        <v>357.56921474995909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52.959081928698055</v>
      </c>
      <c r="AV41" s="21">
        <f>EXP(-LN(2)/25)*AV40+(1-EXP(-LN(2)/25))/(LN(2)/25)*Calculateur!AQ41*Calculateur!AS41*VLOOKUP('Données projet'!$B$10,Paramètres!$A$1:$I$89,3,0)*0.475*44/12</f>
        <v>12.474682146810759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65.433764075508819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148.4522606780651</v>
      </c>
      <c r="BJ41" s="59">
        <f t="shared" si="38"/>
        <v>332.71193127646211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48.805428444094289</v>
      </c>
      <c r="BQ41" s="21">
        <f>EXP(-LN(2)/25)*BQ40+(1-EXP(-LN(2)/25))/(LN(2)/25)*Calculateur!BL41*Calculateur!BN41*VLOOKUP('Données projet'!$B$11,Paramètres!$A$1:$I$89,3,0)*0.475*44/12</f>
        <v>11.49627570392364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60.301704148017933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169.76258214884751</v>
      </c>
      <c r="T42" s="59">
        <f t="shared" si="34"/>
        <v>378.2513167340262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55.314089028301041</v>
      </c>
      <c r="AA42" s="21">
        <f>EXP(-LN(2)/25)*AA41+(1-EXP(-LN(2)/25))/(LN(2)/25)*Calculateur!V42*Calculateur!X42*VLOOKUP('Données projet'!$B$9,Paramètres!$A$1:$I$89,3,0)*0.475*44/12</f>
        <v>12.926604530203043</v>
      </c>
      <c r="AB42" s="21">
        <f>EXP(-LN(2)/2)*AB41+(1-EXP(-LN(2)/2))/(LN(2)/2)*V42*Y42*VLOOKUP('Données projet'!$B$9,Paramètres!$A$1:$I$89,3,0)*0.475*44/12</f>
        <v>0</v>
      </c>
      <c r="AC42" s="22">
        <f t="shared" si="3"/>
        <v>68.240693558504091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160.0845775223442</v>
      </c>
      <c r="AO42" s="59">
        <f t="shared" si="36"/>
        <v>357.56921474995909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51.920586633926717</v>
      </c>
      <c r="AV42" s="21">
        <f>EXP(-LN(2)/25)*AV41+(1-EXP(-LN(2)/25))/(LN(2)/25)*Calculateur!AQ42*Calculateur!AS42*VLOOKUP('Données projet'!$B$10,Paramètres!$A$1:$I$89,3,0)*0.475*44/12</f>
        <v>12.133561307491195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64.054147941417909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148.4522606780651</v>
      </c>
      <c r="BJ42" s="59">
        <f t="shared" si="38"/>
        <v>332.71193127646211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47.848383760677571</v>
      </c>
      <c r="BQ42" s="21">
        <f>EXP(-LN(2)/25)*BQ41+(1-EXP(-LN(2)/25))/(LN(2)/25)*Calculateur!BL42*Calculateur!BN42*VLOOKUP('Données projet'!$B$11,Paramètres!$A$1:$I$89,3,0)*0.475*44/12</f>
        <v>11.181909440236984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59.030293200914556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169.76258214884751</v>
      </c>
      <c r="T43" s="59">
        <f t="shared" si="34"/>
        <v>378.2513167340262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54.229413480718989</v>
      </c>
      <c r="AA43" s="21">
        <f>EXP(-LN(2)/25)*AA42+(1-EXP(-LN(2)/25))/(LN(2)/25)*Calculateur!V43*Calculateur!X43*VLOOKUP('Données projet'!$B$9,Paramètres!$A$1:$I$89,3,0)*0.475*44/12</f>
        <v>12.573125849544054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66.802539330263045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160.0845775223442</v>
      </c>
      <c r="AO43" s="59">
        <f t="shared" si="36"/>
        <v>357.56921474995909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50.902455598466261</v>
      </c>
      <c r="AV43" s="21">
        <f>EXP(-LN(2)/25)*AV42+(1-EXP(-LN(2)/25))/(LN(2)/25)*Calculateur!AQ43*Calculateur!AS43*VLOOKUP('Données projet'!$B$10,Paramètres!$A$1:$I$89,3,0)*0.475*44/12</f>
        <v>11.801768435461591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62.704224033927851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148.4522606780651</v>
      </c>
      <c r="BJ43" s="59">
        <f t="shared" si="38"/>
        <v>332.71193127646211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46.910106139763037</v>
      </c>
      <c r="BQ43" s="21">
        <f>EXP(-LN(2)/25)*BQ42+(1-EXP(-LN(2)/25))/(LN(2)/25)*Calculateur!BL43*Calculateur!BN43*VLOOKUP('Données projet'!$B$11,Paramètres!$A$1:$I$89,3,0)*0.475*44/12</f>
        <v>10.876139538562642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57.786245678325677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169.76258214884751</v>
      </c>
      <c r="T44" s="59">
        <f t="shared" si="34"/>
        <v>378.2513167340262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53.166007759038266</v>
      </c>
      <c r="AA44" s="21">
        <f>EXP(-LN(2)/25)*AA43+(1-EXP(-LN(2)/25))/(LN(2)/25)*Calculateur!V44*Calculateur!X44*VLOOKUP('Données projet'!$B$9,Paramètres!$A$1:$I$89,3,0)*0.475*44/12</f>
        <v>12.22931306199632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65.395320821034588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160.0845775223442</v>
      </c>
      <c r="AO44" s="59">
        <f t="shared" si="36"/>
        <v>357.56921474995909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49.904289491612573</v>
      </c>
      <c r="AV44" s="21">
        <f>EXP(-LN(2)/25)*AV43+(1-EXP(-LN(2)/25))/(LN(2)/25)*Calculateur!AQ44*Calculateur!AS44*VLOOKUP('Données projet'!$B$10,Paramètres!$A$1:$I$89,3,0)*0.475*44/12</f>
        <v>11.479048456965865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61.383337948578436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148.4522606780651</v>
      </c>
      <c r="BJ44" s="59">
        <f t="shared" si="38"/>
        <v>332.71193127646211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45.990227570701798</v>
      </c>
      <c r="BQ44" s="21">
        <f>EXP(-LN(2)/25)*BQ43+(1-EXP(-LN(2)/25))/(LN(2)/25)*Calculateur!BL44*Calculateur!BN44*VLOOKUP('Données projet'!$B$11,Paramètres!$A$1:$I$89,3,0)*0.475*44/12</f>
        <v>10.578730930929325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56.568958501631123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169.76258214884751</v>
      </c>
      <c r="T45" s="59">
        <f t="shared" si="34"/>
        <v>378.2513167340262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52.123454774946254</v>
      </c>
      <c r="AA45" s="21">
        <f>EXP(-LN(2)/25)*AA44+(1-EXP(-LN(2)/25))/(LN(2)/25)*Calculateur!V45*Calculateur!X45*VLOOKUP('Données projet'!$B$9,Paramètres!$A$1:$I$89,3,0)*0.475*44/12</f>
        <v>11.894901853204408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64.018356628150656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160.0845775223442</v>
      </c>
      <c r="AO45" s="59">
        <f t="shared" si="36"/>
        <v>357.56921474995909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48.925696813293079</v>
      </c>
      <c r="AV45" s="21">
        <f>EXP(-LN(2)/25)*AV44+(1-EXP(-LN(2)/25))/(LN(2)/25)*Calculateur!AQ45*Calculateur!AS45*VLOOKUP('Données projet'!$B$10,Paramètres!$A$1:$I$89,3,0)*0.475*44/12</f>
        <v>11.16515327325321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60.09085008654629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148.4522606780651</v>
      </c>
      <c r="BJ45" s="59">
        <f t="shared" si="38"/>
        <v>332.71193127646211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45.088387259309322</v>
      </c>
      <c r="BQ45" s="21">
        <f>EXP(-LN(2)/25)*BQ44+(1-EXP(-LN(2)/25))/(LN(2)/25)*Calculateur!BL45*Calculateur!BN45*VLOOKUP('Données projet'!$B$11,Paramètres!$A$1:$I$89,3,0)*0.475*44/12</f>
        <v>10.289454977311781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55.377842236621106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169.76258214884751</v>
      </c>
      <c r="T46" s="59">
        <f t="shared" si="34"/>
        <v>378.2513167340262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51.101345618977753</v>
      </c>
      <c r="AA46" s="21">
        <f>EXP(-LN(2)/25)*AA45+(1-EXP(-LN(2)/25))/(LN(2)/25)*Calculateur!V46*Calculateur!X46*VLOOKUP('Données projet'!$B$9,Paramètres!$A$1:$I$89,3,0)*0.475*44/12</f>
        <v>11.56963513650283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62.670980755480585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160.0845775223442</v>
      </c>
      <c r="AO46" s="59">
        <f t="shared" si="36"/>
        <v>357.56921474995909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47.966293740512832</v>
      </c>
      <c r="AV46" s="21">
        <f>EXP(-LN(2)/25)*AV45+(1-EXP(-LN(2)/25))/(LN(2)/25)*Calculateur!AQ46*Calculateur!AS46*VLOOKUP('Données projet'!$B$10,Paramètres!$A$1:$I$89,3,0)*0.475*44/12</f>
        <v>10.859841569846209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58.826135310359042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148.4522606780651</v>
      </c>
      <c r="BJ46" s="59">
        <f t="shared" si="38"/>
        <v>332.71193127646211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44.204231486354978</v>
      </c>
      <c r="BQ46" s="21">
        <f>EXP(-LN(2)/25)*BQ45+(1-EXP(-LN(2)/25))/(LN(2)/25)*Calculateur!BL46*Calculateur!BN46*VLOOKUP('Données projet'!$B$11,Paramètres!$A$1:$I$89,3,0)*0.475*44/12</f>
        <v>10.008089289858271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54.212320776213247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169.76258214884751</v>
      </c>
      <c r="T47" s="59">
        <f t="shared" si="34"/>
        <v>378.2513167340262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50.099279400132772</v>
      </c>
      <c r="AA47" s="21">
        <f>EXP(-LN(2)/25)*AA46+(1-EXP(-LN(2)/25))/(LN(2)/25)*Calculateur!V47*Calculateur!X47*VLOOKUP('Données projet'!$B$9,Paramètres!$A$1:$I$89,3,0)*0.475*44/12</f>
        <v>11.253262855274491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61.352542255407265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160.0845775223442</v>
      </c>
      <c r="AO47" s="59">
        <f t="shared" si="36"/>
        <v>357.56921474995909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47.025703976811712</v>
      </c>
      <c r="AV47" s="21">
        <f>EXP(-LN(2)/25)*AV46+(1-EXP(-LN(2)/25))/(LN(2)/25)*Calculateur!AQ47*Calculateur!AS47*VLOOKUP('Données projet'!$B$10,Paramètres!$A$1:$I$89,3,0)*0.475*44/12</f>
        <v>10.562878631024516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57.58858260783623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148.4522606780651</v>
      </c>
      <c r="BJ47" s="59">
        <f t="shared" si="38"/>
        <v>332.71193127646211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43.337413468826497</v>
      </c>
      <c r="BQ47" s="21">
        <f>EXP(-LN(2)/25)*BQ46+(1-EXP(-LN(2)/25))/(LN(2)/25)*Calculateur!BL47*Calculateur!BN47*VLOOKUP('Données projet'!$B$11,Paramètres!$A$1:$I$89,3,0)*0.475*44/12</f>
        <v>9.7344175619245537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53.071831030751049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169.76258214884751</v>
      </c>
      <c r="T48" s="59">
        <f t="shared" si="34"/>
        <v>378.2513167340262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49.116863088639299</v>
      </c>
      <c r="AA48" s="21">
        <f>EXP(-LN(2)/25)*AA47+(1-EXP(-LN(2)/25))/(LN(2)/25)*Calculateur!V48*Calculateur!X48*VLOOKUP('Données projet'!$B$9,Paramètres!$A$1:$I$89,3,0)*0.475*44/12</f>
        <v>10.945541790713635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60.062404879352933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160.0845775223442</v>
      </c>
      <c r="AO48" s="59">
        <f t="shared" si="36"/>
        <v>357.56921474995909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46.103558604673665</v>
      </c>
      <c r="AV48" s="21">
        <f>EXP(-LN(2)/25)*AV47+(1-EXP(-LN(2)/25))/(LN(2)/25)*Calculateur!AQ48*Calculateur!AS48*VLOOKUP('Données projet'!$B$10,Paramètres!$A$1:$I$89,3,0)*0.475*44/12</f>
        <v>10.274036159381504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56.377594764055168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148.4522606780651</v>
      </c>
      <c r="BJ48" s="59">
        <f t="shared" si="38"/>
        <v>332.71193127646211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42.487593223914963</v>
      </c>
      <c r="BQ48" s="21">
        <f>EXP(-LN(2)/25)*BQ47+(1-EXP(-LN(2)/25))/(LN(2)/25)*Calculateur!BL48*Calculateur!BN48*VLOOKUP('Données projet'!$B$11,Paramètres!$A$1:$I$89,3,0)*0.475*44/12</f>
        <v>9.4682294017829562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51.95582262569792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169.76258214884751</v>
      </c>
      <c r="T49" s="59">
        <f t="shared" si="34"/>
        <v>378.2513167340262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48.153711361799424</v>
      </c>
      <c r="AA49" s="21">
        <f>EXP(-LN(2)/25)*AA48+(1-EXP(-LN(2)/25))/(LN(2)/25)*Calculateur!V49*Calculateur!X49*VLOOKUP('Données projet'!$B$9,Paramètres!$A$1:$I$89,3,0)*0.475*44/12</f>
        <v>10.646235374845544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58.799946736644969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160.0845775223442</v>
      </c>
      <c r="AO49" s="59">
        <f t="shared" si="36"/>
        <v>357.56921474995909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45.199495940830104</v>
      </c>
      <c r="AV49" s="21">
        <f>EXP(-LN(2)/25)*AV48+(1-EXP(-LN(2)/25))/(LN(2)/25)*Calculateur!AQ49*Calculateur!AS49*VLOOKUP('Données projet'!$B$10,Paramètres!$A$1:$I$89,3,0)*0.475*44/12</f>
        <v>9.9930921003151365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55.192588041145243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148.4522606780651</v>
      </c>
      <c r="BJ49" s="59">
        <f t="shared" si="38"/>
        <v>332.71193127646211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41.654437435666978</v>
      </c>
      <c r="BQ49" s="21">
        <f>EXP(-LN(2)/25)*BQ48+(1-EXP(-LN(2)/25))/(LN(2)/25)*Calculateur!BL49*Calculateur!BN49*VLOOKUP('Données projet'!$B$11,Paramètres!$A$1:$I$89,3,0)*0.475*44/12</f>
        <v>9.209320170878657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50.863757606545633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169.76258214884751</v>
      </c>
      <c r="T50" s="59">
        <f t="shared" si="34"/>
        <v>378.2513167340262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47.209446452858337</v>
      </c>
      <c r="AA50" s="21">
        <f>EXP(-LN(2)/25)*AA49+(1-EXP(-LN(2)/25))/(LN(2)/25)*Calculateur!V50*Calculateur!X50*VLOOKUP('Données projet'!$B$9,Paramètres!$A$1:$I$89,3,0)*0.475*44/12</f>
        <v>10.355113508659207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57.564559961517546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160.0845775223442</v>
      </c>
      <c r="AO50" s="59">
        <f t="shared" si="36"/>
        <v>357.56921474995909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44.313161394400737</v>
      </c>
      <c r="AV50" s="21">
        <f>EXP(-LN(2)/25)*AV49+(1-EXP(-LN(2)/25))/(LN(2)/25)*Calculateur!AQ50*Calculateur!AS50*VLOOKUP('Données projet'!$B$10,Paramètres!$A$1:$I$89,3,0)*0.475*44/12</f>
        <v>9.7198304713181454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54.032991865718884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148.4522606780651</v>
      </c>
      <c r="BJ50" s="59">
        <f t="shared" si="38"/>
        <v>332.71193127646211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40.837619324251683</v>
      </c>
      <c r="BQ50" s="21">
        <f>EXP(-LN(2)/25)*BQ49+(1-EXP(-LN(2)/25))/(LN(2)/25)*Calculateur!BL50*Calculateur!BN50*VLOOKUP('Données projet'!$B$11,Paramètres!$A$1:$I$89,3,0)*0.475*44/12</f>
        <v>8.9574908265088808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49.795110150760564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169.76258214884751</v>
      </c>
      <c r="T51" s="59">
        <f t="shared" si="34"/>
        <v>378.2513167340262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46.283698002836857</v>
      </c>
      <c r="AA51" s="21">
        <f>EXP(-LN(2)/25)*AA50+(1-EXP(-LN(2)/25))/(LN(2)/25)*Calculateur!V51*Calculateur!X51*VLOOKUP('Données projet'!$B$9,Paramètres!$A$1:$I$89,3,0)*0.475*44/12</f>
        <v>10.071952385213168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56.355650388050023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160.0845775223442</v>
      </c>
      <c r="AO51" s="59">
        <f t="shared" si="36"/>
        <v>357.56921474995909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43.444207327816159</v>
      </c>
      <c r="AV51" s="21">
        <f>EXP(-LN(2)/25)*AV50+(1-EXP(-LN(2)/25))/(LN(2)/25)*Calculateur!AQ51*Calculateur!AS51*VLOOKUP('Données projet'!$B$10,Paramètres!$A$1:$I$89,3,0)*0.475*44/12</f>
        <v>9.4540411959362807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52.898248523752443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148.4522606780651</v>
      </c>
      <c r="BJ51" s="59">
        <f t="shared" si="38"/>
        <v>332.71193127646211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40.036818517791389</v>
      </c>
      <c r="BQ51" s="21">
        <f>EXP(-LN(2)/25)*BQ50+(1-EXP(-LN(2)/25))/(LN(2)/25)*Calculateur!BL51*Calculateur!BN51*VLOOKUP('Données projet'!$B$11,Paramètres!$A$1:$I$89,3,0)*0.475*44/12</f>
        <v>8.7125477688040256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48.749366286595418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169.76258214884751</v>
      </c>
      <c r="T52" s="59">
        <f t="shared" si="34"/>
        <v>378.2513167340262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45.376102915269499</v>
      </c>
      <c r="AA52" s="21">
        <f>EXP(-LN(2)/25)*AA51+(1-EXP(-LN(2)/25))/(LN(2)/25)*Calculateur!V52*Calculateur!X52*VLOOKUP('Données projet'!$B$9,Paramètres!$A$1:$I$89,3,0)*0.475*44/12</f>
        <v>9.7965343175785566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55.172637232848054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160.0845775223442</v>
      </c>
      <c r="AO52" s="59">
        <f t="shared" si="36"/>
        <v>357.56921474995909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42.592292920467656</v>
      </c>
      <c r="AV52" s="21">
        <f>EXP(-LN(2)/25)*AV51+(1-EXP(-LN(2)/25))/(LN(2)/25)*Calculateur!AQ52*Calculateur!AS52*VLOOKUP('Données projet'!$B$10,Paramètres!$A$1:$I$89,3,0)*0.475*44/12</f>
        <v>9.1955199422669835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51.78781286273464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148.4522606780651</v>
      </c>
      <c r="BJ52" s="59">
        <f t="shared" si="38"/>
        <v>332.71193127646211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39.251720926705516</v>
      </c>
      <c r="BQ52" s="21">
        <f>EXP(-LN(2)/25)*BQ51+(1-EXP(-LN(2)/25))/(LN(2)/25)*Calculateur!BL52*Calculateur!BN52*VLOOKUP('Données projet'!$B$11,Paramètres!$A$1:$I$89,3,0)*0.475*44/12</f>
        <v>8.4743026918931044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47.726023618598617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169.76258214884751</v>
      </c>
      <c r="T53" s="59">
        <f t="shared" si="34"/>
        <v>378.2513167340262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44.486305213790999</v>
      </c>
      <c r="AA53" s="21">
        <f>EXP(-LN(2)/25)*AA52+(1-EXP(-LN(2)/25))/(LN(2)/25)*Calculateur!V53*Calculateur!X53*VLOOKUP('Données projet'!$B$9,Paramètres!$A$1:$I$89,3,0)*0.475*44/12</f>
        <v>9.5286475714870207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54.01495278527802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160.0845775223442</v>
      </c>
      <c r="AO53" s="59">
        <f t="shared" si="36"/>
        <v>357.56921474995909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41.757084035030779</v>
      </c>
      <c r="AV53" s="21">
        <f>EXP(-LN(2)/25)*AV52+(1-EXP(-LN(2)/25))/(LN(2)/25)*Calculateur!AQ53*Calculateur!AS53*VLOOKUP('Données projet'!$B$10,Paramètres!$A$1:$I$89,3,0)*0.475*44/12</f>
        <v>8.9440679658743161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50.701152000905097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148.4522606780651</v>
      </c>
      <c r="BJ53" s="59">
        <f t="shared" si="38"/>
        <v>332.71193127646211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38.482018620518588</v>
      </c>
      <c r="BQ53" s="21">
        <f>EXP(-LN(2)/25)*BQ52+(1-EXP(-LN(2)/25))/(LN(2)/25)*Calculateur!BL53*Calculateur!BN53*VLOOKUP('Données projet'!$B$11,Paramètres!$A$1:$I$89,3,0)*0.475*44/12</f>
        <v>8.242572439139078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46.724591059657669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169.76258214884751</v>
      </c>
      <c r="T54" s="59">
        <f t="shared" si="34"/>
        <v>378.2513167340262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43.613955902515478</v>
      </c>
      <c r="AA54" s="21">
        <f>EXP(-LN(2)/25)*AA53+(1-EXP(-LN(2)/25))/(LN(2)/25)*Calculateur!V54*Calculateur!X54*VLOOKUP('Données projet'!$B$9,Paramètres!$A$1:$I$89,3,0)*0.475*44/12</f>
        <v>9.26808620255491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52.88204210507039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160.0845775223442</v>
      </c>
      <c r="AO54" s="59">
        <f t="shared" si="36"/>
        <v>357.56921474995909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40.938253086410199</v>
      </c>
      <c r="AV54" s="21">
        <f>EXP(-LN(2)/25)*AV53+(1-EXP(-LN(2)/25))/(LN(2)/25)*Calculateur!AQ54*Calculateur!AS54*VLOOKUP('Données projet'!$B$10,Paramètres!$A$1:$I$89,3,0)*0.475*44/12</f>
        <v>8.69949195699939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49.637745043409588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148.4522606780651</v>
      </c>
      <c r="BJ54" s="59">
        <f t="shared" si="38"/>
        <v>332.71193127646211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37.727409707083936</v>
      </c>
      <c r="BQ54" s="21">
        <f>EXP(-LN(2)/25)*BQ53+(1-EXP(-LN(2)/25))/(LN(2)/25)*Calculateur!BL54*Calculateur!BN54*VLOOKUP('Données projet'!$B$11,Paramètres!$A$1:$I$89,3,0)*0.475*44/12</f>
        <v>8.0171788623327735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45.744588569416706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169.76258214884751</v>
      </c>
      <c r="T55" s="59">
        <f t="shared" si="34"/>
        <v>378.2513167340262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42.758712829153531</v>
      </c>
      <c r="AA55" s="21">
        <f>EXP(-LN(2)/25)*AA54+(1-EXP(-LN(2)/25))/(LN(2)/25)*Calculateur!V55*Calculateur!X55*VLOOKUP('Données projet'!$B$9,Paramètres!$A$1:$I$89,3,0)*0.475*44/12</f>
        <v>9.0146498979585754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51.773362727112108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160.0845775223442</v>
      </c>
      <c r="AO55" s="59">
        <f t="shared" si="36"/>
        <v>357.56921474995909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40.135478913254509</v>
      </c>
      <c r="AV55" s="21">
        <f>EXP(-LN(2)/25)*AV54+(1-EXP(-LN(2)/25))/(LN(2)/25)*Calculateur!AQ55*Calculateur!AS55*VLOOKUP('Données projet'!$B$10,Paramètres!$A$1:$I$89,3,0)*0.475*44/12</f>
        <v>8.4616038919488421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48.59708280520335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148.4522606780651</v>
      </c>
      <c r="BJ55" s="59">
        <f t="shared" si="38"/>
        <v>332.71193127646211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36.987598214175748</v>
      </c>
      <c r="BQ55" s="21">
        <f>EXP(-LN(2)/25)*BQ54+(1-EXP(-LN(2)/25))/(LN(2)/25)*Calculateur!BL55*Calculateur!BN55*VLOOKUP('Données projet'!$B$11,Paramètres!$A$1:$I$89,3,0)*0.475*44/12</f>
        <v>7.7979486847371708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44.785546898912919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169.76258214884751</v>
      </c>
      <c r="T56" s="59">
        <f t="shared" si="34"/>
        <v>378.2513167340262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41.920240550813446</v>
      </c>
      <c r="AA56" s="21">
        <f>EXP(-LN(2)/25)*AA55+(1-EXP(-LN(2)/25))/(LN(2)/25)*Calculateur!V56*Calculateur!X56*VLOOKUP('Données projet'!$B$9,Paramètres!$A$1:$I$89,3,0)*0.475*44/12</f>
        <v>8.7681438224390629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50.688384373252511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160.0845775223442</v>
      </c>
      <c r="AO56" s="59">
        <f t="shared" si="36"/>
        <v>357.56921474995909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39.348446651990507</v>
      </c>
      <c r="AV56" s="21">
        <f>EXP(-LN(2)/25)*AV55+(1-EXP(-LN(2)/25))/(LN(2)/25)*Calculateur!AQ56*Calculateur!AS56*VLOOKUP('Données projet'!$B$10,Paramètres!$A$1:$I$89,3,0)*0.475*44/12</f>
        <v>8.2302208885470911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47.578667540537595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148.4522606780651</v>
      </c>
      <c r="BJ56" s="59">
        <f t="shared" si="38"/>
        <v>332.71193127646211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36.26229397340304</v>
      </c>
      <c r="BQ56" s="21">
        <f>EXP(-LN(2)/25)*BQ55+(1-EXP(-LN(2)/25))/(LN(2)/25)*Calculateur!BL56*Calculateur!BN56*VLOOKUP('Données projet'!$B$11,Paramètres!$A$1:$I$89,3,0)*0.475*44/12</f>
        <v>7.5847133678767342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43.847007341279777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169.76258214884751</v>
      </c>
      <c r="T57" s="59">
        <f t="shared" si="34"/>
        <v>378.2513167340262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41.098210202434018</v>
      </c>
      <c r="AA57" s="21">
        <f>EXP(-LN(2)/25)*AA56+(1-EXP(-LN(2)/25))/(LN(2)/25)*Calculateur!V57*Calculateur!X57*VLOOKUP('Données projet'!$B$9,Paramètres!$A$1:$I$89,3,0)*0.475*44/12</f>
        <v>8.5283784685178237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49.62658867095184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160.0845775223442</v>
      </c>
      <c r="AO57" s="59">
        <f t="shared" si="36"/>
        <v>357.56921474995909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38.576847613327608</v>
      </c>
      <c r="AV57" s="21">
        <f>EXP(-LN(2)/25)*AV56+(1-EXP(-LN(2)/25))/(LN(2)/25)*Calculateur!AQ57*Calculateur!AS57*VLOOKUP('Données projet'!$B$10,Paramètres!$A$1:$I$89,3,0)*0.475*44/12</f>
        <v>8.0051650655412647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46.582012678868871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148.4522606780651</v>
      </c>
      <c r="BJ57" s="59">
        <f t="shared" si="38"/>
        <v>332.71193127646211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35.551212506399978</v>
      </c>
      <c r="BQ57" s="21">
        <f>EXP(-LN(2)/25)*BQ56+(1-EXP(-LN(2)/25))/(LN(2)/25)*Calculateur!BL57*Calculateur!BN57*VLOOKUP('Données projet'!$B$11,Paramètres!$A$1:$I$89,3,0)*0.475*44/12</f>
        <v>7.3773089819694038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42.928521488369384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169.76258214884751</v>
      </c>
      <c r="T58" s="59">
        <f t="shared" si="34"/>
        <v>378.2513167340262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40.292299367797305</v>
      </c>
      <c r="AA58" s="21">
        <f>EXP(-LN(2)/25)*AA57+(1-EXP(-LN(2)/25))/(LN(2)/25)*Calculateur!V58*Calculateur!X58*VLOOKUP('Données projet'!$B$9,Paramètres!$A$1:$I$89,3,0)*0.475*44/12</f>
        <v>8.2951695108082717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48.587468878605577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160.0845775223442</v>
      </c>
      <c r="AO58" s="59">
        <f t="shared" si="36"/>
        <v>357.56921474995909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37.820379161183951</v>
      </c>
      <c r="AV58" s="21">
        <f>EXP(-LN(2)/25)*AV57+(1-EXP(-LN(2)/25))/(LN(2)/25)*Calculateur!AQ58*Calculateur!AS58*VLOOKUP('Données projet'!$B$10,Paramètres!$A$1:$I$89,3,0)*0.475*44/12</f>
        <v>7.7862634058507041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45.606642567034655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148.4522606780651</v>
      </c>
      <c r="BJ58" s="59">
        <f t="shared" si="38"/>
        <v>332.71193127646211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34.854074913247977</v>
      </c>
      <c r="BQ58" s="21">
        <f>EXP(-LN(2)/25)*BQ57+(1-EXP(-LN(2)/25))/(LN(2)/25)*Calculateur!BL58*Calculateur!BN58*VLOOKUP('Données projet'!$B$11,Paramètres!$A$1:$I$89,3,0)*0.475*44/12</f>
        <v>7.1755760799016324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42.029650993149609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169.76258214884751</v>
      </c>
      <c r="T59" s="59">
        <f t="shared" si="34"/>
        <v>378.2513167340262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39.502191953070749</v>
      </c>
      <c r="AA59" s="21">
        <f>EXP(-LN(2)/25)*AA58+(1-EXP(-LN(2)/25))/(LN(2)/25)*Calculateur!V59*Calculateur!X59*VLOOKUP('Données projet'!$B$9,Paramètres!$A$1:$I$89,3,0)*0.475*44/12</f>
        <v>8.0683376643112137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47.570529617381965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160.0845775223442</v>
      </c>
      <c r="AO59" s="59">
        <f t="shared" si="36"/>
        <v>357.56921474995909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37.078744593986627</v>
      </c>
      <c r="AV59" s="21">
        <f>EXP(-LN(2)/25)*AV58+(1-EXP(-LN(2)/25))/(LN(2)/25)*Calculateur!AQ59*Calculateur!AS59*VLOOKUP('Données projet'!$B$10,Paramètres!$A$1:$I$89,3,0)*0.475*44/12</f>
        <v>7.5733476235559198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44.652092217542545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148.4522606780651</v>
      </c>
      <c r="BJ59" s="59">
        <f t="shared" si="38"/>
        <v>332.71193127646211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34.170607763085741</v>
      </c>
      <c r="BQ59" s="21">
        <f>EXP(-LN(2)/25)*BQ58+(1-EXP(-LN(2)/25))/(LN(2)/25)*Calculateur!BL59*Calculateur!BN59*VLOOKUP('Données projet'!$B$11,Paramètres!$A$1:$I$89,3,0)*0.475*44/12</f>
        <v>6.9793595746495765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41.149967337735319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169.76258214884751</v>
      </c>
      <c r="T60" s="59">
        <f t="shared" si="34"/>
        <v>378.2513167340262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38.727578062829039</v>
      </c>
      <c r="AA60" s="21">
        <f>EXP(-LN(2)/25)*AA59+(1-EXP(-LN(2)/25))/(LN(2)/25)*Calculateur!V60*Calculateur!X60*VLOOKUP('Données projet'!$B$9,Paramètres!$A$1:$I$89,3,0)*0.475*44/12</f>
        <v>7.8477085465851859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46.575286609414228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160.0845775223442</v>
      </c>
      <c r="AO60" s="59">
        <f t="shared" si="36"/>
        <v>357.56921474995909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36.35165302829963</v>
      </c>
      <c r="AV60" s="21">
        <f>EXP(-LN(2)/25)*AV59+(1-EXP(-LN(2)/25))/(LN(2)/25)*Calculateur!AQ60*Calculateur!AS60*VLOOKUP('Données projet'!$B$10,Paramètres!$A$1:$I$89,3,0)*0.475*44/12</f>
        <v>7.3662540345247409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43.717907062824374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148.4522606780651</v>
      </c>
      <c r="BJ60" s="59">
        <f t="shared" si="38"/>
        <v>332.71193127646211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33.500542986864389</v>
      </c>
      <c r="BQ60" s="21">
        <f>EXP(-LN(2)/25)*BQ59+(1-EXP(-LN(2)/25))/(LN(2)/25)*Calculateur!BL60*Calculateur!BN60*VLOOKUP('Données projet'!$B$11,Paramètres!$A$1:$I$89,3,0)*0.475*44/12</f>
        <v>6.7885086200522151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40.289051606916601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169.76258214884751</v>
      </c>
      <c r="T61" s="59">
        <f t="shared" si="34"/>
        <v>378.2513167340262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37.968153878507152</v>
      </c>
      <c r="AA61" s="21">
        <f>EXP(-LN(2)/25)*AA60+(1-EXP(-LN(2)/25))/(LN(2)/25)*Calculateur!V61*Calculateur!X61*VLOOKUP('Données projet'!$B$9,Paramètres!$A$1:$I$89,3,0)*0.475*44/12</f>
        <v>7.6331125436857574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45.601266422192907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160.0845775223442</v>
      </c>
      <c r="AO61" s="59">
        <f t="shared" si="36"/>
        <v>357.56921474995909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35.638819284733685</v>
      </c>
      <c r="AV61" s="21">
        <f>EXP(-LN(2)/25)*AV60+(1-EXP(-LN(2)/25))/(LN(2)/25)*Calculateur!AQ61*Calculateur!AS61*VLOOKUP('Données projet'!$B$10,Paramètres!$A$1:$I$89,3,0)*0.475*44/12</f>
        <v>7.164823430576198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42.803642715309884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148.4522606780651</v>
      </c>
      <c r="BJ61" s="59">
        <f t="shared" si="38"/>
        <v>332.71193127646211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32.843617772205576</v>
      </c>
      <c r="BQ61" s="21">
        <f>EXP(-LN(2)/25)*BQ60+(1-EXP(-LN(2)/25))/(LN(2)/25)*Calculateur!BL61*Calculateur!BN61*VLOOKUP('Données projet'!$B$11,Paramètres!$A$1:$I$89,3,0)*0.475*44/12</f>
        <v>6.6028764948447343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39.446494267050312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169.76258214884751</v>
      </c>
      <c r="T62" s="59">
        <f t="shared" si="34"/>
        <v>378.2513167340262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37.223621539236802</v>
      </c>
      <c r="AA62" s="21">
        <f>EXP(-LN(2)/25)*AA61+(1-EXP(-LN(2)/25))/(LN(2)/25)*Calculateur!V62*Calculateur!X62*VLOOKUP('Données projet'!$B$9,Paramètres!$A$1:$I$89,3,0)*0.475*44/12</f>
        <v>7.4243846797707276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44.648006219007527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160.0845775223442</v>
      </c>
      <c r="AO62" s="59">
        <f t="shared" si="36"/>
        <v>357.56921474995909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34.939963776093421</v>
      </c>
      <c r="AV62" s="21">
        <f>EXP(-LN(2)/25)*AV61+(1-EXP(-LN(2)/25))/(LN(2)/25)*Calculateur!AQ62*Calculateur!AS62*VLOOKUP('Données projet'!$B$10,Paramètres!$A$1:$I$89,3,0)*0.475*44/12</f>
        <v>6.9689009570854035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41.908864733178824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148.4522606780651</v>
      </c>
      <c r="BJ62" s="59">
        <f t="shared" si="38"/>
        <v>332.71193127646211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32.199574460321408</v>
      </c>
      <c r="BQ62" s="21">
        <f>EXP(-LN(2)/25)*BQ61+(1-EXP(-LN(2)/25))/(LN(2)/25)*Calculateur!BL62*Calculateur!BN62*VLOOKUP('Données projet'!$B$11,Paramètres!$A$1:$I$89,3,0)*0.475*44/12</f>
        <v>6.4223204898630213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38.621894950184426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169.76258214884751</v>
      </c>
      <c r="T63" s="59">
        <f t="shared" si="34"/>
        <v>378.2513167340262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36.493689025019656</v>
      </c>
      <c r="AA63" s="21">
        <f>EXP(-LN(2)/25)*AA62+(1-EXP(-LN(2)/25))/(LN(2)/25)*Calculateur!V63*Calculateur!X63*VLOOKUP('Données projet'!$B$9,Paramètres!$A$1:$I$89,3,0)*0.475*44/12</f>
        <v>7.2213644902709753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43.715053515290634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160.0845775223442</v>
      </c>
      <c r="AO63" s="59">
        <f t="shared" si="36"/>
        <v>357.56921474995909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34.254812397717821</v>
      </c>
      <c r="AV63" s="21">
        <f>EXP(-LN(2)/25)*AV62+(1-EXP(-LN(2)/25))/(LN(2)/25)*Calculateur!AQ63*Calculateur!AS63*VLOOKUP('Données projet'!$B$10,Paramètres!$A$1:$I$89,3,0)*0.475*44/12</f>
        <v>6.7783359939353298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41.03314839165315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148.4522606780651</v>
      </c>
      <c r="BJ63" s="59">
        <f t="shared" si="38"/>
        <v>332.71193127646211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31.568160444955655</v>
      </c>
      <c r="BQ63" s="21">
        <f>EXP(-LN(2)/25)*BQ62+(1-EXP(-LN(2)/25))/(LN(2)/25)*Calculateur!BL63*Calculateur!BN63*VLOOKUP('Données projet'!$B$11,Paramètres!$A$1:$I$89,3,0)*0.475*44/12</f>
        <v>6.2467017983325608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37.814862243288218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169.76258214884751</v>
      </c>
      <c r="T64" s="59">
        <f t="shared" si="34"/>
        <v>378.2513167340262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35.778070042191437</v>
      </c>
      <c r="AA64" s="21">
        <f>EXP(-LN(2)/25)*AA63+(1-EXP(-LN(2)/25))/(LN(2)/25)*Calculateur!V64*Calculateur!X64*VLOOKUP('Données projet'!$B$9,Paramètres!$A$1:$I$89,3,0)*0.475*44/12</f>
        <v>7.0238958985294619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42.801965940720898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160.0845775223442</v>
      </c>
      <c r="AO64" s="59">
        <f t="shared" si="36"/>
        <v>357.56921474995909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33.583096419971085</v>
      </c>
      <c r="AV64" s="21">
        <f>EXP(-LN(2)/25)*AV63+(1-EXP(-LN(2)/25))/(LN(2)/25)*Calculateur!AQ64*Calculateur!AS64*VLOOKUP('Données projet'!$B$10,Paramètres!$A$1:$I$89,3,0)*0.475*44/12</f>
        <v>6.59298203972397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40.176078459695056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148.4522606780651</v>
      </c>
      <c r="BJ64" s="59">
        <f t="shared" si="38"/>
        <v>332.71193127646211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30.949128073306706</v>
      </c>
      <c r="BQ64" s="21">
        <f>EXP(-LN(2)/25)*BQ63+(1-EXP(-LN(2)/25))/(LN(2)/25)*Calculateur!BL64*Calculateur!BN64*VLOOKUP('Données projet'!$B$11,Paramètres!$A$1:$I$89,3,0)*0.475*44/12</f>
        <v>6.0758854091573866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37.02501348246409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169.76258214884751</v>
      </c>
      <c r="T65" s="59">
        <f t="shared" si="34"/>
        <v>378.2513167340262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35.076483911132001</v>
      </c>
      <c r="AA65" s="21">
        <f>EXP(-LN(2)/25)*AA64+(1-EXP(-LN(2)/25))/(LN(2)/25)*Calculateur!V65*Calculateur!X65*VLOOKUP('Données projet'!$B$9,Paramètres!$A$1:$I$89,3,0)*0.475*44/12</f>
        <v>6.8318270958135416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41.908311006945546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160.0845775223442</v>
      </c>
      <c r="AO65" s="59">
        <f t="shared" si="36"/>
        <v>357.56921474995909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32.924552382841675</v>
      </c>
      <c r="AV65" s="21">
        <f>EXP(-LN(2)/25)*AV64+(1-EXP(-LN(2)/25))/(LN(2)/25)*Calculateur!AQ65*Calculateur!AS65*VLOOKUP('Données projet'!$B$10,Paramètres!$A$1:$I$89,3,0)*0.475*44/12</f>
        <v>6.4126965991378606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39.337248981979535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148.4522606780651</v>
      </c>
      <c r="BJ65" s="59">
        <f t="shared" si="38"/>
        <v>332.71193127646211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30.342234548893327</v>
      </c>
      <c r="BQ65" s="21">
        <f>EXP(-LN(2)/25)*BQ64+(1-EXP(-LN(2)/25))/(LN(2)/25)*Calculateur!BL65*Calculateur!BN65*VLOOKUP('Données projet'!$B$11,Paramètres!$A$1:$I$89,3,0)*0.475*44/12</f>
        <v>5.9097400031270508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36.251974552020378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169.76258214884751</v>
      </c>
      <c r="T66" s="59">
        <f t="shared" si="34"/>
        <v>378.2513167340262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34.388655456177354</v>
      </c>
      <c r="AA66" s="21">
        <f>EXP(-LN(2)/25)*AA65+(1-EXP(-LN(2)/25))/(LN(2)/25)*Calculateur!V66*Calculateur!X66*VLOOKUP('Données projet'!$B$9,Paramètres!$A$1:$I$89,3,0)*0.475*44/12</f>
        <v>6.6450104246083477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41.033665880785705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160.0845775223442</v>
      </c>
      <c r="AO66" s="59">
        <f t="shared" si="36"/>
        <v>357.56921474995909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32.278921992608169</v>
      </c>
      <c r="AV66" s="21">
        <f>EXP(-LN(2)/25)*AV65+(1-EXP(-LN(2)/25))/(LN(2)/25)*Calculateur!AQ66*Calculateur!AS66*VLOOKUP('Données projet'!$B$10,Paramètres!$A$1:$I$89,3,0)*0.475*44/12</f>
        <v>6.2373410734053785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38.516263066013551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148.4522606780651</v>
      </c>
      <c r="BJ66" s="59">
        <f t="shared" si="38"/>
        <v>332.71193127646211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29.747241836325195</v>
      </c>
      <c r="BQ66" s="21">
        <f>EXP(-LN(2)/25)*BQ65+(1-EXP(-LN(2)/25))/(LN(2)/25)*Calculateur!BL66*Calculateur!BN66*VLOOKUP('Données projet'!$B$11,Paramètres!$A$1:$I$89,3,0)*0.475*44/12</f>
        <v>5.7481378519618218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35.495379688287017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169.76258214884751</v>
      </c>
      <c r="T67" s="59">
        <f t="shared" si="34"/>
        <v>378.2513167340262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33.714314897690436</v>
      </c>
      <c r="AA67" s="21">
        <f>EXP(-LN(2)/25)*AA66+(1-EXP(-LN(2)/25))/(LN(2)/25)*Calculateur!V67*Calculateur!X67*VLOOKUP('Données projet'!$B$9,Paramètres!$A$1:$I$89,3,0)*0.475*44/12</f>
        <v>6.4633022651015217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40.177617162791961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160.0845775223442</v>
      </c>
      <c r="AO67" s="59">
        <f t="shared" si="36"/>
        <v>357.56921474995909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31.645952020531489</v>
      </c>
      <c r="AV67" s="21">
        <f>EXP(-LN(2)/25)*AV66+(1-EXP(-LN(2)/25))/(LN(2)/25)*Calculateur!AQ67*Calculateur!AS67*VLOOKUP('Données projet'!$B$10,Paramètres!$A$1:$I$89,3,0)*0.475*44/12</f>
        <v>6.0667806537455968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37.712732674277085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148.4522606780651</v>
      </c>
      <c r="BJ67" s="59">
        <f t="shared" si="38"/>
        <v>332.71193127646211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29.163916567940802</v>
      </c>
      <c r="BQ67" s="21">
        <f>EXP(-LN(2)/25)*BQ66+(1-EXP(-LN(2)/25))/(LN(2)/25)*Calculateur!BL67*Calculateur!BN67*VLOOKUP('Données projet'!$B$11,Paramètres!$A$1:$I$89,3,0)*0.475*44/12</f>
        <v>5.5909547201184937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34.754871288059299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169.76258214884751</v>
      </c>
      <c r="T68" s="59">
        <f t="shared" si="34"/>
        <v>378.2513167340262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33.053197746248316</v>
      </c>
      <c r="AA68" s="21">
        <f>EXP(-LN(2)/25)*AA67+(1-EXP(-LN(2)/25))/(LN(2)/25)*Calculateur!V68*Calculateur!X68*VLOOKUP('Données projet'!$B$9,Paramètres!$A$1:$I$89,3,0)*0.475*44/12</f>
        <v>6.2865629247720269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39.339760671020343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160.0845775223442</v>
      </c>
      <c r="AO68" s="59">
        <f t="shared" si="36"/>
        <v>357.56921474995909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31.025394203533672</v>
      </c>
      <c r="AV68" s="21">
        <f>EXP(-LN(2)/25)*AV67+(1-EXP(-LN(2)/25))/(LN(2)/25)*Calculateur!AQ68*Calculateur!AS68*VLOOKUP('Données projet'!$B$10,Paramètres!$A$1:$I$89,3,0)*0.475*44/12</f>
        <v>5.9008842177307947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36.92627842126447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148.4522606780651</v>
      </c>
      <c r="BJ68" s="59">
        <f t="shared" si="38"/>
        <v>332.71193127646211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28.592029952276146</v>
      </c>
      <c r="BQ68" s="21">
        <f>EXP(-LN(2)/25)*BQ67+(1-EXP(-LN(2)/25))/(LN(2)/25)*Calculateur!BL68*Calculateur!BN68*VLOOKUP('Données projet'!$B$11,Paramètres!$A$1:$I$89,3,0)*0.475*44/12</f>
        <v>5.4380697692813227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34.03009972155747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169.76258214884751</v>
      </c>
      <c r="T69" s="59">
        <f t="shared" ref="T69:T132" si="88">$T$3</f>
        <v>378.2513167340262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32.405044698904334</v>
      </c>
      <c r="AA69" s="21">
        <f>EXP(-LN(2)/25)*AA68+(1-EXP(-LN(2)/25))/(LN(2)/25)*Calculateur!V69*Calculateur!X69*VLOOKUP('Données projet'!$B$9,Paramètres!$A$1:$I$89,3,0)*0.475*44/12</f>
        <v>6.1146565309981602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38.519701229902495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160.0845775223442</v>
      </c>
      <c r="AO69" s="59">
        <f t="shared" ref="AO69:AO132" si="90">$AO$3</f>
        <v>357.56921474995909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30.417005146824287</v>
      </c>
      <c r="AV69" s="21">
        <f>EXP(-LN(2)/25)*AV68+(1-EXP(-LN(2)/25))/(LN(2)/25)*Calculateur!AQ69*Calculateur!AS69*VLOOKUP('Données projet'!$B$10,Paramètres!$A$1:$I$89,3,0)*0.475*44/12</f>
        <v>5.7395242284829315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36.156529375307215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148.4522606780651</v>
      </c>
      <c r="BJ69" s="59">
        <f t="shared" ref="BJ69:BJ132" si="92">$BJ$3</f>
        <v>332.71193127646211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28.031357684328281</v>
      </c>
      <c r="BQ69" s="21">
        <f>EXP(-LN(2)/25)*BQ68+(1-EXP(-LN(2)/25))/(LN(2)/25)*Calculateur!BL69*Calculateur!BN69*VLOOKUP('Données projet'!$B$11,Paramètres!$A$1:$I$89,3,0)*0.475*44/12</f>
        <v>5.2893654654646642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33.320723149792947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169.76258214884751</v>
      </c>
      <c r="T70" s="59">
        <f t="shared" si="88"/>
        <v>378.2513167340262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31.769601537484441</v>
      </c>
      <c r="AA70" s="21">
        <f>EXP(-LN(2)/25)*AA69+(1-EXP(-LN(2)/25))/(LN(2)/25)*Calculateur!V70*Calculateur!X70*VLOOKUP('Données projet'!$B$9,Paramètres!$A$1:$I$89,3,0)*0.475*44/12</f>
        <v>5.9474509266022038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37.717052464086642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160.0845775223442</v>
      </c>
      <c r="AO70" s="59">
        <f t="shared" si="90"/>
        <v>357.56921474995909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29.820546228436292</v>
      </c>
      <c r="AV70" s="21">
        <f>EXP(-LN(2)/25)*AV69+(1-EXP(-LN(2)/25))/(LN(2)/25)*Calculateur!AQ70*Calculateur!AS70*VLOOKUP('Données projet'!$B$10,Paramètres!$A$1:$I$89,3,0)*0.475*44/12</f>
        <v>5.5825766366266043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35.403122865062898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148.4522606780651</v>
      </c>
      <c r="BJ70" s="59">
        <f t="shared" si="92"/>
        <v>332.71193127646211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27.481679857578559</v>
      </c>
      <c r="BQ70" s="21">
        <f>EXP(-LN(2)/25)*BQ69+(1-EXP(-LN(2)/25))/(LN(2)/25)*Calculateur!BL70*Calculateur!BN70*VLOOKUP('Données projet'!$B$11,Paramètres!$A$1:$I$89,3,0)*0.475*44/12</f>
        <v>5.1447274886558922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32.626407346234451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169.76258214884751</v>
      </c>
      <c r="T71" s="59">
        <f t="shared" si="88"/>
        <v>378.2513167340262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31.146619028877936</v>
      </c>
      <c r="AA71" s="21">
        <f>EXP(-LN(2)/25)*AA70+(1-EXP(-LN(2)/25))/(LN(2)/25)*Calculateur!V71*Calculateur!X71*VLOOKUP('Données projet'!$B$9,Paramètres!$A$1:$I$89,3,0)*0.475*44/12</f>
        <v>5.7848175682514151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36.931436597129348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160.0845775223442</v>
      </c>
      <c r="AO71" s="59">
        <f t="shared" si="90"/>
        <v>357.56921474995909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29.235783505633869</v>
      </c>
      <c r="AV71" s="21">
        <f>EXP(-LN(2)/25)*AV70+(1-EXP(-LN(2)/25))/(LN(2)/25)*Calculateur!AQ71*Calculateur!AS71*VLOOKUP('Données projet'!$B$10,Paramètres!$A$1:$I$89,3,0)*0.475*44/12</f>
        <v>5.4299207849231035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34.665704290556974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148.4522606780651</v>
      </c>
      <c r="BJ71" s="59">
        <f t="shared" si="92"/>
        <v>332.71193127646211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26.942780877741029</v>
      </c>
      <c r="BQ71" s="21">
        <f>EXP(-LN(2)/25)*BQ70+(1-EXP(-LN(2)/25))/(LN(2)/25)*Calculateur!BL71*Calculateur!BN71*VLOOKUP('Données projet'!$B$11,Paramètres!$A$1:$I$89,3,0)*0.475*44/12</f>
        <v>5.0040446449291363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31.946825522670167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169.76258214884751</v>
      </c>
      <c r="T72" s="59">
        <f t="shared" si="88"/>
        <v>378.2513167340262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30.535852827283392</v>
      </c>
      <c r="AA72" s="21">
        <f>EXP(-LN(2)/25)*AA71+(1-EXP(-LN(2)/25))/(LN(2)/25)*Calculateur!V72*Calculateur!X72*VLOOKUP('Données projet'!$B$9,Paramètres!$A$1:$I$89,3,0)*0.475*44/12</f>
        <v>5.6266314276372453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36.162484254920635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160.0845775223442</v>
      </c>
      <c r="AO72" s="59">
        <f t="shared" si="90"/>
        <v>357.56921474995909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28.662487623155556</v>
      </c>
      <c r="AV72" s="21">
        <f>EXP(-LN(2)/25)*AV71+(1-EXP(-LN(2)/25))/(LN(2)/25)*Calculateur!AQ72*Calculateur!AS72*VLOOKUP('Données projet'!$B$10,Paramètres!$A$1:$I$89,3,0)*0.475*44/12</f>
        <v>5.281439315512257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33.943926938667815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148.4522606780651</v>
      </c>
      <c r="BJ72" s="59">
        <f t="shared" si="92"/>
        <v>332.71193127646211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26.414449378202193</v>
      </c>
      <c r="BQ72" s="21">
        <f>EXP(-LN(2)/25)*BQ71+(1-EXP(-LN(2)/25))/(LN(2)/25)*Calculateur!BL72*Calculateur!BN72*VLOOKUP('Données projet'!$B$11,Paramètres!$A$1:$I$89,3,0)*0.475*44/12</f>
        <v>4.8672087809622777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31.281658159164472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169.76258214884751</v>
      </c>
      <c r="T73" s="59">
        <f t="shared" si="88"/>
        <v>378.2513167340262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29.937063378371519</v>
      </c>
      <c r="AA73" s="21">
        <f>EXP(-LN(2)/25)*AA72+(1-EXP(-LN(2)/25))/(LN(2)/25)*Calculateur!V73*Calculateur!X73*VLOOKUP('Données projet'!$B$9,Paramètres!$A$1:$I$89,3,0)*0.475*44/12</f>
        <v>5.4727708953568177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35.409834273728336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160.0845775223442</v>
      </c>
      <c r="AO73" s="59">
        <f t="shared" si="90"/>
        <v>357.56921474995909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28.100433723256682</v>
      </c>
      <c r="AV73" s="21">
        <f>EXP(-LN(2)/25)*AV72+(1-EXP(-LN(2)/25))/(LN(2)/25)*Calculateur!AQ73*Calculateur!AS73*VLOOKUP('Données projet'!$B$10,Paramètres!$A$1:$I$89,3,0)*0.475*44/12</f>
        <v>5.1370180796907512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33.237451802947433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148.4522606780651</v>
      </c>
      <c r="BJ73" s="59">
        <f t="shared" si="92"/>
        <v>332.71193127646211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25.896478137118915</v>
      </c>
      <c r="BQ73" s="21">
        <f>EXP(-LN(2)/25)*BQ72+(1-EXP(-LN(2)/25))/(LN(2)/25)*Calculateur!BL73*Calculateur!BN73*VLOOKUP('Données projet'!$B$11,Paramètres!$A$1:$I$89,3,0)*0.475*44/12</f>
        <v>4.734114700891479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30.630592838010394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169.76258214884751</v>
      </c>
      <c r="T74" s="59">
        <f t="shared" si="88"/>
        <v>378.2513167340262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29.350015825327308</v>
      </c>
      <c r="AA74" s="21">
        <f>EXP(-LN(2)/25)*AA73+(1-EXP(-LN(2)/25))/(LN(2)/25)*Calculateur!V74*Calculateur!X74*VLOOKUP('Données projet'!$B$9,Paramètres!$A$1:$I$89,3,0)*0.475*44/12</f>
        <v>5.3231176874227719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34.673133512750077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160.0845775223442</v>
      </c>
      <c r="AO74" s="59">
        <f t="shared" si="90"/>
        <v>357.56921474995909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27.549401357515798</v>
      </c>
      <c r="AV74" s="21">
        <f>EXP(-LN(2)/25)*AV73+(1-EXP(-LN(2)/25))/(LN(2)/25)*Calculateur!AQ74*Calculateur!AS74*VLOOKUP('Données projet'!$B$10,Paramètres!$A$1:$I$89,3,0)*0.475*44/12</f>
        <v>4.9965460501575674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32.545947407673367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148.4522606780651</v>
      </c>
      <c r="BJ74" s="59">
        <f t="shared" si="92"/>
        <v>332.71193127646211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25.388663996142022</v>
      </c>
      <c r="BQ74" s="21">
        <f>EXP(-LN(2)/25)*BQ73+(1-EXP(-LN(2)/25))/(LN(2)/25)*Calculateur!BL74*Calculateur!BN74*VLOOKUP('Données projet'!$B$11,Paramètres!$A$1:$I$89,3,0)*0.475*44/12</f>
        <v>4.6046600854393294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29.993324081581349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169.76258214884751</v>
      </c>
      <c r="T75" s="59">
        <f t="shared" si="88"/>
        <v>378.2513167340262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28.774479916734641</v>
      </c>
      <c r="AA75" s="21">
        <f>EXP(-LN(2)/25)*AA74+(1-EXP(-LN(2)/25))/(LN(2)/25)*Calculateur!V75*Calculateur!X75*VLOOKUP('Données projet'!$B$9,Paramètres!$A$1:$I$89,3,0)*0.475*44/12</f>
        <v>5.1775567543296033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33.952036671064242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160.0845775223442</v>
      </c>
      <c r="AO75" s="59">
        <f t="shared" si="90"/>
        <v>357.56921474995909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27.009174400370537</v>
      </c>
      <c r="AV75" s="21">
        <f>EXP(-LN(2)/25)*AV74+(1-EXP(-LN(2)/25))/(LN(2)/25)*Calculateur!AQ75*Calculateur!AS75*VLOOKUP('Données projet'!$B$10,Paramètres!$A$1:$I$89,3,0)*0.475*44/12</f>
        <v>4.8599152356590718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31.869089636029607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148.4522606780651</v>
      </c>
      <c r="BJ75" s="59">
        <f t="shared" si="92"/>
        <v>332.71193127646211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24.890807780733642</v>
      </c>
      <c r="BQ75" s="21">
        <f>EXP(-LN(2)/25)*BQ74+(1-EXP(-LN(2)/25))/(LN(2)/25)*Calculateur!BL75*Calculateur!BN75*VLOOKUP('Données projet'!$B$11,Paramètres!$A$1:$I$89,3,0)*0.475*44/12</f>
        <v>4.4787454132544413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29.369553193988082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169.76258214884751</v>
      </c>
      <c r="T76" s="59">
        <f t="shared" si="88"/>
        <v>378.2513167340262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28.210229916267238</v>
      </c>
      <c r="AA76" s="21">
        <f>EXP(-LN(2)/25)*AA75+(1-EXP(-LN(2)/25))/(LN(2)/25)*Calculateur!V76*Calculateur!X76*VLOOKUP('Données projet'!$B$9,Paramètres!$A$1:$I$89,3,0)*0.475*44/12</f>
        <v>5.0359761926065838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33.246206108873821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160.0845775223442</v>
      </c>
      <c r="AO76" s="59">
        <f t="shared" si="90"/>
        <v>357.56921474995909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26.479540964348985</v>
      </c>
      <c r="AV76" s="21">
        <f>EXP(-LN(2)/25)*AV75+(1-EXP(-LN(2)/25))/(LN(2)/25)*Calculateur!AQ76*Calculateur!AS76*VLOOKUP('Données projet'!$B$10,Paramètres!$A$1:$I$89,3,0)*0.475*44/12</f>
        <v>4.7270205979681394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31.206561562317123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148.4522606780651</v>
      </c>
      <c r="BJ76" s="59">
        <f t="shared" si="92"/>
        <v>332.71193127646211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24.402714222047113</v>
      </c>
      <c r="BQ76" s="21">
        <f>EXP(-LN(2)/25)*BQ75+(1-EXP(-LN(2)/25))/(LN(2)/25)*Calculateur!BL76*Calculateur!BN76*VLOOKUP('Données projet'!$B$11,Paramètres!$A$1:$I$89,3,0)*0.475*44/12</f>
        <v>4.3562738844020137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28.758988106449127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169.76258214884751</v>
      </c>
      <c r="T77" s="59">
        <f t="shared" si="88"/>
        <v>378.2513167340262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27.657044514150481</v>
      </c>
      <c r="AA77" s="21">
        <f>EXP(-LN(2)/25)*AA76+(1-EXP(-LN(2)/25))/(LN(2)/25)*Calculateur!V77*Calculateur!X77*VLOOKUP('Données projet'!$B$9,Paramètres!$A$1:$I$89,3,0)*0.475*44/12</f>
        <v>4.8982671587892783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32.555311672939759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160.0845775223442</v>
      </c>
      <c r="AO77" s="59">
        <f t="shared" si="90"/>
        <v>357.56921474995909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25.96029331696332</v>
      </c>
      <c r="AV77" s="21">
        <f>EXP(-LN(2)/25)*AV76+(1-EXP(-LN(2)/25))/(LN(2)/25)*Calculateur!AQ77*Calculateur!AS77*VLOOKUP('Données projet'!$B$10,Paramètres!$A$1:$I$89,3,0)*0.475*44/12</f>
        <v>4.5977599711334909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30.558053288096811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148.4522606780651</v>
      </c>
      <c r="BJ77" s="59">
        <f t="shared" si="92"/>
        <v>332.71193127646211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23.924191880338753</v>
      </c>
      <c r="BQ77" s="21">
        <f>EXP(-LN(2)/25)*BQ76+(1-EXP(-LN(2)/25))/(LN(2)/25)*Calculateur!BL77*Calculateur!BN77*VLOOKUP('Données projet'!$B$11,Paramètres!$A$1:$I$89,3,0)*0.475*44/12</f>
        <v>4.2371513459465531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28.161343226285307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169.76258214884751</v>
      </c>
      <c r="T78" s="59">
        <f t="shared" si="88"/>
        <v>378.2513167340262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27.114706740359455</v>
      </c>
      <c r="AA78" s="21">
        <f>EXP(-LN(2)/25)*AA77+(1-EXP(-LN(2)/25))/(LN(2)/25)*Calculateur!V78*Calculateur!X78*VLOOKUP('Données projet'!$B$9,Paramètres!$A$1:$I$89,3,0)*0.475*44/12</f>
        <v>4.7643237857435103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31.879030526102966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160.0845775223442</v>
      </c>
      <c r="AO78" s="59">
        <f t="shared" si="90"/>
        <v>357.56921474995909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25.451227799233095</v>
      </c>
      <c r="AV78" s="21">
        <f>EXP(-LN(2)/25)*AV77+(1-EXP(-LN(2)/25))/(LN(2)/25)*Calculateur!AQ78*Calculateur!AS78*VLOOKUP('Données projet'!$B$10,Paramètres!$A$1:$I$89,3,0)*0.475*44/12</f>
        <v>4.4720339829371571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29.92326178217025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148.4522606780651</v>
      </c>
      <c r="BJ78" s="59">
        <f t="shared" si="92"/>
        <v>332.71193127646211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23.455053069881487</v>
      </c>
      <c r="BQ78" s="21">
        <f>EXP(-LN(2)/25)*BQ77+(1-EXP(-LN(2)/25))/(LN(2)/25)*Calculateur!BL78*Calculateur!BN78*VLOOKUP('Données projet'!$B$11,Paramètres!$A$1:$I$89,3,0)*0.475*44/12</f>
        <v>4.121286219569539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27.576339289451028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169.76258214884751</v>
      </c>
      <c r="T79" s="59">
        <f t="shared" si="88"/>
        <v>378.2513167340262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26.583003879519094</v>
      </c>
      <c r="AA79" s="21">
        <f>EXP(-LN(2)/25)*AA78+(1-EXP(-LN(2)/25))/(LN(2)/25)*Calculateur!V79*Calculateur!X79*VLOOKUP('Données projet'!$B$9,Paramètres!$A$1:$I$89,3,0)*0.475*44/12</f>
        <v>4.634043101277455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31.21704698079655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160.0845775223442</v>
      </c>
      <c r="AO79" s="59">
        <f t="shared" si="90"/>
        <v>357.56921474995909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24.952144745806251</v>
      </c>
      <c r="AV79" s="21">
        <f>EXP(-LN(2)/25)*AV78+(1-EXP(-LN(2)/25))/(LN(2)/25)*Calculateur!AQ79*Calculateur!AS79*VLOOKUP('Données projet'!$B$10,Paramètres!$A$1:$I$89,3,0)*0.475*44/12</f>
        <v>4.3497459784996941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29.301890724305945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148.4522606780651</v>
      </c>
      <c r="BJ79" s="59">
        <f t="shared" si="92"/>
        <v>332.71193127646211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22.995113785350867</v>
      </c>
      <c r="BQ79" s="21">
        <f>EXP(-LN(2)/25)*BQ78+(1-EXP(-LN(2)/25))/(LN(2)/25)*Calculateur!BL79*Calculateur!BN79*VLOOKUP('Données projet'!$B$11,Paramètres!$A$1:$I$89,3,0)*0.475*44/12</f>
        <v>4.0085894311663868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27.003703216517252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169.76258214884751</v>
      </c>
      <c r="T80" s="59">
        <f t="shared" si="88"/>
        <v>378.2513167340262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26.061727387473088</v>
      </c>
      <c r="AA80" s="21">
        <f>EXP(-LN(2)/25)*AA79+(1-EXP(-LN(2)/25))/(LN(2)/25)*Calculateur!V80*Calculateur!X80*VLOOKUP('Données projet'!$B$9,Paramètres!$A$1:$I$89,3,0)*0.475*44/12</f>
        <v>4.5073249489792877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30.569052336452376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160.0845775223442</v>
      </c>
      <c r="AO80" s="59">
        <f t="shared" si="90"/>
        <v>357.56921474995909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24.462848406646504</v>
      </c>
      <c r="AV80" s="21">
        <f>EXP(-LN(2)/25)*AV79+(1-EXP(-LN(2)/25))/(LN(2)/25)*Calculateur!AQ80*Calculateur!AS80*VLOOKUP('Données projet'!$B$10,Paramètres!$A$1:$I$89,3,0)*0.475*44/12</f>
        <v>4.2308019459744202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28.693650352620924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148.4522606780651</v>
      </c>
      <c r="BJ80" s="59">
        <f t="shared" si="92"/>
        <v>332.71193127646211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22.544193629654629</v>
      </c>
      <c r="BQ80" s="21">
        <f>EXP(-LN(2)/25)*BQ79+(1-EXP(-LN(2)/25))/(LN(2)/25)*Calculateur!BL80*Calculateur!BN80*VLOOKUP('Données projet'!$B$11,Paramètres!$A$1:$I$89,3,0)*0.475*44/12</f>
        <v>3.8989743423685854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26.443167972023215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169.76258214884751</v>
      </c>
      <c r="T81" s="59">
        <f t="shared" si="88"/>
        <v>378.2513167340262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25.550672809488837</v>
      </c>
      <c r="AA81" s="21">
        <f>EXP(-LN(2)/25)*AA80+(1-EXP(-LN(2)/25))/(LN(2)/25)*Calculateur!V81*Calculateur!X81*VLOOKUP('Données projet'!$B$9,Paramètres!$A$1:$I$89,3,0)*0.475*44/12</f>
        <v>4.3840719112195314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29.93474472070837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160.0845775223442</v>
      </c>
      <c r="AO81" s="59">
        <f t="shared" si="90"/>
        <v>357.56921474995909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23.98314687025638</v>
      </c>
      <c r="AV81" s="21">
        <f>EXP(-LN(2)/25)*AV80+(1-EXP(-LN(2)/25))/(LN(2)/25)*Calculateur!AQ81*Calculateur!AS81*VLOOKUP('Données projet'!$B$10,Paramètres!$A$1:$I$89,3,0)*0.475*44/12</f>
        <v>4.1151104442735447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28.098257314529924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148.4522606780651</v>
      </c>
      <c r="BJ81" s="59">
        <f t="shared" si="92"/>
        <v>332.71193127646211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22.102115743177457</v>
      </c>
      <c r="BQ81" s="21">
        <f>EXP(-LN(2)/25)*BQ80+(1-EXP(-LN(2)/25))/(LN(2)/25)*Calculateur!BL81*Calculateur!BN81*VLOOKUP('Données projet'!$B$11,Paramètres!$A$1:$I$89,3,0)*0.475*44/12</f>
        <v>3.7923566839383671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25.894472427115822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169.76258214884751</v>
      </c>
      <c r="T82" s="59">
        <f t="shared" si="88"/>
        <v>378.2513167340262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25.049639700066347</v>
      </c>
      <c r="AA82" s="21">
        <f>EXP(-LN(2)/25)*AA81+(1-EXP(-LN(2)/25))/(LN(2)/25)*Calculateur!V82*Calculateur!X82*VLOOKUP('Données projet'!$B$9,Paramètres!$A$1:$I$89,3,0)*0.475*44/12</f>
        <v>4.2641892342589118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29.313828934325258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160.0845775223442</v>
      </c>
      <c r="AO82" s="59">
        <f t="shared" si="90"/>
        <v>357.56921474995909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23.512851988405821</v>
      </c>
      <c r="AV82" s="21">
        <f>EXP(-LN(2)/25)*AV81+(1-EXP(-LN(2)/25))/(LN(2)/25)*Calculateur!AQ82*Calculateur!AS82*VLOOKUP('Données projet'!$B$10,Paramètres!$A$1:$I$89,3,0)*0.475*44/12</f>
        <v>4.0025825327706315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27.515434521176452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148.4522606780651</v>
      </c>
      <c r="BJ82" s="59">
        <f t="shared" si="92"/>
        <v>332.71193127646211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21.668706734413217</v>
      </c>
      <c r="BQ82" s="21">
        <f>EXP(-LN(2)/25)*BQ81+(1-EXP(-LN(2)/25))/(LN(2)/25)*Calculateur!BL82*Calculateur!BN82*VLOOKUP('Données projet'!$B$11,Paramètres!$A$1:$I$89,3,0)*0.475*44/12</f>
        <v>3.6886544909847019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25.35736122539792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169.76258214884751</v>
      </c>
      <c r="T83" s="59">
        <f t="shared" si="88"/>
        <v>378.2513167340262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24.55843154431961</v>
      </c>
      <c r="AA83" s="21">
        <f>EXP(-LN(2)/25)*AA82+(1-EXP(-LN(2)/25))/(LN(2)/25)*Calculateur!V83*Calculateur!X83*VLOOKUP('Données projet'!$B$9,Paramètres!$A$1:$I$89,3,0)*0.475*44/12</f>
        <v>4.1475847554041358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28.706016299723746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160.0845775223442</v>
      </c>
      <c r="AO83" s="59">
        <f t="shared" si="90"/>
        <v>357.56921474995909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23.051779302336797</v>
      </c>
      <c r="AV83" s="21">
        <f>EXP(-LN(2)/25)*AV82+(1-EXP(-LN(2)/25))/(LN(2)/25)*Calculateur!AQ83*Calculateur!AS83*VLOOKUP('Données projet'!$B$10,Paramètres!$A$1:$I$89,3,0)*0.475*44/12</f>
        <v>3.8931317029253512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26.944911005262149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148.4522606780651</v>
      </c>
      <c r="BJ83" s="59">
        <f t="shared" si="92"/>
        <v>332.71193127646211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21.24379661195745</v>
      </c>
      <c r="BQ83" s="21">
        <f>EXP(-LN(2)/25)*BQ82+(1-EXP(-LN(2)/25))/(LN(2)/25)*Calculateur!BL83*Calculateur!BN83*VLOOKUP('Données projet'!$B$11,Paramètres!$A$1:$I$89,3,0)*0.475*44/12</f>
        <v>3.5877880399508162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24.831584651908265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169.76258214884751</v>
      </c>
      <c r="T84" s="59">
        <f t="shared" si="88"/>
        <v>378.2513167340262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24.076855680899676</v>
      </c>
      <c r="AA84" s="21">
        <f>EXP(-LN(2)/25)*AA83+(1-EXP(-LN(2)/25))/(LN(2)/25)*Calculateur!V84*Calculateur!X84*VLOOKUP('Données projet'!$B$9,Paramètres!$A$1:$I$89,3,0)*0.475*44/12</f>
        <v>4.0341688321556068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28.111024513055284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160.0845775223442</v>
      </c>
      <c r="AO84" s="59">
        <f t="shared" si="90"/>
        <v>357.56921474995909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22.599747970415017</v>
      </c>
      <c r="AV84" s="21">
        <f>EXP(-LN(2)/25)*AV83+(1-EXP(-LN(2)/25))/(LN(2)/25)*Calculateur!AQ84*Calculateur!AS84*VLOOKUP('Données projet'!$B$10,Paramètres!$A$1:$I$89,3,0)*0.475*44/12</f>
        <v>3.786673811777959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26.386421782192976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148.4522606780651</v>
      </c>
      <c r="BJ84" s="59">
        <f t="shared" si="92"/>
        <v>332.71193127646211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20.827218717833457</v>
      </c>
      <c r="BQ84" s="21">
        <f>EXP(-LN(2)/25)*BQ83+(1-EXP(-LN(2)/25))/(LN(2)/25)*Calculateur!BL84*Calculateur!BN84*VLOOKUP('Données projet'!$B$11,Paramètres!$A$1:$I$89,3,0)*0.475*44/12</f>
        <v>3.4896797873247882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24.316898505158246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169.76258214884751</v>
      </c>
      <c r="T85" s="59">
        <f t="shared" si="88"/>
        <v>378.2513167340262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23.604723226429133</v>
      </c>
      <c r="AA85" s="21">
        <f>EXP(-LN(2)/25)*AA84+(1-EXP(-LN(2)/25))/(LN(2)/25)*Calculateur!V85*Calculateur!X85*VLOOKUP('Données projet'!$B$9,Paramètres!$A$1:$I$89,3,0)*0.475*44/12</f>
        <v>3.923854273292593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27.528577499721727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160.0845775223442</v>
      </c>
      <c r="AO85" s="59">
        <f t="shared" si="90"/>
        <v>357.56921474995909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22.156580697200337</v>
      </c>
      <c r="AV85" s="21">
        <f>EXP(-LN(2)/25)*AV84+(1-EXP(-LN(2)/25))/(LN(2)/25)*Calculateur!AQ85*Calculateur!AS85*VLOOKUP('Données projet'!$B$10,Paramètres!$A$1:$I$89,3,0)*0.475*44/12</f>
        <v>3.6831270172623696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25.839707714462705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148.4522606780651</v>
      </c>
      <c r="BJ85" s="59">
        <f t="shared" si="92"/>
        <v>332.71193127646211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20.41880966212581</v>
      </c>
      <c r="BQ85" s="21">
        <f>EXP(-LN(2)/25)*BQ84+(1-EXP(-LN(2)/25))/(LN(2)/25)*Calculateur!BL85*Calculateur!BN85*VLOOKUP('Données projet'!$B$11,Paramètres!$A$1:$I$89,3,0)*0.475*44/12</f>
        <v>3.3942543100261076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23.813063972151916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169.76258214884751</v>
      </c>
      <c r="T86" s="59">
        <f t="shared" si="88"/>
        <v>378.2513167340262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23.141849001418397</v>
      </c>
      <c r="AA86" s="21">
        <f>EXP(-LN(2)/25)*AA85+(1-EXP(-LN(2)/25))/(LN(2)/25)*Calculateur!V86*Calculateur!X86*VLOOKUP('Données projet'!$B$9,Paramètres!$A$1:$I$89,3,0)*0.475*44/12</f>
        <v>3.8165562718428787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26.958405273261274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160.0845775223442</v>
      </c>
      <c r="AO86" s="59">
        <f t="shared" si="90"/>
        <v>357.56921474995909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21.722103663908047</v>
      </c>
      <c r="AV86" s="21">
        <f>EXP(-LN(2)/25)*AV85+(1-EXP(-LN(2)/25))/(LN(2)/25)*Calculateur!AQ86*Calculateur!AS86*VLOOKUP('Données projet'!$B$10,Paramètres!$A$1:$I$89,3,0)*0.475*44/12</f>
        <v>3.5824117152880981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25.304515379196147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148.4522606780651</v>
      </c>
      <c r="BJ86" s="59">
        <f t="shared" si="92"/>
        <v>332.71193127646211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20.018409258895662</v>
      </c>
      <c r="BQ86" s="21">
        <f>EXP(-LN(2)/25)*BQ85+(1-EXP(-LN(2)/25))/(LN(2)/25)*Calculateur!BL86*Calculateur!BN86*VLOOKUP('Données projet'!$B$11,Paramètres!$A$1:$I$89,3,0)*0.475*44/12</f>
        <v>3.3014382474223671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23.31984750631803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169.76258214884751</v>
      </c>
      <c r="T87" s="59">
        <f t="shared" si="88"/>
        <v>378.2513167340262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22.688051457634717</v>
      </c>
      <c r="AA87" s="21">
        <f>EXP(-LN(2)/25)*AA86+(1-EXP(-LN(2)/25))/(LN(2)/25)*Calculateur!V87*Calculateur!X87*VLOOKUP('Données projet'!$B$9,Paramètres!$A$1:$I$89,3,0)*0.475*44/12</f>
        <v>3.7121923398853638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26.40024379752008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160.0845775223442</v>
      </c>
      <c r="AO87" s="59">
        <f t="shared" si="90"/>
        <v>357.56921474995909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21.2961464602338</v>
      </c>
      <c r="AV87" s="21">
        <f>EXP(-LN(2)/25)*AV86+(1-EXP(-LN(2)/25))/(LN(2)/25)*Calculateur!AQ87*Calculateur!AS87*VLOOKUP('Données projet'!$B$10,Paramètres!$A$1:$I$89,3,0)*0.475*44/12</f>
        <v>3.4844504785427008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24.780596938776501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148.4522606780651</v>
      </c>
      <c r="BJ87" s="59">
        <f t="shared" si="92"/>
        <v>332.71193127646211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19.625860463352726</v>
      </c>
      <c r="BQ87" s="21">
        <f>EXP(-LN(2)/25)*BQ86+(1-EXP(-LN(2)/25))/(LN(2)/25)*Calculateur!BL87*Calculateur!BN87*VLOOKUP('Données projet'!$B$11,Paramètres!$A$1:$I$89,3,0)*0.475*44/12</f>
        <v>3.2111602449315106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22.837020708284236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169.76258214884751</v>
      </c>
      <c r="T88" s="59">
        <f t="shared" si="88"/>
        <v>378.2513167340262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22.243152606895467</v>
      </c>
      <c r="AA88" s="21">
        <f>EXP(-LN(2)/25)*AA87+(1-EXP(-LN(2)/25))/(LN(2)/25)*Calculateur!V88*Calculateur!X88*VLOOKUP('Données projet'!$B$9,Paramètres!$A$1:$I$89,3,0)*0.475*44/12</f>
        <v>3.6106822451354876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25.853834852030957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160.0845775223442</v>
      </c>
      <c r="AO88" s="59">
        <f t="shared" si="90"/>
        <v>357.56921474995909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20.878542017515361</v>
      </c>
      <c r="AV88" s="21">
        <f>EXP(-LN(2)/25)*AV87+(1-EXP(-LN(2)/25))/(LN(2)/25)*Calculateur!AQ88*Calculateur!AS88*VLOOKUP('Données projet'!$B$10,Paramètres!$A$1:$I$89,3,0)*0.475*44/12</f>
        <v>3.389167996967664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24.267710014483026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148.4522606780651</v>
      </c>
      <c r="BJ88" s="59">
        <f t="shared" si="92"/>
        <v>332.71193127646211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19.241009310259265</v>
      </c>
      <c r="BQ88" s="21">
        <f>EXP(-LN(2)/25)*BQ87+(1-EXP(-LN(2)/25))/(LN(2)/25)*Calculateur!BL88*Calculateur!BN88*VLOOKUP('Données projet'!$B$11,Paramètres!$A$1:$I$89,3,0)*0.475*44/12</f>
        <v>3.1233508991662804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22.364360209425545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169.76258214884751</v>
      </c>
      <c r="T89" s="59">
        <f t="shared" si="88"/>
        <v>378.2513167340262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21.806977951257711</v>
      </c>
      <c r="AA89" s="21">
        <f>EXP(-LN(2)/25)*AA88+(1-EXP(-LN(2)/25))/(LN(2)/25)*Calculateur!V89*Calculateur!X89*VLOOKUP('Données projet'!$B$9,Paramètres!$A$1:$I$89,3,0)*0.475*44/12</f>
        <v>3.511947949264731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25.318925900522441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160.0845775223442</v>
      </c>
      <c r="AO89" s="59">
        <f t="shared" si="90"/>
        <v>357.56921474995909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20.469126543205071</v>
      </c>
      <c r="AV89" s="21">
        <f>EXP(-LN(2)/25)*AV88+(1-EXP(-LN(2)/25))/(LN(2)/25)*Calculateur!AQ89*Calculateur!AS89*VLOOKUP('Données projet'!$B$10,Paramètres!$A$1:$I$89,3,0)*0.475*44/12</f>
        <v>3.2964910198619841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23.765617563067057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148.4522606780651</v>
      </c>
      <c r="BJ89" s="59">
        <f t="shared" si="92"/>
        <v>332.71193127646211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18.86370485354194</v>
      </c>
      <c r="BQ89" s="21">
        <f>EXP(-LN(2)/25)*BQ88+(1-EXP(-LN(2)/25))/(LN(2)/25)*Calculateur!BL89*Calculateur!BN89*VLOOKUP('Données projet'!$B$11,Paramètres!$A$1:$I$89,3,0)*0.475*44/12</f>
        <v>3.0379427045786933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21.901647558120633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169.76258214884751</v>
      </c>
      <c r="T90" s="59">
        <f t="shared" si="88"/>
        <v>378.2513167340262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21.379356414576737</v>
      </c>
      <c r="AA90" s="21">
        <f>EXP(-LN(2)/25)*AA89+(1-EXP(-LN(2)/25))/(LN(2)/25)*Calculateur!V90*Calculateur!X90*VLOOKUP('Données projet'!$B$9,Paramètres!$A$1:$I$89,3,0)*0.475*44/12</f>
        <v>3.4159135479067708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24.795269962483509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160.0845775223442</v>
      </c>
      <c r="AO90" s="59">
        <f t="shared" si="90"/>
        <v>357.56921474995909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20.067739456627226</v>
      </c>
      <c r="AV90" s="21">
        <f>EXP(-LN(2)/25)*AV89+(1-EXP(-LN(2)/25))/(LN(2)/25)*Calculateur!AQ90*Calculateur!AS90*VLOOKUP('Données projet'!$B$10,Paramètres!$A$1:$I$89,3,0)*0.475*44/12</f>
        <v>3.2063482995689299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23.274087756196156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148.4522606780651</v>
      </c>
      <c r="BJ90" s="59">
        <f t="shared" si="92"/>
        <v>332.71193127646211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18.493799107087845</v>
      </c>
      <c r="BQ90" s="21">
        <f>EXP(-LN(2)/25)*BQ89+(1-EXP(-LN(2)/25))/(LN(2)/25)*Calculateur!BL90*Calculateur!BN90*VLOOKUP('Données projet'!$B$11,Paramètres!$A$1:$I$89,3,0)*0.475*44/12</f>
        <v>2.9548700015635254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21.448669108651369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169.76258214884751</v>
      </c>
      <c r="T91" s="59">
        <f t="shared" si="88"/>
        <v>378.2513167340262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20.960120275406695</v>
      </c>
      <c r="AA91" s="21">
        <f>EXP(-LN(2)/25)*AA90+(1-EXP(-LN(2)/25))/(LN(2)/25)*Calculateur!V91*Calculateur!X91*VLOOKUP('Données projet'!$B$9,Paramètres!$A$1:$I$89,3,0)*0.475*44/12</f>
        <v>3.3225052123041738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24.282625487710867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160.0845775223442</v>
      </c>
      <c r="AO91" s="59">
        <f t="shared" si="90"/>
        <v>357.56921474995909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19.674223325995225</v>
      </c>
      <c r="AV91" s="21">
        <f>EXP(-LN(2)/25)*AV90+(1-EXP(-LN(2)/25))/(LN(2)/25)*Calculateur!AQ91*Calculateur!AS91*VLOOKUP('Données projet'!$B$10,Paramètres!$A$1:$I$89,3,0)*0.475*44/12</f>
        <v>3.1186705367026888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22.792893862697913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148.4522606780651</v>
      </c>
      <c r="BJ91" s="59">
        <f t="shared" si="92"/>
        <v>332.71193127646211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18.131146986701491</v>
      </c>
      <c r="BQ91" s="21">
        <f>EXP(-LN(2)/25)*BQ90+(1-EXP(-LN(2)/25))/(LN(2)/25)*Calculateur!BL91*Calculateur!BN91*VLOOKUP('Données projet'!$B$11,Paramètres!$A$1:$I$89,3,0)*0.475*44/12</f>
        <v>2.8740689259809109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21.005215912682402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169.76258214884751</v>
      </c>
      <c r="T92" s="59">
        <f t="shared" si="88"/>
        <v>378.2513167340262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20.549105101216981</v>
      </c>
      <c r="AA92" s="21">
        <f>EXP(-LN(2)/25)*AA91+(1-EXP(-LN(2)/25))/(LN(2)/25)*Calculateur!V92*Calculateur!X92*VLOOKUP('Données projet'!$B$9,Paramètres!$A$1:$I$89,3,0)*0.475*44/12</f>
        <v>3.2316511325507609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23.78075623376774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160.0845775223442</v>
      </c>
      <c r="AO92" s="59">
        <f t="shared" si="90"/>
        <v>357.56921474995909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19.288423806663776</v>
      </c>
      <c r="AV92" s="21">
        <f>EXP(-LN(2)/25)*AV91+(1-EXP(-LN(2)/25))/(LN(2)/25)*Calculateur!AQ92*Calculateur!AS92*VLOOKUP('Données projet'!$B$10,Paramètres!$A$1:$I$89,3,0)*0.475*44/12</f>
        <v>3.033390326872798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22.321814133536574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148.4522606780651</v>
      </c>
      <c r="BJ92" s="59">
        <f t="shared" si="92"/>
        <v>332.71193127646211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17.77560625319996</v>
      </c>
      <c r="BQ92" s="21">
        <f>EXP(-LN(2)/25)*BQ91+(1-EXP(-LN(2)/25))/(LN(2)/25)*Calculateur!BL92*Calculateur!BN92*VLOOKUP('Données projet'!$B$11,Paramètres!$A$1:$I$89,3,0)*0.475*44/12</f>
        <v>2.7954773600592469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20.571083613259209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169.76258214884751</v>
      </c>
      <c r="T93" s="59">
        <f t="shared" si="88"/>
        <v>378.2513167340262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20.146149683898624</v>
      </c>
      <c r="AA93" s="21">
        <f>EXP(-LN(2)/25)*AA92+(1-EXP(-LN(2)/25))/(LN(2)/25)*Calculateur!V93*Calculateur!X93*VLOOKUP('Données projet'!$B$9,Paramètres!$A$1:$I$89,3,0)*0.475*44/12</f>
        <v>3.1432814623860135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23.289431146284638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160.0845775223442</v>
      </c>
      <c r="AO93" s="59">
        <f t="shared" si="90"/>
        <v>357.56921474995909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18.910189580591947</v>
      </c>
      <c r="AV93" s="21">
        <f>EXP(-LN(2)/25)*AV92+(1-EXP(-LN(2)/25))/(LN(2)/25)*Calculateur!AQ93*Calculateur!AS93*VLOOKUP('Données projet'!$B$10,Paramètres!$A$1:$I$89,3,0)*0.475*44/12</f>
        <v>2.9504421088653969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21.860631689457342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148.4522606780651</v>
      </c>
      <c r="BJ93" s="59">
        <f t="shared" si="92"/>
        <v>332.71193127646211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17.42703745662396</v>
      </c>
      <c r="BQ93" s="21">
        <f>EXP(-LN(2)/25)*BQ92+(1-EXP(-LN(2)/25))/(LN(2)/25)*Calculateur!BL93*Calculateur!BN93*VLOOKUP('Données projet'!$B$11,Paramètres!$A$1:$I$89,3,0)*0.475*44/12</f>
        <v>2.7190348846406613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20.14607234126462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169.76258214884751</v>
      </c>
      <c r="T94" s="59">
        <f t="shared" si="88"/>
        <v>378.2513167340262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19.751095976535346</v>
      </c>
      <c r="AA94" s="21">
        <f>EXP(-LN(2)/25)*AA93+(1-EXP(-LN(2)/25))/(LN(2)/25)*Calculateur!V94*Calculateur!X94*VLOOKUP('Données projet'!$B$9,Paramètres!$A$1:$I$89,3,0)*0.475*44/12</f>
        <v>3.0573282654990801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22.808424242034427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160.0845775223442</v>
      </c>
      <c r="AO94" s="59">
        <f t="shared" si="90"/>
        <v>357.56921474995909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18.539372296993289</v>
      </c>
      <c r="AV94" s="21">
        <f>EXP(-LN(2)/25)*AV93+(1-EXP(-LN(2)/25))/(LN(2)/25)*Calculateur!AQ94*Calculateur!AS94*VLOOKUP('Données projet'!$B$10,Paramètres!$A$1:$I$89,3,0)*0.475*44/12</f>
        <v>2.8697621142414653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21.409134411234753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148.4522606780651</v>
      </c>
      <c r="BJ94" s="59">
        <f t="shared" si="92"/>
        <v>332.71193127646211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17.085303881542842</v>
      </c>
      <c r="BQ94" s="21">
        <f>EXP(-LN(2)/25)*BQ93+(1-EXP(-LN(2)/25))/(LN(2)/25)*Calculateur!BL94*Calculateur!BN94*VLOOKUP('Données projet'!$B$11,Paramètres!$A$1:$I$89,3,0)*0.475*44/12</f>
        <v>2.6446827327323321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19.729986614275173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169.76258214884751</v>
      </c>
      <c r="T95" s="59">
        <f t="shared" si="88"/>
        <v>378.2513167340262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19.363789031414495</v>
      </c>
      <c r="AA95" s="21">
        <f>EXP(-LN(2)/25)*AA94+(1-EXP(-LN(2)/25))/(LN(2)/25)*Calculateur!V95*Calculateur!X95*VLOOKUP('Données projet'!$B$9,Paramètres!$A$1:$I$89,3,0)*0.475*44/12</f>
        <v>2.9737254633011019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22.337514494715595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160.0845775223442</v>
      </c>
      <c r="AO95" s="59">
        <f t="shared" si="90"/>
        <v>357.56921474995909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18.17582651414979</v>
      </c>
      <c r="AV95" s="21">
        <f>EXP(-LN(2)/25)*AV94+(1-EXP(-LN(2)/25))/(LN(2)/25)*Calculateur!AQ95*Calculateur!AS95*VLOOKUP('Données projet'!$B$10,Paramètres!$A$1:$I$89,3,0)*0.475*44/12</f>
        <v>2.7912883183133017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20.967114832463093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148.4522606780651</v>
      </c>
      <c r="BJ95" s="59">
        <f t="shared" si="92"/>
        <v>332.71193127646211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16.750271493432166</v>
      </c>
      <c r="BQ95" s="21">
        <f>EXP(-LN(2)/25)*BQ94+(1-EXP(-LN(2)/25))/(LN(2)/25)*Calculateur!BL95*Calculateur!BN95*VLOOKUP('Données projet'!$B$11,Paramètres!$A$1:$I$89,3,0)*0.475*44/12</f>
        <v>2.5723637443279461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19.32263523776011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169.76258214884751</v>
      </c>
      <c r="T96" s="59">
        <f t="shared" si="88"/>
        <v>378.2513167340262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18.984076939253551</v>
      </c>
      <c r="AA96" s="21">
        <f>EXP(-LN(2)/25)*AA95+(1-EXP(-LN(2)/25))/(LN(2)/25)*Calculateur!V96*Calculateur!X96*VLOOKUP('Données projet'!$B$9,Paramètres!$A$1:$I$89,3,0)*0.475*44/12</f>
        <v>2.8924087841257076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21.876485723379258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160.0845775223442</v>
      </c>
      <c r="AO96" s="59">
        <f t="shared" si="90"/>
        <v>357.56921474995909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17.819409642366818</v>
      </c>
      <c r="AV96" s="21">
        <f>EXP(-LN(2)/25)*AV95+(1-EXP(-LN(2)/25))/(LN(2)/25)*Calculateur!AQ96*Calculateur!AS96*VLOOKUP('Données projet'!$B$10,Paramètres!$A$1:$I$89,3,0)*0.475*44/12</f>
        <v>2.7149603924615513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20.53437003482837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148.4522606780651</v>
      </c>
      <c r="BJ96" s="59">
        <f t="shared" si="92"/>
        <v>332.71193127646211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16.42180888610276</v>
      </c>
      <c r="BQ96" s="21">
        <f>EXP(-LN(2)/25)*BQ95+(1-EXP(-LN(2)/25))/(LN(2)/25)*Calculateur!BL96*Calculateur!BN96*VLOOKUP('Données projet'!$B$11,Paramètres!$A$1:$I$89,3,0)*0.475*44/12</f>
        <v>2.5020223224645681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18.923831208567329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169.76258214884751</v>
      </c>
      <c r="T97" s="59">
        <f t="shared" si="88"/>
        <v>378.2513167340262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18.611810769618376</v>
      </c>
      <c r="AA97" s="21">
        <f>EXP(-LN(2)/25)*AA96+(1-EXP(-LN(2)/25))/(LN(2)/25)*Calculateur!V97*Calculateur!X97*VLOOKUP('Données projet'!$B$9,Paramètres!$A$1:$I$89,3,0)*0.475*44/12</f>
        <v>2.8133157138186227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21.425126483436998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160.0845775223442</v>
      </c>
      <c r="AO97" s="59">
        <f t="shared" si="90"/>
        <v>357.56921474995909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17.469981888046686</v>
      </c>
      <c r="AV97" s="21">
        <f>EXP(-LN(2)/25)*AV96+(1-EXP(-LN(2)/25))/(LN(2)/25)*Calculateur!AQ97*Calculateur!AS97*VLOOKUP('Données projet'!$B$10,Paramètres!$A$1:$I$89,3,0)*0.475*44/12</f>
        <v>2.640719657756128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20.110701545802815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148.4522606780651</v>
      </c>
      <c r="BJ97" s="59">
        <f t="shared" si="92"/>
        <v>332.71193127646211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16.099787230160675</v>
      </c>
      <c r="BQ97" s="21">
        <f>EXP(-LN(2)/25)*BQ96+(1-EXP(-LN(2)/25))/(LN(2)/25)*Calculateur!BL97*Calculateur!BN97*VLOOKUP('Données projet'!$B$11,Paramètres!$A$1:$I$89,3,0)*0.475*44/12</f>
        <v>2.4336043904811389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18.533391620641815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169.76258214884751</v>
      </c>
      <c r="T98" s="59">
        <f t="shared" si="88"/>
        <v>378.2513167340262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18.246844512509803</v>
      </c>
      <c r="AA98" s="21">
        <f>EXP(-LN(2)/25)*AA97+(1-EXP(-LN(2)/25))/(LN(2)/25)*Calculateur!V98*Calculateur!X98*VLOOKUP('Données projet'!$B$9,Paramètres!$A$1:$I$89,3,0)*0.475*44/12</f>
        <v>2.7363854476784089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20.983229960188211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160.0845775223442</v>
      </c>
      <c r="AO98" s="59">
        <f t="shared" si="90"/>
        <v>357.56921474995909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17.127406198858885</v>
      </c>
      <c r="AV98" s="21">
        <f>EXP(-LN(2)/25)*AV97+(1-EXP(-LN(2)/25))/(LN(2)/25)*Calculateur!AQ98*Calculateur!AS98*VLOOKUP('Données projet'!$B$10,Paramètres!$A$1:$I$89,3,0)*0.475*44/12</f>
        <v>2.5685090398453752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19.695915238704259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148.4522606780651</v>
      </c>
      <c r="BJ98" s="59">
        <f t="shared" si="92"/>
        <v>332.71193127646211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15.784080222477801</v>
      </c>
      <c r="BQ98" s="21">
        <f>EXP(-LN(2)/25)*BQ97+(1-EXP(-LN(2)/25))/(LN(2)/25)*Calculateur!BL98*Calculateur!BN98*VLOOKUP('Données projet'!$B$11,Paramètres!$A$1:$I$89,3,0)*0.475*44/12</f>
        <v>2.3670573504457395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18.151137572923542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169.76258214884751</v>
      </c>
      <c r="T99" s="59">
        <f t="shared" si="88"/>
        <v>378.2513167340262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17.889035021095694</v>
      </c>
      <c r="AA99" s="21">
        <f>EXP(-LN(2)/25)*AA98+(1-EXP(-LN(2)/25))/(LN(2)/25)*Calculateur!V99*Calculateur!X99*VLOOKUP('Données projet'!$B$9,Paramètres!$A$1:$I$89,3,0)*0.475*44/12</f>
        <v>2.661558843711386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20.55059386480708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160.0845775223442</v>
      </c>
      <c r="AO99" s="59">
        <f t="shared" si="90"/>
        <v>357.56921474995909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16.791548209985521</v>
      </c>
      <c r="AV99" s="21">
        <f>EXP(-LN(2)/25)*AV98+(1-EXP(-LN(2)/25))/(LN(2)/25)*Calculateur!AQ99*Calculateur!AS99*VLOOKUP('Données projet'!$B$10,Paramètres!$A$1:$I$89,3,0)*0.475*44/12</f>
        <v>2.4982730250787832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19.289821235064306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148.4522606780651</v>
      </c>
      <c r="BJ99" s="59">
        <f t="shared" si="92"/>
        <v>332.71193127646211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15.474564036653327</v>
      </c>
      <c r="BQ99" s="21">
        <f>EXP(-LN(2)/25)*BQ98+(1-EXP(-LN(2)/25))/(LN(2)/25)*Calculateur!BL99*Calculateur!BN99*VLOOKUP('Données projet'!$B$11,Paramètres!$A$1:$I$89,3,0)*0.475*44/12</f>
        <v>2.3023300427196647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17.77689407937299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169.76258214884751</v>
      </c>
      <c r="T100" s="59">
        <f t="shared" si="88"/>
        <v>378.2513167340262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17.538241955565976</v>
      </c>
      <c r="AA100" s="21">
        <f>EXP(-LN(2)/25)*AA99+(1-EXP(-LN(2)/25))/(LN(2)/25)*Calculateur!V100*Calculateur!X100*VLOOKUP('Données projet'!$B$9,Paramètres!$A$1:$I$89,3,0)*0.475*44/12</f>
        <v>2.5887783771648016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20.127020332730776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160.0845775223442</v>
      </c>
      <c r="AO100" s="59">
        <f t="shared" si="90"/>
        <v>357.56921474995909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16.462276191420816</v>
      </c>
      <c r="AV100" s="21">
        <f>EXP(-LN(2)/25)*AV99+(1-EXP(-LN(2)/25))/(LN(2)/25)*Calculateur!AQ100*Calculateur!AS100*VLOOKUP('Données projet'!$B$10,Paramètres!$A$1:$I$89,3,0)*0.475*44/12</f>
        <v>2.4299576178295355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18.892233809250353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148.4522606780651</v>
      </c>
      <c r="BJ100" s="59">
        <f t="shared" si="92"/>
        <v>332.71193127646211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15.171117274446637</v>
      </c>
      <c r="BQ100" s="21">
        <f>EXP(-LN(2)/25)*BQ99+(1-EXP(-LN(2)/25))/(LN(2)/25)*Calculateur!BL100*Calculateur!BN100*VLOOKUP('Données projet'!$B$11,Paramètres!$A$1:$I$89,3,0)*0.475*44/12</f>
        <v>2.2393727066272207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17.410489981073859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169.76258214884751</v>
      </c>
      <c r="T101" s="59">
        <f t="shared" si="88"/>
        <v>378.2513167340262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17.194327728088652</v>
      </c>
      <c r="AA101" s="21">
        <f>EXP(-LN(2)/25)*AA100+(1-EXP(-LN(2)/25))/(LN(2)/25)*Calculateur!V101*Calculateur!X101*VLOOKUP('Données projet'!$B$9,Paramètres!$A$1:$I$89,3,0)*0.475*44/12</f>
        <v>2.5179880963032919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19.712315824391943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160.0845775223442</v>
      </c>
      <c r="AO101" s="59">
        <f t="shared" si="90"/>
        <v>357.56921474995909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16.139460996304063</v>
      </c>
      <c r="AV101" s="21">
        <f>EXP(-LN(2)/25)*AV100+(1-EXP(-LN(2)/25))/(LN(2)/25)*Calculateur!AQ101*Calculateur!AS101*VLOOKUP('Données projet'!$B$10,Paramètres!$A$1:$I$89,3,0)*0.475*44/12</f>
        <v>2.3635102989840693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18.502971295288134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148.4522606780651</v>
      </c>
      <c r="BJ101" s="59">
        <f t="shared" si="92"/>
        <v>332.71193127646211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14.873620918162571</v>
      </c>
      <c r="BQ101" s="21">
        <f>EXP(-LN(2)/25)*BQ100+(1-EXP(-LN(2)/25))/(LN(2)/25)*Calculateur!BL101*Calculateur!BN101*VLOOKUP('Données projet'!$B$11,Paramètres!$A$1:$I$89,3,0)*0.475*44/12</f>
        <v>2.1781369422010068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17.051757860363576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169.76258214884751</v>
      </c>
      <c r="T102" s="59">
        <f t="shared" si="88"/>
        <v>378.2513167340262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16.857157448845193</v>
      </c>
      <c r="AA102" s="21">
        <f>EXP(-LN(2)/25)*AA101+(1-EXP(-LN(2)/25))/(LN(2)/25)*Calculateur!V102*Calculateur!X102*VLOOKUP('Données projet'!$B$9,Paramètres!$A$1:$I$89,3,0)*0.475*44/12</f>
        <v>2.4491335793946392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19.306291028239833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160.0845775223442</v>
      </c>
      <c r="AO102" s="59">
        <f t="shared" si="90"/>
        <v>357.56921474995909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15.822976010265723</v>
      </c>
      <c r="AV102" s="21">
        <f>EXP(-LN(2)/25)*AV101+(1-EXP(-LN(2)/25))/(LN(2)/25)*Calculateur!AQ102*Calculateur!AS102*VLOOKUP('Données projet'!$B$10,Paramètres!$A$1:$I$89,3,0)*0.475*44/12</f>
        <v>2.298879985566745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18.121855995832469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148.4522606780651</v>
      </c>
      <c r="BJ102" s="59">
        <f t="shared" si="92"/>
        <v>332.71193127646211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14.581958283970376</v>
      </c>
      <c r="BQ102" s="21">
        <f>EXP(-LN(2)/25)*BQ101+(1-EXP(-LN(2)/25))/(LN(2)/25)*Calculateur!BL102*Calculateur!BN102*VLOOKUP('Données projet'!$B$11,Paramètres!$A$1:$I$89,3,0)*0.475*44/12</f>
        <v>2.1185756729732765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16.700533956943652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169.76258214884751</v>
      </c>
      <c r="T103" s="59">
        <f t="shared" si="88"/>
        <v>378.2513167340262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16.526598873124133</v>
      </c>
      <c r="AA103" s="21">
        <f>EXP(-LN(2)/25)*AA102+(1-EXP(-LN(2)/25))/(LN(2)/25)*Calculateur!V103*Calculateur!X103*VLOOKUP('Données projet'!$B$9,Paramètres!$A$1:$I$89,3,0)*0.475*44/12</f>
        <v>2.3821618928717552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18.908760765995886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160.0845775223442</v>
      </c>
      <c r="AO103" s="59">
        <f t="shared" si="90"/>
        <v>357.56921474995909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15.512697101766815</v>
      </c>
      <c r="AV103" s="21">
        <f>EXP(-LN(2)/25)*AV102+(1-EXP(-LN(2)/25))/(LN(2)/25)*Calculateur!AQ103*Calculateur!AS103*VLOOKUP('Données projet'!$B$10,Paramètres!$A$1:$I$89,3,0)*0.475*44/12</f>
        <v>2.2360169914685781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17.748714093235392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148.4522606780651</v>
      </c>
      <c r="BJ103" s="59">
        <f t="shared" si="92"/>
        <v>332.71193127646211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14.29601497613805</v>
      </c>
      <c r="BQ103" s="21">
        <f>EXP(-LN(2)/25)*BQ102+(1-EXP(-LN(2)/25))/(LN(2)/25)*Calculateur!BL103*Calculateur!BN103*VLOOKUP('Données projet'!$B$11,Paramètres!$A$1:$I$89,3,0)*0.475*44/12</f>
        <v>2.0606431097847695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16.35665808592282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169.76258214884751</v>
      </c>
      <c r="T104" s="59">
        <f t="shared" si="88"/>
        <v>378.2513167340262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16.202522349452142</v>
      </c>
      <c r="AA104" s="21">
        <f>EXP(-LN(2)/25)*AA103+(1-EXP(-LN(2)/25))/(LN(2)/25)*Calculateur!V104*Calculateur!X104*VLOOKUP('Données projet'!$B$9,Paramètres!$A$1:$I$89,3,0)*0.475*44/12</f>
        <v>2.3170215506387275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18.51954390009087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160.0845775223442</v>
      </c>
      <c r="AO104" s="59">
        <f t="shared" si="90"/>
        <v>357.56921474995909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15.208502573412124</v>
      </c>
      <c r="AV104" s="21">
        <f>EXP(-LN(2)/25)*AV103+(1-EXP(-LN(2)/25))/(LN(2)/25)*Calculateur!AQ104*Calculateur!AS104*VLOOKUP('Données projet'!$B$10,Paramètres!$A$1:$I$89,3,0)*0.475*44/12</f>
        <v>2.1748729892498466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17.383375562661971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148.4522606780651</v>
      </c>
      <c r="BJ104" s="59">
        <f t="shared" si="92"/>
        <v>332.71193127646211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14.015678842164119</v>
      </c>
      <c r="BQ104" s="21">
        <f>EXP(-LN(2)/25)*BQ103+(1-EXP(-LN(2)/25))/(LN(2)/25)*Calculateur!BL104*Calculateur!BN104*VLOOKUP('Données projet'!$B$11,Paramètres!$A$1:$I$89,3,0)*0.475*44/12</f>
        <v>2.0042947155831934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16.019973557747313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169.76258214884751</v>
      </c>
      <c r="T105" s="59">
        <f t="shared" si="88"/>
        <v>378.2513167340262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15.884800768742197</v>
      </c>
      <c r="AA105" s="21">
        <f>EXP(-LN(2)/25)*AA104+(1-EXP(-LN(2)/25))/(LN(2)/25)*Calculateur!V105*Calculateur!X105*VLOOKUP('Données projet'!$B$9,Paramètres!$A$1:$I$89,3,0)*0.475*44/12</f>
        <v>2.2536624744896439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18.13846324323184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160.0845775223442</v>
      </c>
      <c r="AO105" s="59">
        <f t="shared" si="90"/>
        <v>357.56921474995909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14.910273114218127</v>
      </c>
      <c r="AV105" s="21">
        <f>EXP(-LN(2)/25)*AV104+(1-EXP(-LN(2)/25))/(LN(2)/25)*Calculateur!AQ105*Calculateur!AS105*VLOOKUP('Données projet'!$B$10,Paramètres!$A$1:$I$89,3,0)*0.475*44/12</f>
        <v>2.1154009729872096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17.025674087205335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148.4522606780651</v>
      </c>
      <c r="BJ105" s="59">
        <f t="shared" si="92"/>
        <v>332.71193127646211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13.740839928789258</v>
      </c>
      <c r="BQ105" s="21">
        <f>EXP(-LN(2)/25)*BQ104+(1-EXP(-LN(2)/25))/(LN(2)/25)*Calculateur!BL105*Calculateur!BN105*VLOOKUP('Données projet'!$B$11,Paramètres!$A$1:$I$89,3,0)*0.475*44/12</f>
        <v>1.9494871711842927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15.690327099973551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169.76258214884751</v>
      </c>
      <c r="T106" s="59">
        <f t="shared" si="88"/>
        <v>378.2513167340262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15.573309514438945</v>
      </c>
      <c r="AA106" s="21">
        <f>EXP(-LN(2)/25)*AA105+(1-EXP(-LN(2)/25))/(LN(2)/25)*Calculateur!V106*Calculateur!X106*VLOOKUP('Données projet'!$B$9,Paramètres!$A$1:$I$89,3,0)*0.475*44/12</f>
        <v>2.1920359556097657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17.765345470048711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160.0845775223442</v>
      </c>
      <c r="AO106" s="59">
        <f t="shared" si="90"/>
        <v>357.56921474995909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14.617891752816915</v>
      </c>
      <c r="AV106" s="21">
        <f>EXP(-LN(2)/25)*AV105+(1-EXP(-LN(2)/25))/(LN(2)/25)*Calculateur!AQ106*Calculateur!AS106*VLOOKUP('Données projet'!$B$10,Paramètres!$A$1:$I$89,3,0)*0.475*44/12</f>
        <v>2.0575552221367719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16.675446974953687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148.4522606780651</v>
      </c>
      <c r="BJ106" s="59">
        <f t="shared" si="92"/>
        <v>332.71193127646211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13.471390438870493</v>
      </c>
      <c r="BQ106" s="21">
        <f>EXP(-LN(2)/25)*BQ105+(1-EXP(-LN(2)/25))/(LN(2)/25)*Calculateur!BL106*Calculateur!BN106*VLOOKUP('Données projet'!$B$11,Paramètres!$A$1:$I$89,3,0)*0.475*44/12</f>
        <v>1.8961783419691836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15.367568780839676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169.76258214884751</v>
      </c>
      <c r="T107" s="59">
        <f t="shared" si="88"/>
        <v>378.2513167340262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15.267926413641675</v>
      </c>
      <c r="AA107" s="21">
        <f>EXP(-LN(2)/25)*AA106+(1-EXP(-LN(2)/25))/(LN(2)/25)*Calculateur!V107*Calculateur!X107*VLOOKUP('Données projet'!$B$9,Paramètres!$A$1:$I$89,3,0)*0.475*44/12</f>
        <v>2.1320946171294559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17.400021030771132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160.0845775223442</v>
      </c>
      <c r="AO107" s="59">
        <f t="shared" si="90"/>
        <v>357.56921474995909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14.331243811577759</v>
      </c>
      <c r="AV107" s="21">
        <f>EXP(-LN(2)/25)*AV106+(1-EXP(-LN(2)/25))/(LN(2)/25)*Calculateur!AQ107*Calculateur!AS107*VLOOKUP('Données projet'!$B$10,Paramètres!$A$1:$I$89,3,0)*0.475*44/12</f>
        <v>2.0012912663853153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16.332535077963072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148.4522606780651</v>
      </c>
      <c r="BJ107" s="59">
        <f t="shared" si="92"/>
        <v>332.71193127646211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13.207224689101075</v>
      </c>
      <c r="BQ107" s="21">
        <f>EXP(-LN(2)/25)*BQ106+(1-EXP(-LN(2)/25))/(LN(2)/25)*Calculateur!BL107*Calculateur!BN107*VLOOKUP('Données projet'!$B$11,Paramètres!$A$1:$I$89,3,0)*0.475*44/12</f>
        <v>1.8443272454923509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15.051551934593427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169.76258214884751</v>
      </c>
      <c r="T108" s="59">
        <f t="shared" si="88"/>
        <v>378.2513167340262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14.96853168918574</v>
      </c>
      <c r="AA108" s="21">
        <f>EXP(-LN(2)/25)*AA107+(1-EXP(-LN(2)/25))/(LN(2)/25)*Calculateur!V108*Calculateur!X108*VLOOKUP('Données projet'!$B$9,Paramètres!$A$1:$I$89,3,0)*0.475*44/12</f>
        <v>2.0737923777020679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17.042324066887808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160.0845775223442</v>
      </c>
      <c r="AO108" s="59">
        <f t="shared" si="90"/>
        <v>357.56921474995909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14.050216861628323</v>
      </c>
      <c r="AV108" s="21">
        <f>EXP(-LN(2)/25)*AV107+(1-EXP(-LN(2)/25))/(LN(2)/25)*Calculateur!AQ108*Calculateur!AS108*VLOOKUP('Données projet'!$B$10,Paramètres!$A$1:$I$89,3,0)*0.475*44/12</f>
        <v>1.9465658514626751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15.996782713090997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148.4522606780651</v>
      </c>
      <c r="BJ108" s="59">
        <f t="shared" si="92"/>
        <v>332.71193127646211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12.948239068559438</v>
      </c>
      <c r="BQ108" s="21">
        <f>EXP(-LN(2)/25)*BQ107+(1-EXP(-LN(2)/25))/(LN(2)/25)*Calculateur!BL108*Calculateur!BN108*VLOOKUP('Données projet'!$B$11,Paramètres!$A$1:$I$89,3,0)*0.475*44/12</f>
        <v>1.7938940199754081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14.742133088534846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169.76258214884751</v>
      </c>
      <c r="T109" s="59">
        <f t="shared" si="88"/>
        <v>378.2513167340262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14.675007912663634</v>
      </c>
      <c r="AA109" s="21">
        <f>EXP(-LN(2)/25)*AA108+(1-EXP(-LN(2)/25))/(LN(2)/25)*Calculateur!V109*Calculateur!X109*VLOOKUP('Données projet'!$B$9,Paramètres!$A$1:$I$89,3,0)*0.475*44/12</f>
        <v>2.0170844160778034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16.692092328741438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160.0845775223442</v>
      </c>
      <c r="AO109" s="59">
        <f t="shared" si="90"/>
        <v>357.56921474995909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13.774700678757881</v>
      </c>
      <c r="AV109" s="21">
        <f>EXP(-LN(2)/25)*AV108+(1-EXP(-LN(2)/25))/(LN(2)/25)*Calculateur!AQ109*Calculateur!AS109*VLOOKUP('Données projet'!$B$10,Paramètres!$A$1:$I$89,3,0)*0.475*44/12</f>
        <v>1.8933369058889791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15.668037584646861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148.4522606780651</v>
      </c>
      <c r="BJ109" s="59">
        <f t="shared" si="92"/>
        <v>332.71193127646211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12.694331998070991</v>
      </c>
      <c r="BQ109" s="21">
        <f>EXP(-LN(2)/25)*BQ108+(1-EXP(-LN(2)/25))/(LN(2)/25)*Calculateur!BL109*Calculateur!BN109*VLOOKUP('Données projet'!$B$11,Paramètres!$A$1:$I$89,3,0)*0.475*44/12</f>
        <v>1.7448398936623941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14.439171891733386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169.76258214884751</v>
      </c>
      <c r="T110" s="59">
        <f t="shared" si="88"/>
        <v>378.2513167340262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14.387239958367303</v>
      </c>
      <c r="AA110" s="21">
        <f>EXP(-LN(2)/25)*AA109+(1-EXP(-LN(2)/25))/(LN(2)/25)*Calculateur!V110*Calculateur!X110*VLOOKUP('Données projet'!$B$9,Paramètres!$A$1:$I$89,3,0)*0.475*44/12</f>
        <v>1.9619271366462965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16.349167095013598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160.0845775223442</v>
      </c>
      <c r="AO110" s="59">
        <f t="shared" si="90"/>
        <v>357.56921474995909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13.50458720018525</v>
      </c>
      <c r="AV110" s="21">
        <f>EXP(-LN(2)/25)*AV109+(1-EXP(-LN(2)/25))/(LN(2)/25)*Calculateur!AQ110*Calculateur!AS110*VLOOKUP('Données projet'!$B$10,Paramètres!$A$1:$I$89,3,0)*0.475*44/12</f>
        <v>1.8415635086311843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15.346150708816435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148.4522606780651</v>
      </c>
      <c r="BJ110" s="59">
        <f t="shared" si="92"/>
        <v>332.71193127646211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12.445403890366801</v>
      </c>
      <c r="BQ110" s="21">
        <f>EXP(-LN(2)/25)*BQ109+(1-EXP(-LN(2)/25))/(LN(2)/25)*Calculateur!BL110*Calculateur!BN110*VLOOKUP('Données projet'!$B$11,Paramètres!$A$1:$I$89,3,0)*0.475*44/12</f>
        <v>1.6971271550130538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14.142531045379855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169.76258214884751</v>
      </c>
      <c r="T111" s="59">
        <f t="shared" si="88"/>
        <v>378.2513167340262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14.105114958133601</v>
      </c>
      <c r="AA111" s="21">
        <f>EXP(-LN(2)/25)*AA110+(1-EXP(-LN(2)/25))/(LN(2)/25)*Calculateur!V111*Calculateur!X111*VLOOKUP('Données projet'!$B$9,Paramètres!$A$1:$I$89,3,0)*0.475*44/12</f>
        <v>1.9082781359214394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16.01339309405504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160.0845775223442</v>
      </c>
      <c r="AO111" s="59">
        <f t="shared" si="90"/>
        <v>357.56921474995909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13.239770482174475</v>
      </c>
      <c r="AV111" s="21">
        <f>EXP(-LN(2)/25)*AV110+(1-EXP(-LN(2)/25))/(LN(2)/25)*Calculateur!AQ111*Calculateur!AS111*VLOOKUP('Données projet'!$B$10,Paramètres!$A$1:$I$89,3,0)*0.475*44/12</f>
        <v>1.7912058576440486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15.030976339818523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148.4522606780651</v>
      </c>
      <c r="BJ111" s="59">
        <f t="shared" si="92"/>
        <v>332.71193127646211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12.201357111023539</v>
      </c>
      <c r="BQ111" s="21">
        <f>EXP(-LN(2)/25)*BQ110+(1-EXP(-LN(2)/25))/(LN(2)/25)*Calculateur!BL111*Calculateur!BN111*VLOOKUP('Données projet'!$B$11,Paramètres!$A$1:$I$89,3,0)*0.475*44/12</f>
        <v>1.6507191237111836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13.852076234734723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169.76258214884751</v>
      </c>
      <c r="T112" s="59">
        <f t="shared" si="88"/>
        <v>378.2513167340262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13.828522257075223</v>
      </c>
      <c r="AA112" s="21">
        <f>EXP(-LN(2)/25)*AA111+(1-EXP(-LN(2)/25))/(LN(2)/25)*Calculateur!V112*Calculateur!X112*VLOOKUP('Données projet'!$B$9,Paramètres!$A$1:$I$89,3,0)*0.475*44/12</f>
        <v>1.8560961699426819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15.684618427017904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160.0845775223442</v>
      </c>
      <c r="AO112" s="59">
        <f t="shared" si="90"/>
        <v>357.56921474995909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12.980146658481642</v>
      </c>
      <c r="AV112" s="21">
        <f>EXP(-LN(2)/25)*AV111+(1-EXP(-LN(2)/25))/(LN(2)/25)*Calculateur!AQ112*Calculateur!AS112*VLOOKUP('Données projet'!$B$10,Paramètres!$A$1:$I$89,3,0)*0.475*44/12</f>
        <v>1.74222523927135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14.722371897752993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148.4522606780651</v>
      </c>
      <c r="BJ112" s="59">
        <f t="shared" si="92"/>
        <v>332.71193127646211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11.962095940169359</v>
      </c>
      <c r="BQ112" s="21">
        <f>EXP(-LN(2)/25)*BQ111+(1-EXP(-LN(2)/25))/(LN(2)/25)*Calculateur!BL112*Calculateur!BN112*VLOOKUP('Données projet'!$B$11,Paramètres!$A$1:$I$89,3,0)*0.475*44/12</f>
        <v>1.6055801224657553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13.567676062635114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169.76258214884751</v>
      </c>
      <c r="T113" s="59">
        <f t="shared" si="88"/>
        <v>378.2513167340262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13.55735337017971</v>
      </c>
      <c r="AA113" s="21">
        <f>EXP(-LN(2)/25)*AA112+(1-EXP(-LN(2)/25))/(LN(2)/25)*Calculateur!V113*Calculateur!X113*VLOOKUP('Données projet'!$B$9,Paramètres!$A$1:$I$89,3,0)*0.475*44/12</f>
        <v>1.8053411225677438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15.362694492747455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160.0845775223442</v>
      </c>
      <c r="AO113" s="59">
        <f t="shared" si="90"/>
        <v>357.56921474995909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12.72561389961653</v>
      </c>
      <c r="AV113" s="21">
        <f>EXP(-LN(2)/25)*AV112+(1-EXP(-LN(2)/25))/(LN(2)/25)*Calculateur!AQ113*Calculateur!AS113*VLOOKUP('Données projet'!$B$10,Paramètres!$A$1:$I$89,3,0)*0.475*44/12</f>
        <v>1.6945839984838316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14.420197898100362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148.4522606780651</v>
      </c>
      <c r="BJ113" s="59">
        <f t="shared" si="92"/>
        <v>332.71193127646211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11.727526534940726</v>
      </c>
      <c r="BQ113" s="21">
        <f>EXP(-LN(2)/25)*BQ112+(1-EXP(-LN(2)/25))/(LN(2)/25)*Calculateur!BL113*Calculateur!BN113*VLOOKUP('Données projet'!$B$11,Paramètres!$A$1:$I$89,3,0)*0.475*44/12</f>
        <v>1.5616754495831402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13.289201984523865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169.76258214884751</v>
      </c>
      <c r="T114" s="59">
        <f t="shared" si="88"/>
        <v>378.2513167340262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13.291501939759529</v>
      </c>
      <c r="AA114" s="21">
        <f>EXP(-LN(2)/25)*AA113+(1-EXP(-LN(2)/25))/(LN(2)/25)*Calculateur!V114*Calculateur!X114*VLOOKUP('Données projet'!$B$9,Paramètres!$A$1:$I$89,3,0)*0.475*44/12</f>
        <v>1.7559739746323655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15.047475914391894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160.0845775223442</v>
      </c>
      <c r="AO114" s="59">
        <f t="shared" si="90"/>
        <v>357.56921474995909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12.476072372903108</v>
      </c>
      <c r="AV114" s="21">
        <f>EXP(-LN(2)/25)*AV113+(1-EXP(-LN(2)/25))/(LN(2)/25)*Calculateur!AQ114*Calculateur!AS114*VLOOKUP('Données projet'!$B$10,Paramètres!$A$1:$I$89,3,0)*0.475*44/12</f>
        <v>1.6482455099309918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14.124317882834099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148.4522606780651</v>
      </c>
      <c r="BJ114" s="59">
        <f t="shared" si="92"/>
        <v>332.71193127646211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11.497556892675416</v>
      </c>
      <c r="BQ114" s="21">
        <f>EXP(-LN(2)/25)*BQ113+(1-EXP(-LN(2)/25))/(LN(2)/25)*Calculateur!BL114*Calculateur!BN114*VLOOKUP('Données projet'!$B$11,Paramètres!$A$1:$I$89,3,0)*0.475*44/12</f>
        <v>1.5189713522893467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13.016528244964762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169.76258214884751</v>
      </c>
      <c r="T115" s="59">
        <f t="shared" si="88"/>
        <v>378.2513167340262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13.030863693736526</v>
      </c>
      <c r="AA115" s="21">
        <f>EXP(-LN(2)/25)*AA114+(1-EXP(-LN(2)/25))/(LN(2)/25)*Calculateur!V115*Calculateur!X115*VLOOKUP('Données projet'!$B$9,Paramètres!$A$1:$I$89,3,0)*0.475*44/12</f>
        <v>1.7079567739533854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14.738820467689912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160.0845775223442</v>
      </c>
      <c r="AO115" s="59">
        <f t="shared" si="90"/>
        <v>357.56921474995909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12.231424203323234</v>
      </c>
      <c r="AV115" s="21">
        <f>EXP(-LN(2)/25)*AV114+(1-EXP(-LN(2)/25))/(LN(2)/25)*Calculateur!AQ115*Calculateur!AS115*VLOOKUP('Données projet'!$B$10,Paramètres!$A$1:$I$89,3,0)*0.475*44/12</f>
        <v>1.6031741497844647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13.834598353107699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148.4522606780651</v>
      </c>
      <c r="BJ115" s="59">
        <f t="shared" si="92"/>
        <v>332.71193127646211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11.272096814827297</v>
      </c>
      <c r="BQ115" s="21">
        <f>EXP(-LN(2)/25)*BQ114+(1-EXP(-LN(2)/25))/(LN(2)/25)*Calculateur!BL115*Calculateur!BN115*VLOOKUP('Données projet'!$B$11,Paramètres!$A$1:$I$89,3,0)*0.475*44/12</f>
        <v>1.4774350007817627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12.749531815609059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169.76258214884751</v>
      </c>
      <c r="T116" s="59">
        <f t="shared" si="88"/>
        <v>378.2513167340262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12.775336404744403</v>
      </c>
      <c r="AA116" s="21">
        <f>EXP(-LN(2)/25)*AA115+(1-EXP(-LN(2)/25))/(LN(2)/25)*Calculateur!V116*Calculateur!X116*VLOOKUP('Données projet'!$B$9,Paramètres!$A$1:$I$89,3,0)*0.475*44/12</f>
        <v>1.6612526061520869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14.43658901089649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160.0845775223442</v>
      </c>
      <c r="AO116" s="59">
        <f t="shared" si="90"/>
        <v>357.56921474995909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11.991573435128172</v>
      </c>
      <c r="AV116" s="21">
        <f>EXP(-LN(2)/25)*AV115+(1-EXP(-LN(2)/25))/(LN(2)/25)*Calculateur!AQ116*Calculateur!AS116*VLOOKUP('Données projet'!$B$10,Paramètres!$A$1:$I$89,3,0)*0.475*44/12</f>
        <v>1.5593352683513442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13.550908703479516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148.4522606780651</v>
      </c>
      <c r="BJ116" s="59">
        <f t="shared" si="92"/>
        <v>332.71193127646211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11.051057871588711</v>
      </c>
      <c r="BQ116" s="21">
        <f>EXP(-LN(2)/25)*BQ115+(1-EXP(-LN(2)/25))/(LN(2)/25)*Calculateur!BL116*Calculateur!BN116*VLOOKUP('Données projet'!$B$11,Paramètres!$A$1:$I$89,3,0)*0.475*44/12</f>
        <v>1.4370344629904555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12.488092334579166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169.76258214884751</v>
      </c>
      <c r="T117" s="59">
        <f t="shared" si="88"/>
        <v>378.2513167340262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12.524819850033158</v>
      </c>
      <c r="AA117" s="21">
        <f>EXP(-LN(2)/25)*AA116+(1-EXP(-LN(2)/25))/(LN(2)/25)*Calculateur!V117*Calculateur!X117*VLOOKUP('Données projet'!$B$9,Paramètres!$A$1:$I$89,3,0)*0.475*44/12</f>
        <v>1.6158255662753804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14.140645416308537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160.0845775223442</v>
      </c>
      <c r="AO117" s="59">
        <f t="shared" si="90"/>
        <v>357.56921474995909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11.756425994202893</v>
      </c>
      <c r="AV117" s="21">
        <f>EXP(-LN(2)/25)*AV116+(1-EXP(-LN(2)/25))/(LN(2)/25)*Calculateur!AQ117*Calculateur!AS117*VLOOKUP('Données projet'!$B$10,Paramètres!$A$1:$I$89,3,0)*0.475*44/12</f>
        <v>1.5166951634363988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13.273121157639292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148.4522606780651</v>
      </c>
      <c r="BJ117" s="59">
        <f t="shared" si="92"/>
        <v>332.71193127646211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10.834353367206591</v>
      </c>
      <c r="BQ117" s="21">
        <f>EXP(-LN(2)/25)*BQ116+(1-EXP(-LN(2)/25))/(LN(2)/25)*Calculateur!BL117*Calculateur!BN117*VLOOKUP('Données projet'!$B$11,Paramètres!$A$1:$I$89,3,0)*0.475*44/12</f>
        <v>1.3977386800296234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12.232092047236215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169.76258214884751</v>
      </c>
      <c r="T118" s="59">
        <f t="shared" si="88"/>
        <v>378.2513167340262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12.279215772159789</v>
      </c>
      <c r="AA118" s="21">
        <f>EXP(-LN(2)/25)*AA117+(1-EXP(-LN(2)/25))/(LN(2)/25)*Calculateur!V118*Calculateur!X118*VLOOKUP('Données projet'!$B$9,Paramètres!$A$1:$I$89,3,0)*0.475*44/12</f>
        <v>1.5716407311930067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13.850856503352796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160.0845775223442</v>
      </c>
      <c r="AO118" s="59">
        <f t="shared" si="90"/>
        <v>357.56921474995909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11.525889651168381</v>
      </c>
      <c r="AV118" s="21">
        <f>EXP(-LN(2)/25)*AV117+(1-EXP(-LN(2)/25))/(LN(2)/25)*Calculateur!AQ118*Calculateur!AS118*VLOOKUP('Données projet'!$B$10,Paramètres!$A$1:$I$89,3,0)*0.475*44/12</f>
        <v>1.4752210544326982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13.001110705601079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148.4522606780651</v>
      </c>
      <c r="BJ118" s="59">
        <f t="shared" si="92"/>
        <v>332.71193127646211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10.621898305978707</v>
      </c>
      <c r="BQ118" s="21">
        <f>EXP(-LN(2)/25)*BQ117+(1-EXP(-LN(2)/25))/(LN(2)/25)*Calculateur!BL118*Calculateur!BN118*VLOOKUP('Données projet'!$B$11,Paramètres!$A$1:$I$89,3,0)*0.475*44/12</f>
        <v>1.3595174423203307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11.981415748299037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169.76258214884751</v>
      </c>
      <c r="T119" s="59">
        <f t="shared" si="88"/>
        <v>378.2513167340262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12.038427840449822</v>
      </c>
      <c r="AA119" s="21">
        <f>EXP(-LN(2)/25)*AA118+(1-EXP(-LN(2)/25))/(LN(2)/25)*Calculateur!V119*Calculateur!X119*VLOOKUP('Données projet'!$B$9,Paramètres!$A$1:$I$89,3,0)*0.475*44/12</f>
        <v>1.52866413274954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13.567091973199362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160.0845775223442</v>
      </c>
      <c r="AO119" s="59">
        <f t="shared" si="90"/>
        <v>357.56921474995909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11.299873985207492</v>
      </c>
      <c r="AV119" s="21">
        <f>EXP(-LN(2)/25)*AV118+(1-EXP(-LN(2)/25))/(LN(2)/25)*Calculateur!AQ119*Calculateur!AS119*VLOOKUP('Données projet'!$B$10,Paramètres!$A$1:$I$89,3,0)*0.475*44/12</f>
        <v>1.4348810571207324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12.734755042328224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148.4522606780651</v>
      </c>
      <c r="BJ119" s="59">
        <f t="shared" si="92"/>
        <v>332.71193127646211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10.413609358916711</v>
      </c>
      <c r="BQ119" s="21">
        <f>EXP(-LN(2)/25)*BQ118+(1-EXP(-LN(2)/25))/(LN(2)/25)*Calculateur!BL119*Calculateur!BN119*VLOOKUP('Données projet'!$B$11,Paramètres!$A$1:$I$89,3,0)*0.475*44/12</f>
        <v>1.3223413663661661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11.735950725282876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169.76258214884751</v>
      </c>
      <c r="T120" s="59">
        <f t="shared" si="88"/>
        <v>378.2513167340262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11.802361613214551</v>
      </c>
      <c r="AA120" s="21">
        <f>EXP(-LN(2)/25)*AA119+(1-EXP(-LN(2)/25))/(LN(2)/25)*Calculateur!V120*Calculateur!X120*VLOOKUP('Données projet'!$B$9,Paramètres!$A$1:$I$89,3,0)*0.475*44/12</f>
        <v>1.4868627316505509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13.289224344865101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160.0845775223442</v>
      </c>
      <c r="AO120" s="59">
        <f t="shared" si="90"/>
        <v>357.56921474995909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11.078290348600152</v>
      </c>
      <c r="AV120" s="21">
        <f>EXP(-LN(2)/25)*AV119+(1-EXP(-LN(2)/25))/(LN(2)/25)*Calculateur!AQ120*Calculateur!AS120*VLOOKUP('Données projet'!$B$10,Paramètres!$A$1:$I$89,3,0)*0.475*44/12</f>
        <v>1.3956441591566506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12.473934507756804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148.4522606780651</v>
      </c>
      <c r="BJ120" s="59">
        <f t="shared" si="92"/>
        <v>332.71193127646211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10.209404831062887</v>
      </c>
      <c r="BQ120" s="21">
        <f>EXP(-LN(2)/25)*BQ119+(1-EXP(-LN(2)/25))/(LN(2)/25)*Calculateur!BL120*Calculateur!BN120*VLOOKUP('Données projet'!$B$11,Paramètres!$A$1:$I$89,3,0)*0.475*44/12</f>
        <v>1.2861818721639731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11.495586703226859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169.76258214884751</v>
      </c>
      <c r="T121" s="59">
        <f t="shared" si="88"/>
        <v>378.2513167340262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11.570924500709182</v>
      </c>
      <c r="AA121" s="21">
        <f>EXP(-LN(2)/25)*AA120+(1-EXP(-LN(2)/25))/(LN(2)/25)*Calculateur!V121*Calculateur!X121*VLOOKUP('Données projet'!$B$9,Paramètres!$A$1:$I$89,3,0)*0.475*44/12</f>
        <v>1.4462043920628538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13.017128892772035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160.0845775223442</v>
      </c>
      <c r="AO121" s="59">
        <f t="shared" si="90"/>
        <v>357.56921474995909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10.861051831954009</v>
      </c>
      <c r="AV121" s="21">
        <f>EXP(-LN(2)/25)*AV120+(1-EXP(-LN(2)/25))/(LN(2)/25)*Calculateur!AQ121*Calculateur!AS121*VLOOKUP('Données projet'!$B$10,Paramètres!$A$1:$I$89,3,0)*0.475*44/12</f>
        <v>1.3574801962307754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12.218532028184786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148.4522606780651</v>
      </c>
      <c r="BJ121" s="59">
        <f t="shared" si="92"/>
        <v>332.71193127646211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10.009204629447813</v>
      </c>
      <c r="BQ121" s="21">
        <f>EXP(-LN(2)/25)*BQ120+(1-EXP(-LN(2)/25))/(LN(2)/25)*Calculateur!BL121*Calculateur!BN121*VLOOKUP('Données projet'!$B$11,Paramètres!$A$1:$I$89,3,0)*0.475*44/12</f>
        <v>1.2510111612322841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11.260215790680098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169.76258214884751</v>
      </c>
      <c r="T122" s="59">
        <f t="shared" si="88"/>
        <v>378.2513167340262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11.344025728817345</v>
      </c>
      <c r="AA122" s="21">
        <f>EXP(-LN(2)/25)*AA121+(1-EXP(-LN(2)/25))/(LN(2)/25)*Calculateur!V122*Calculateur!X122*VLOOKUP('Données projet'!$B$9,Paramètres!$A$1:$I$89,3,0)*0.475*44/12</f>
        <v>1.4066578569093113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12.750683585726655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160.0845775223442</v>
      </c>
      <c r="AO122" s="59">
        <f t="shared" si="90"/>
        <v>357.56921474995909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10.648073230116886</v>
      </c>
      <c r="AV122" s="21">
        <f>EXP(-LN(2)/25)*AV121+(1-EXP(-LN(2)/25))/(LN(2)/25)*Calculateur!AQ122*Calculateur!AS122*VLOOKUP('Données projet'!$B$10,Paramètres!$A$1:$I$89,3,0)*0.475*44/12</f>
        <v>1.320359828878064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11.96843305899495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148.4522606780651</v>
      </c>
      <c r="BJ122" s="59">
        <f t="shared" si="92"/>
        <v>332.71193127646211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9.8129302316763454</v>
      </c>
      <c r="BQ122" s="21">
        <f>EXP(-LN(2)/25)*BQ121+(1-EXP(-LN(2)/25))/(LN(2)/25)*Calculateur!BL122*Calculateur!BN122*VLOOKUP('Données projet'!$B$11,Paramètres!$A$1:$I$89,3,0)*0.475*44/12</f>
        <v>1.2168021952405694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11.029732426916915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169.76258214884751</v>
      </c>
      <c r="T123" s="59">
        <f t="shared" si="88"/>
        <v>378.2513167340262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11.12157630344772</v>
      </c>
      <c r="AA123" s="21">
        <f>EXP(-LN(2)/25)*AA122+(1-EXP(-LN(2)/25))/(LN(2)/25)*Calculateur!V123*Calculateur!X123*VLOOKUP('Données projet'!$B$9,Paramètres!$A$1:$I$89,3,0)*0.475*44/12</f>
        <v>1.3681927238392044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12.489769027286924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160.0845775223442</v>
      </c>
      <c r="AO123" s="59">
        <f t="shared" si="90"/>
        <v>357.56921474995909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10.439271008757666</v>
      </c>
      <c r="AV123" s="21">
        <f>EXP(-LN(2)/25)*AV122+(1-EXP(-LN(2)/25))/(LN(2)/25)*Calculateur!AQ123*Calculateur!AS123*VLOOKUP('Données projet'!$B$10,Paramètres!$A$1:$I$89,3,0)*0.475*44/12</f>
        <v>1.2842545199226876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11.723525528680353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148.4522606780651</v>
      </c>
      <c r="BJ123" s="59">
        <f t="shared" si="92"/>
        <v>332.71193127646211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9.6205046551296149</v>
      </c>
      <c r="BQ123" s="21">
        <f>EXP(-LN(2)/25)*BQ122+(1-EXP(-LN(2)/25))/(LN(2)/25)*Calculateur!BL123*Calculateur!BN123*VLOOKUP('Données projet'!$B$11,Paramètres!$A$1:$I$89,3,0)*0.475*44/12</f>
        <v>1.1835286752228698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10.804033330352485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169.76258214884751</v>
      </c>
      <c r="T124" s="59">
        <f t="shared" si="88"/>
        <v>378.2513167340262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10.903488975628841</v>
      </c>
      <c r="AA124" s="21">
        <f>EXP(-LN(2)/25)*AA123+(1-EXP(-LN(2)/25))/(LN(2)/25)*Calculateur!V124*Calculateur!X124*VLOOKUP('Données projet'!$B$9,Paramètres!$A$1:$I$89,3,0)*0.475*44/12</f>
        <v>1.330779421855693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12.234268397484534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160.0845775223442</v>
      </c>
      <c r="AO124" s="59">
        <f t="shared" si="90"/>
        <v>357.56921474995909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10.234563271602523</v>
      </c>
      <c r="AV124" s="21">
        <f>EXP(-LN(2)/25)*AV123+(1-EXP(-LN(2)/25))/(LN(2)/25)*Calculateur!AQ124*Calculateur!AS124*VLOOKUP('Données projet'!$B$10,Paramètres!$A$1:$I$89,3,0)*0.475*44/12</f>
        <v>1.2491365125393916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11.483699784141916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148.4522606780651</v>
      </c>
      <c r="BJ124" s="59">
        <f t="shared" si="92"/>
        <v>332.71193127646211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9.4318524267709538</v>
      </c>
      <c r="BQ124" s="21">
        <f>EXP(-LN(2)/25)*BQ123+(1-EXP(-LN(2)/25))/(LN(2)/25)*Calculateur!BL124*Calculateur!BN124*VLOOKUP('Données projet'!$B$11,Paramètres!$A$1:$I$89,3,0)*0.475*44/12</f>
        <v>1.1511650213598323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10.583017448130786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169.76258214884751</v>
      </c>
      <c r="T125" s="59">
        <f t="shared" si="88"/>
        <v>378.2513167340262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10.689678207288354</v>
      </c>
      <c r="AA125" s="21">
        <f>EXP(-LN(2)/25)*AA124+(1-EXP(-LN(2)/25))/(LN(2)/25)*Calculateur!V125*Calculateur!X125*VLOOKUP('Données projet'!$B$9,Paramètres!$A$1:$I$89,3,0)*0.475*44/12</f>
        <v>1.2943891885824008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11.984067395870754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160.0845775223442</v>
      </c>
      <c r="AO125" s="59">
        <f t="shared" si="90"/>
        <v>357.56921474995909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10.033869728313601</v>
      </c>
      <c r="AV125" s="21">
        <f>EXP(-LN(2)/25)*AV124+(1-EXP(-LN(2)/25))/(LN(2)/25)*Calculateur!AQ125*Calculateur!AS125*VLOOKUP('Données projet'!$B$10,Paramètres!$A$1:$I$89,3,0)*0.475*44/12</f>
        <v>1.2149788089147677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11.248848537228369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148.4522606780651</v>
      </c>
      <c r="BJ125" s="59">
        <f t="shared" si="92"/>
        <v>332.71193127646211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9.2468995535439085</v>
      </c>
      <c r="BQ125" s="21">
        <f>EXP(-LN(2)/25)*BQ124+(1-EXP(-LN(2)/25))/(LN(2)/25)*Calculateur!BL125*Calculateur!BN125*VLOOKUP('Données projet'!$B$11,Paramètres!$A$1:$I$89,3,0)*0.475*44/12</f>
        <v>1.1196863533136103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10.366585906857519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169.76258214884751</v>
      </c>
      <c r="T126" s="59">
        <f t="shared" si="88"/>
        <v>378.2513167340262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10.480060137703333</v>
      </c>
      <c r="AA126" s="21">
        <f>EXP(-LN(2)/25)*AA125+(1-EXP(-LN(2)/25))/(LN(2)/25)*Calculateur!V126*Calculateur!X126*VLOOKUP('Données projet'!$B$9,Paramètres!$A$1:$I$89,3,0)*0.475*44/12</f>
        <v>1.258994048151646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11.739054185854979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160.0845775223442</v>
      </c>
      <c r="AO126" s="59">
        <f t="shared" si="90"/>
        <v>357.56921474995909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9.8371116629976001</v>
      </c>
      <c r="AV126" s="21">
        <f>EXP(-LN(2)/25)*AV125+(1-EXP(-LN(2)/25))/(LN(2)/25)*Calculateur!AQ126*Calculateur!AS126*VLOOKUP('Données projet'!$B$10,Paramètres!$A$1:$I$89,3,0)*0.475*44/12</f>
        <v>1.1817551494920346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11.018866812489634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148.4522606780651</v>
      </c>
      <c r="BJ126" s="59">
        <f t="shared" si="92"/>
        <v>332.71193127646211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9.0655734933507315</v>
      </c>
      <c r="BQ126" s="21">
        <f>EXP(-LN(2)/25)*BQ125+(1-EXP(-LN(2)/25))/(LN(2)/25)*Calculateur!BL126*Calculateur!BN126*VLOOKUP('Données projet'!$B$11,Paramètres!$A$1:$I$89,3,0)*0.475*44/12</f>
        <v>1.0890684711005034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10.154641964451235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169.76258214884751</v>
      </c>
      <c r="T127" s="59">
        <f t="shared" si="88"/>
        <v>378.2513167340262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10.274552550608476</v>
      </c>
      <c r="AA127" s="21">
        <f>EXP(-LN(2)/25)*AA126+(1-EXP(-LN(2)/25))/(LN(2)/25)*Calculateur!V127*Calculateur!X127*VLOOKUP('Données projet'!$B$9,Paramètres!$A$1:$I$89,3,0)*0.475*44/12</f>
        <v>1.2245667896973196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11.499119340305796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160.0845775223442</v>
      </c>
      <c r="AO127" s="59">
        <f t="shared" si="90"/>
        <v>357.56921474995909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9.6442119033318772</v>
      </c>
      <c r="AV127" s="21">
        <f>EXP(-LN(2)/25)*AV126+(1-EXP(-LN(2)/25))/(LN(2)/25)*Calculateur!AQ127*Calculateur!AS127*VLOOKUP('Données projet'!$B$10,Paramètres!$A$1:$I$89,3,0)*0.475*44/12</f>
        <v>1.1494399927833725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10.79365189611525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148.4522606780651</v>
      </c>
      <c r="BJ127" s="59">
        <f t="shared" si="92"/>
        <v>332.71193127646211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8.887803126599966</v>
      </c>
      <c r="BQ127" s="21">
        <f>EXP(-LN(2)/25)*BQ126+(1-EXP(-LN(2)/25))/(LN(2)/25)*Calculateur!BL127*Calculateur!BN127*VLOOKUP('Données projet'!$B$11,Paramètres!$A$1:$I$89,3,0)*0.475*44/12</f>
        <v>1.0592878364866383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9.9470909630866036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169.76258214884751</v>
      </c>
      <c r="T128" s="59">
        <f t="shared" si="88"/>
        <v>378.2513167340262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10.0730748419493</v>
      </c>
      <c r="AA128" s="21">
        <f>EXP(-LN(2)/25)*AA127+(1-EXP(-LN(2)/25))/(LN(2)/25)*Calculateur!V128*Calculateur!X128*VLOOKUP('Données projet'!$B$9,Paramètres!$A$1:$I$89,3,0)*0.475*44/12</f>
        <v>1.1910809464358776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11.264155788385178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160.0845775223442</v>
      </c>
      <c r="AO128" s="59">
        <f t="shared" si="90"/>
        <v>357.56921474995909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9.4550947902959628</v>
      </c>
      <c r="AV128" s="21">
        <f>EXP(-LN(2)/25)*AV127+(1-EXP(-LN(2)/25))/(LN(2)/25)*Calculateur!AQ128*Calculateur!AS128*VLOOKUP('Données projet'!$B$10,Paramètres!$A$1:$I$89,3,0)*0.475*44/12</f>
        <v>1.1180084957342891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10.573103286030252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148.4522606780651</v>
      </c>
      <c r="BJ128" s="59">
        <f t="shared" si="92"/>
        <v>332.71193127646211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8.7135187283119659</v>
      </c>
      <c r="BQ128" s="21">
        <f>EXP(-LN(2)/25)*BQ127+(1-EXP(-LN(2)/25))/(LN(2)/25)*Calculateur!BL128*Calculateur!BN128*VLOOKUP('Données projet'!$B$11,Paramètres!$A$1:$I$89,3,0)*0.475*44/12</f>
        <v>1.0303215548923847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9.7438402832043511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169.76258214884751</v>
      </c>
      <c r="T129" s="59">
        <f t="shared" si="88"/>
        <v>378.2513167340262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9.8755479882676607</v>
      </c>
      <c r="AA129" s="21">
        <f>EXP(-LN(2)/25)*AA128+(1-EXP(-LN(2)/25))/(LN(2)/25)*Calculateur!V129*Calculateur!X129*VLOOKUP('Données projet'!$B$9,Paramètres!$A$1:$I$89,3,0)*0.475*44/12</f>
        <v>1.1585107753193638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11.034058763587025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160.0845775223442</v>
      </c>
      <c r="AO129" s="59">
        <f t="shared" si="90"/>
        <v>357.56921474995909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9.2696861484966337</v>
      </c>
      <c r="AV129" s="21">
        <f>EXP(-LN(2)/25)*AV128+(1-EXP(-LN(2)/25))/(LN(2)/25)*Calculateur!AQ129*Calculateur!AS129*VLOOKUP('Données projet'!$B$10,Paramètres!$A$1:$I$89,3,0)*0.475*44/12</f>
        <v>1.0874364946249233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10.357122643121556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148.4522606780651</v>
      </c>
      <c r="BJ129" s="59">
        <f t="shared" si="92"/>
        <v>332.71193127646211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8.5426519407714068</v>
      </c>
      <c r="BQ129" s="21">
        <f>EXP(-LN(2)/25)*BQ128+(1-EXP(-LN(2)/25))/(LN(2)/25)*Calculateur!BL129*Calculateur!BN129*VLOOKUP('Données projet'!$B$11,Paramètres!$A$1:$I$89,3,0)*0.475*44/12</f>
        <v>1.0021473577915967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9.544799298563003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169.76258214884751</v>
      </c>
      <c r="T130" s="59">
        <f t="shared" si="88"/>
        <v>378.2513167340262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9.6818945157072349</v>
      </c>
      <c r="AA130" s="21">
        <f>EXP(-LN(2)/25)*AA129+(1-EXP(-LN(2)/25))/(LN(2)/25)*Calculateur!V130*Calculateur!X130*VLOOKUP('Données projet'!$B$9,Paramètres!$A$1:$I$89,3,0)*0.475*44/12</f>
        <v>1.1268312372448219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10.808725752952057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160.0845775223442</v>
      </c>
      <c r="AO130" s="59">
        <f t="shared" si="90"/>
        <v>357.56921474995909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9.0879132570748844</v>
      </c>
      <c r="AV130" s="21">
        <f>EXP(-LN(2)/25)*AV129+(1-EXP(-LN(2)/25))/(LN(2)/25)*Calculateur!AQ130*Calculateur!AS130*VLOOKUP('Données projet'!$B$10,Paramètres!$A$1:$I$89,3,0)*0.475*44/12</f>
        <v>1.0577004864936048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10.145613743568489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148.4522606780651</v>
      </c>
      <c r="BJ130" s="59">
        <f t="shared" si="92"/>
        <v>332.71193127646211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8.3751357467160688</v>
      </c>
      <c r="BQ130" s="21">
        <f>EXP(-LN(2)/25)*BQ129+(1-EXP(-LN(2)/25))/(LN(2)/25)*Calculateur!BL130*Calculateur!BN130*VLOOKUP('Données projet'!$B$11,Paramètres!$A$1:$I$89,3,0)*0.475*44/12</f>
        <v>0.97474358559214636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9.3498793323082143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169.76258214884751</v>
      </c>
      <c r="T131" s="59">
        <f t="shared" si="88"/>
        <v>378.2513167340262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9.4920384696267632</v>
      </c>
      <c r="AA131" s="21">
        <f>EXP(-LN(2)/25)*AA130+(1-EXP(-LN(2)/25))/(LN(2)/25)*Calculateur!V131*Calculateur!X131*VLOOKUP('Données projet'!$B$9,Paramètres!$A$1:$I$89,3,0)*0.475*44/12</f>
        <v>1.0960179778048829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10.588056447431645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160.0845775223442</v>
      </c>
      <c r="AO131" s="59">
        <f t="shared" si="90"/>
        <v>357.56921474995909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8.9097048211833982</v>
      </c>
      <c r="AV131" s="21">
        <f>EXP(-LN(2)/25)*AV130+(1-EXP(-LN(2)/25))/(LN(2)/25)*Calculateur!AQ131*Calculateur!AS131*VLOOKUP('Données projet'!$B$10,Paramètres!$A$1:$I$89,3,0)*0.475*44/12</f>
        <v>1.0287776110683859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9.9384824322517851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148.4522606780651</v>
      </c>
      <c r="BJ131" s="59">
        <f t="shared" si="92"/>
        <v>332.71193127646211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8.2109044430513674</v>
      </c>
      <c r="BQ131" s="21">
        <f>EXP(-LN(2)/25)*BQ130+(1-EXP(-LN(2)/25))/(LN(2)/25)*Calculateur!BL131*Calculateur!BN131*VLOOKUP('Données projet'!$B$11,Paramètres!$A$1:$I$89,3,0)*0.475*44/12</f>
        <v>0.94808917098459178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9.1589936140359587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169.76258214884751</v>
      </c>
      <c r="T132" s="59">
        <f t="shared" si="88"/>
        <v>378.2513167340262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9.3059053848091757</v>
      </c>
      <c r="AA132" s="21">
        <f>EXP(-LN(2)/25)*AA131+(1-EXP(-LN(2)/25))/(LN(2)/25)*Calculateur!V132*Calculateur!X132*VLOOKUP('Données projet'!$B$9,Paramètres!$A$1:$I$89,3,0)*0.475*44/12</f>
        <v>1.066047308564728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10.371952693373904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160.0845775223442</v>
      </c>
      <c r="AO132" s="59">
        <f t="shared" si="90"/>
        <v>357.56921474995909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8.7349909440233322</v>
      </c>
      <c r="AV132" s="21">
        <f>EXP(-LN(2)/25)*AV131+(1-EXP(-LN(2)/25))/(LN(2)/25)*Calculateur!AQ132*Calculateur!AS132*VLOOKUP('Données projet'!$B$10,Paramètres!$A$1:$I$89,3,0)*0.475*44/12</f>
        <v>1.0006456331926576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9.7356365772159901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148.4522606780651</v>
      </c>
      <c r="BJ132" s="59">
        <f t="shared" si="92"/>
        <v>332.71193127646211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8.0498936150803253</v>
      </c>
      <c r="BQ132" s="21">
        <f>EXP(-LN(2)/25)*BQ131+(1-EXP(-LN(2)/25))/(LN(2)/25)*Calculateur!BL132*Calculateur!BN132*VLOOKUP('Données projet'!$B$11,Paramètres!$A$1:$I$89,3,0)*0.475*44/12</f>
        <v>0.92216362274617547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8.9720572378265011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169.76258214884751</v>
      </c>
      <c r="T133" s="59">
        <f t="shared" ref="T133:T196" si="142">$T$3</f>
        <v>378.2513167340262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9.1234222562548908</v>
      </c>
      <c r="AA133" s="21">
        <f>EXP(-LN(2)/25)*AA132+(1-EXP(-LN(2)/25))/(LN(2)/25)*Calculateur!V133*Calculateur!X133*VLOOKUP('Données projet'!$B$9,Paramètres!$A$1:$I$89,3,0)*0.475*44/12</f>
        <v>1.036896188851034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10.160318445105926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160.0845775223442</v>
      </c>
      <c r="AO133" s="59">
        <f t="shared" ref="AO133:AO196" si="144">$AO$3</f>
        <v>357.56921474995909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8.5637030994294321</v>
      </c>
      <c r="AV133" s="21">
        <f>EXP(-LN(2)/25)*AV132+(1-EXP(-LN(2)/25))/(LN(2)/25)*Calculateur!AQ133*Calculateur!AS133*VLOOKUP('Données projet'!$B$10,Paramètres!$A$1:$I$89,3,0)*0.475*44/12</f>
        <v>0.97328292573133757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9.5369860251607701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148.4522606780651</v>
      </c>
      <c r="BJ133" s="59">
        <f t="shared" ref="BJ133:BJ196" si="146">$BJ$3</f>
        <v>332.71193127646211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7.892040111238888</v>
      </c>
      <c r="BQ133" s="21">
        <f>EXP(-LN(2)/25)*BQ132+(1-EXP(-LN(2)/25))/(LN(2)/25)*Calculateur!BL133*Calculateur!BN133*VLOOKUP('Données projet'!$B$11,Paramètres!$A$1:$I$89,3,0)*0.475*44/12</f>
        <v>0.89694700998770405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8.788987121226592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169.76258214884751</v>
      </c>
      <c r="T134" s="59">
        <f t="shared" si="142"/>
        <v>378.2513167340262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8.9445175105478363</v>
      </c>
      <c r="AA134" s="21">
        <f>EXP(-LN(2)/25)*AA133+(1-EXP(-LN(2)/25))/(LN(2)/25)*Calculateur!V134*Calculateur!X134*VLOOKUP('Données projet'!$B$9,Paramètres!$A$1:$I$89,3,0)*0.475*44/12</f>
        <v>1.0085422080389017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9.9530597185867382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160.0845775223442</v>
      </c>
      <c r="AO134" s="59">
        <f t="shared" si="144"/>
        <v>357.56921474995909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8.3957741049927499</v>
      </c>
      <c r="AV134" s="21">
        <f>EXP(-LN(2)/25)*AV133+(1-EXP(-LN(2)/25))/(LN(2)/25)*Calculateur!AQ134*Calculateur!AS134*VLOOKUP('Données projet'!$B$10,Paramètres!$A$1:$I$89,3,0)*0.475*44/12</f>
        <v>0.94666845294448954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9.3424425579372397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148.4522606780651</v>
      </c>
      <c r="BJ134" s="59">
        <f t="shared" si="146"/>
        <v>332.71193127646211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7.7372820183266509</v>
      </c>
      <c r="BQ134" s="21">
        <f>EXP(-LN(2)/25)*BQ133+(1-EXP(-LN(2)/25))/(LN(2)/25)*Calculateur!BL134*Calculateur!BN134*VLOOKUP('Données projet'!$B$11,Paramètres!$A$1:$I$89,3,0)*0.475*44/12</f>
        <v>0.87241994683119706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8.6097019651578481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169.76258214884751</v>
      </c>
      <c r="T135" s="59">
        <f t="shared" si="142"/>
        <v>378.2513167340262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8.7691209777829773</v>
      </c>
      <c r="AA135" s="21">
        <f>EXP(-LN(2)/25)*AA134+(1-EXP(-LN(2)/25))/(LN(2)/25)*Calculateur!V135*Calculateur!X135*VLOOKUP('Données projet'!$B$9,Paramètres!$A$1:$I$89,3,0)*0.475*44/12</f>
        <v>0.98096356832314824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9.750084546106125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160.0845775223442</v>
      </c>
      <c r="AO135" s="59">
        <f t="shared" si="144"/>
        <v>357.56921474995909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8.2311380957103975</v>
      </c>
      <c r="AV135" s="21">
        <f>EXP(-LN(2)/25)*AV134+(1-EXP(-LN(2)/25))/(LN(2)/25)*Calculateur!AQ135*Calculateur!AS135*VLOOKUP('Données projet'!$B$10,Paramètres!$A$1:$I$89,3,0)*0.475*44/12</f>
        <v>0.92078175431559217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9.1519198500259904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148.4522606780651</v>
      </c>
      <c r="BJ135" s="59">
        <f t="shared" si="146"/>
        <v>332.71193127646211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7.5855586372233068</v>
      </c>
      <c r="BQ135" s="21">
        <f>EXP(-LN(2)/25)*BQ134+(1-EXP(-LN(2)/25))/(LN(2)/25)*Calculateur!BL135*Calculateur!BN135*VLOOKUP('Données projet'!$B$11,Paramètres!$A$1:$I$89,3,0)*0.475*44/12</f>
        <v>0.84856357750652689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8.4341222147298343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169.76258214884751</v>
      </c>
      <c r="T136" s="59">
        <f t="shared" si="142"/>
        <v>378.2513167340262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8.5971638640443153</v>
      </c>
      <c r="AA136" s="21">
        <f>EXP(-LN(2)/25)*AA135+(1-EXP(-LN(2)/25))/(LN(2)/25)*Calculateur!V136*Calculateur!X136*VLOOKUP('Données projet'!$B$9,Paramètres!$A$1:$I$89,3,0)*0.475*44/12</f>
        <v>0.95413906796071968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9.5513029320050347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160.0845775223442</v>
      </c>
      <c r="AO136" s="59">
        <f t="shared" si="144"/>
        <v>357.56921474995909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8.0697304981520226</v>
      </c>
      <c r="AV136" s="21">
        <f>EXP(-LN(2)/25)*AV135+(1-EXP(-LN(2)/25))/(LN(2)/25)*Calculateur!AQ136*Calculateur!AS136*VLOOKUP('Données projet'!$B$10,Paramètres!$A$1:$I$89,3,0)*0.475*44/12</f>
        <v>0.8956029288220243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8.9653334269740466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148.4522606780651</v>
      </c>
      <c r="BJ136" s="59">
        <f t="shared" si="146"/>
        <v>332.71193127646211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7.4368104590812747</v>
      </c>
      <c r="BQ136" s="21">
        <f>EXP(-LN(2)/25)*BQ135+(1-EXP(-LN(2)/25))/(LN(2)/25)*Calculateur!BL136*Calculateur!BN136*VLOOKUP('Données projet'!$B$11,Paramètres!$A$1:$I$89,3,0)*0.475*44/12</f>
        <v>0.82535956185559178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8.2621700209368658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169.76258214884751</v>
      </c>
      <c r="T137" s="59">
        <f t="shared" si="142"/>
        <v>378.2513167340262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8.4285787244225858</v>
      </c>
      <c r="AA137" s="21">
        <f>EXP(-LN(2)/25)*AA136+(1-EXP(-LN(2)/25))/(LN(2)/25)*Calculateur!V137*Calculateur!X137*VLOOKUP('Données projet'!$B$9,Paramètres!$A$1:$I$89,3,0)*0.475*44/12</f>
        <v>0.92804808497134095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9.3566268093939264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160.0845775223442</v>
      </c>
      <c r="AO137" s="59">
        <f t="shared" si="144"/>
        <v>357.56921474995909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7.9114880051328536</v>
      </c>
      <c r="AV137" s="21">
        <f>EXP(-LN(2)/25)*AV136+(1-EXP(-LN(2)/25))/(LN(2)/25)*Calculateur!AQ137*Calculateur!AS137*VLOOKUP('Données projet'!$B$10,Paramètres!$A$1:$I$89,3,0)*0.475*44/12</f>
        <v>0.87111261963567499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8.7826006247685289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148.4522606780651</v>
      </c>
      <c r="BJ137" s="59">
        <f t="shared" si="146"/>
        <v>332.71193127646211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7.2909791419851775</v>
      </c>
      <c r="BQ137" s="21">
        <f>EXP(-LN(2)/25)*BQ136+(1-EXP(-LN(2)/25))/(LN(2)/25)*Calculateur!BL137*Calculateur!BN137*VLOOKUP('Données projet'!$B$11,Paramètres!$A$1:$I$89,3,0)*0.475*44/12</f>
        <v>0.80279006123287766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8.0937692032180557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169.76258214884751</v>
      </c>
      <c r="T138" s="59">
        <f t="shared" si="142"/>
        <v>378.2513167340262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8.2632994365620558</v>
      </c>
      <c r="AA138" s="21">
        <f>EXP(-LN(2)/25)*AA137+(1-EXP(-LN(2)/25))/(LN(2)/25)*Calculateur!V138*Calculateur!X138*VLOOKUP('Données projet'!$B$9,Paramètres!$A$1:$I$89,3,0)*0.475*44/12</f>
        <v>0.90267056128387191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9.1659699978459273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160.0845775223442</v>
      </c>
      <c r="AO138" s="59">
        <f t="shared" si="144"/>
        <v>357.56921474995909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7.7563485508833994</v>
      </c>
      <c r="AV138" s="21">
        <f>EXP(-LN(2)/25)*AV137+(1-EXP(-LN(2)/25))/(LN(2)/25)*Calculateur!AQ138*Calculateur!AS138*VLOOKUP('Données projet'!$B$10,Paramètres!$A$1:$I$89,3,0)*0.475*44/12</f>
        <v>0.84729199924191578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8.6036405501253146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148.4522606780651</v>
      </c>
      <c r="BJ138" s="59">
        <f t="shared" si="146"/>
        <v>332.71193127646211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7.1480074880690143</v>
      </c>
      <c r="BQ138" s="21">
        <f>EXP(-LN(2)/25)*BQ137+(1-EXP(-LN(2)/25))/(LN(2)/25)*Calculateur!BL138*Calculateur!BN138*VLOOKUP('Données projet'!$B$11,Paramètres!$A$1:$I$89,3,0)*0.475*44/12</f>
        <v>0.7808377247915701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7.9288452128605842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169.76258214884751</v>
      </c>
      <c r="T139" s="59">
        <f t="shared" si="142"/>
        <v>378.2513167340262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8.1012611747260603</v>
      </c>
      <c r="AA139" s="21">
        <f>EXP(-LN(2)/25)*AA138+(1-EXP(-LN(2)/25))/(LN(2)/25)*Calculateur!V139*Calculateur!X139*VLOOKUP('Données projet'!$B$9,Paramètres!$A$1:$I$89,3,0)*0.475*44/12</f>
        <v>0.87798698731618274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8.9792481620422429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160.0845775223442</v>
      </c>
      <c r="AO139" s="59">
        <f t="shared" si="144"/>
        <v>357.56921474995909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7.6042512867060541</v>
      </c>
      <c r="AV139" s="21">
        <f>EXP(-LN(2)/25)*AV138+(1-EXP(-LN(2)/25))/(LN(2)/25)*Calculateur!AQ139*Calculateur!AS139*VLOOKUP('Données projet'!$B$10,Paramètres!$A$1:$I$89,3,0)*0.475*44/12</f>
        <v>0.82412275496549592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8.4283740416715496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148.4522606780651</v>
      </c>
      <c r="BJ139" s="59">
        <f t="shared" si="146"/>
        <v>332.71193127646211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7.0078394210820489</v>
      </c>
      <c r="BQ139" s="21">
        <f>EXP(-LN(2)/25)*BQ138+(1-EXP(-LN(2)/25))/(LN(2)/25)*Calculateur!BL139*Calculateur!BN139*VLOOKUP('Données projet'!$B$11,Paramètres!$A$1:$I$89,3,0)*0.475*44/12</f>
        <v>0.75948567614467333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7.7673250972267223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169.76258214884751</v>
      </c>
      <c r="T140" s="59">
        <f t="shared" si="142"/>
        <v>378.2513167340262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7.942400384371088</v>
      </c>
      <c r="AA140" s="21">
        <f>EXP(-LN(2)/25)*AA139+(1-EXP(-LN(2)/25))/(LN(2)/25)*Calculateur!V140*Calculateur!X140*VLOOKUP('Données projet'!$B$9,Paramètres!$A$1:$I$89,3,0)*0.475*44/12</f>
        <v>0.8539783869766927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8.796378771347781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160.0845775223442</v>
      </c>
      <c r="AO140" s="59">
        <f t="shared" si="144"/>
        <v>357.56921474995909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7.4551365571090553</v>
      </c>
      <c r="AV140" s="21">
        <f>EXP(-LN(2)/25)*AV139+(1-EXP(-LN(2)/25))/(LN(2)/25)*Calculateur!AQ140*Calculateur!AS140*VLOOKUP('Données projet'!$B$10,Paramètres!$A$1:$I$89,3,0)*0.475*44/12</f>
        <v>0.80158707489223235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8.2567236320012878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148.4522606780651</v>
      </c>
      <c r="BJ140" s="59">
        <f t="shared" si="146"/>
        <v>332.71193127646211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6.8704199643946184</v>
      </c>
      <c r="BQ140" s="21">
        <f>EXP(-LN(2)/25)*BQ139+(1-EXP(-LN(2)/25))/(LN(2)/25)*Calculateur!BL140*Calculateur!BN140*VLOOKUP('Données projet'!$B$11,Paramètres!$A$1:$I$89,3,0)*0.475*44/12</f>
        <v>0.73871750039088135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7.6091374647854995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169.76258214884751</v>
      </c>
      <c r="T141" s="59">
        <f t="shared" si="142"/>
        <v>378.2513167340262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7.7866547572194618</v>
      </c>
      <c r="AA141" s="21">
        <f>EXP(-LN(2)/25)*AA140+(1-EXP(-LN(2)/25))/(LN(2)/25)*Calculateur!V141*Calculateur!X141*VLOOKUP('Données projet'!$B$9,Paramètres!$A$1:$I$89,3,0)*0.475*44/12</f>
        <v>0.83062630307604346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8.6172810602955057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160.0845775223442</v>
      </c>
      <c r="AO141" s="59">
        <f t="shared" si="144"/>
        <v>357.56921474995909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7.3089458764084494</v>
      </c>
      <c r="AV141" s="21">
        <f>EXP(-LN(2)/25)*AV140+(1-EXP(-LN(2)/25))/(LN(2)/25)*Calculateur!AQ141*Calculateur!AS141*VLOOKUP('Données projet'!$B$10,Paramètres!$A$1:$I$89,3,0)*0.475*44/12</f>
        <v>0.77966763417567209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8.0886135105841213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148.4522606780651</v>
      </c>
      <c r="BJ141" s="59">
        <f t="shared" si="146"/>
        <v>332.71193127646211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6.7356952194352369</v>
      </c>
      <c r="BQ141" s="21">
        <f>EXP(-LN(2)/25)*BQ140+(1-EXP(-LN(2)/25))/(LN(2)/25)*Calculateur!BL141*Calculateur!BN141*VLOOKUP('Données projet'!$B$11,Paramètres!$A$1:$I$89,3,0)*0.475*44/12</f>
        <v>0.71851723149522773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7.4542124509304646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169.76258214884751</v>
      </c>
      <c r="T142" s="59">
        <f t="shared" si="142"/>
        <v>378.2513167340262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7.6339632068208267</v>
      </c>
      <c r="AA142" s="21">
        <f>EXP(-LN(2)/25)*AA141+(1-EXP(-LN(2)/25))/(LN(2)/25)*Calculateur!V142*Calculateur!X142*VLOOKUP('Données projet'!$B$9,Paramètres!$A$1:$I$89,3,0)*0.475*44/12</f>
        <v>0.80791278313769022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8.4418759899585165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160.0845775223442</v>
      </c>
      <c r="AO142" s="59">
        <f t="shared" si="144"/>
        <v>357.56921474995909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7.1656219057888721</v>
      </c>
      <c r="AV142" s="21">
        <f>EXP(-LN(2)/25)*AV141+(1-EXP(-LN(2)/25))/(LN(2)/25)*Calculateur!AQ142*Calculateur!AS142*VLOOKUP('Données projet'!$B$10,Paramètres!$A$1:$I$89,3,0)*0.475*44/12</f>
        <v>0.75834758171819938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7.9239694875070716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148.4522606780651</v>
      </c>
      <c r="BJ142" s="59">
        <f t="shared" si="146"/>
        <v>332.71193127646211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6.6036123445505277</v>
      </c>
      <c r="BQ142" s="21">
        <f>EXP(-LN(2)/25)*BQ141+(1-EXP(-LN(2)/25))/(LN(2)/25)*Calculateur!BL142*Calculateur!BN142*VLOOKUP('Données projet'!$B$11,Paramètres!$A$1:$I$89,3,0)*0.475*44/12</f>
        <v>0.69886934001481171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7.3024816845653397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169.76258214884751</v>
      </c>
      <c r="T143" s="59">
        <f t="shared" si="142"/>
        <v>378.2513167340262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7.4842658445928594</v>
      </c>
      <c r="AA143" s="21">
        <f>EXP(-LN(2)/25)*AA142+(1-EXP(-LN(2)/25))/(LN(2)/25)*Calculateur!V143*Calculateur!X143*VLOOKUP('Données projet'!$B$9,Paramètres!$A$1:$I$89,3,0)*0.475*44/12</f>
        <v>0.78582036559650337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8.270086210189362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160.0845775223442</v>
      </c>
      <c r="AO143" s="59">
        <f t="shared" si="144"/>
        <v>357.56921474995909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7.0251084308141545</v>
      </c>
      <c r="AV143" s="21">
        <f>EXP(-LN(2)/25)*AV142+(1-EXP(-LN(2)/25))/(LN(2)/25)*Calculateur!AQ143*Calculateur!AS143*VLOOKUP('Données projet'!$B$10,Paramètres!$A$1:$I$89,3,0)*0.475*44/12</f>
        <v>0.73761052721634912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7.7627189580305034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148.4522606780651</v>
      </c>
      <c r="BJ143" s="59">
        <f t="shared" si="146"/>
        <v>332.71193127646211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6.4741195342797093</v>
      </c>
      <c r="BQ143" s="21">
        <f>EXP(-LN(2)/25)*BQ142+(1-EXP(-LN(2)/25))/(LN(2)/25)*Calculateur!BL143*Calculateur!BN143*VLOOKUP('Données projet'!$B$11,Paramètres!$A$1:$I$89,3,0)*0.475*44/12</f>
        <v>0.67975872116016534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7.1538782554398743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169.76258214884751</v>
      </c>
      <c r="T144" s="59">
        <f t="shared" si="142"/>
        <v>378.2513167340262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7.3375039563318074</v>
      </c>
      <c r="AA144" s="21">
        <f>EXP(-LN(2)/25)*AA143+(1-EXP(-LN(2)/25))/(LN(2)/25)*Calculateur!V144*Calculateur!X144*VLOOKUP('Données projet'!$B$9,Paramètres!$A$1:$I$89,3,0)*0.475*44/12</f>
        <v>0.76433206637477002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8.1018360227065767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160.0845775223442</v>
      </c>
      <c r="AO144" s="59">
        <f t="shared" si="144"/>
        <v>357.56921474995909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6.8873503393789335</v>
      </c>
      <c r="AV144" s="21">
        <f>EXP(-LN(2)/25)*AV143+(1-EXP(-LN(2)/25))/(LN(2)/25)*Calculateur!AQ144*Calculateur!AS144*VLOOKUP('Données projet'!$B$10,Paramètres!$A$1:$I$89,3,0)*0.475*44/12</f>
        <v>0.71744052856036622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7.6047908679392995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148.4522606780651</v>
      </c>
      <c r="BJ144" s="59">
        <f t="shared" si="146"/>
        <v>332.71193127646211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6.3471659990354858</v>
      </c>
      <c r="BQ144" s="21">
        <f>EXP(-LN(2)/25)*BQ143+(1-EXP(-LN(2)/25))/(LN(2)/25)*Calculateur!BL144*Calculateur!BN144*VLOOKUP('Données projet'!$B$11,Paramètres!$A$1:$I$89,3,0)*0.475*44/12</f>
        <v>0.66117068318308303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7.0083366822185686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169.76258214884751</v>
      </c>
      <c r="T145" s="59">
        <f t="shared" si="142"/>
        <v>378.2513167340262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7.1936199791836417</v>
      </c>
      <c r="AA145" s="21">
        <f>EXP(-LN(2)/25)*AA144+(1-EXP(-LN(2)/25))/(LN(2)/25)*Calculateur!V145*Calculateur!X145*VLOOKUP('Données projet'!$B$9,Paramètres!$A$1:$I$89,3,0)*0.475*44/12</f>
        <v>0.74343136582527547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7.9370513450089168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160.0845775223442</v>
      </c>
      <c r="AO145" s="59">
        <f t="shared" si="144"/>
        <v>357.56921474995909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6.7522936000926181</v>
      </c>
      <c r="AV145" s="21">
        <f>EXP(-LN(2)/25)*AV144+(1-EXP(-LN(2)/25))/(LN(2)/25)*Calculateur!AQ145*Calculateur!AS145*VLOOKUP('Données projet'!$B$10,Paramètres!$A$1:$I$89,3,0)*0.475*44/12</f>
        <v>0.69782207957832532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7.4501156796709438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148.4522606780651</v>
      </c>
      <c r="BJ145" s="59">
        <f t="shared" si="146"/>
        <v>332.71193127646211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6.2227019451833918</v>
      </c>
      <c r="BQ145" s="21">
        <f>EXP(-LN(2)/25)*BQ144+(1-EXP(-LN(2)/25))/(LN(2)/25)*Calculateur!BL145*Calculateur!BN145*VLOOKUP('Données projet'!$B$11,Paramètres!$A$1:$I$89,3,0)*0.475*44/12</f>
        <v>0.64309093608198653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6.8657928812653779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169.76258214884751</v>
      </c>
      <c r="T146" s="59">
        <f t="shared" si="142"/>
        <v>378.2513167340262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7.0525574790667909</v>
      </c>
      <c r="AA146" s="21">
        <f>EXP(-LN(2)/25)*AA145+(1-EXP(-LN(2)/25))/(LN(2)/25)*Calculateur!V146*Calculateur!X146*VLOOKUP('Données projet'!$B$9,Paramètres!$A$1:$I$89,3,0)*0.475*44/12</f>
        <v>0.72310219603142689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7.7756596750982174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160.0845775223442</v>
      </c>
      <c r="AO146" s="59">
        <f t="shared" si="144"/>
        <v>357.56921474995909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6.6198852410872302</v>
      </c>
      <c r="AV146" s="21">
        <f>EXP(-LN(2)/25)*AV145+(1-EXP(-LN(2)/25))/(LN(2)/25)*Calculateur!AQ146*Calculateur!AS146*VLOOKUP('Données projet'!$B$10,Paramètres!$A$1:$I$89,3,0)*0.475*44/12</f>
        <v>0.67874009811538771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7.2986253392026175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148.4522606780651</v>
      </c>
      <c r="BJ146" s="59">
        <f t="shared" si="146"/>
        <v>332.71193127646211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6.1006785555117604</v>
      </c>
      <c r="BQ146" s="21">
        <f>EXP(-LN(2)/25)*BQ145+(1-EXP(-LN(2)/25))/(LN(2)/25)*Calculateur!BL146*Calculateur!BN146*VLOOKUP('Données projet'!$B$11,Paramètres!$A$1:$I$89,3,0)*0.475*44/12</f>
        <v>0.62550558061614203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6.7261841361279027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169.76258214884751</v>
      </c>
      <c r="T147" s="59">
        <f t="shared" si="142"/>
        <v>378.2513167340262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6.9142611285376026</v>
      </c>
      <c r="AA147" s="21">
        <f>EXP(-LN(2)/25)*AA146+(1-EXP(-LN(2)/25))/(LN(2)/25)*Calculateur!V147*Calculateur!X147*VLOOKUP('Données projet'!$B$9,Paramètres!$A$1:$I$89,3,0)*0.475*44/12</f>
        <v>0.70332892845465567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7.6175900569922579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160.0845775223442</v>
      </c>
      <c r="AO147" s="59">
        <f t="shared" si="144"/>
        <v>357.56921474995909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6.4900733292408139</v>
      </c>
      <c r="AV147" s="21">
        <f>EXP(-LN(2)/25)*AV146+(1-EXP(-LN(2)/25))/(LN(2)/25)*Calculateur!AQ147*Calculateur!AS147*VLOOKUP('Données projet'!$B$10,Paramètres!$A$1:$I$89,3,0)*0.475*44/12</f>
        <v>0.66017991443903201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7.1502532436798463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148.4522606780651</v>
      </c>
      <c r="BJ147" s="59">
        <f t="shared" si="146"/>
        <v>332.71193127646211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5.9810479700846706</v>
      </c>
      <c r="BQ147" s="21">
        <f>EXP(-LN(2)/25)*BQ146+(1-EXP(-LN(2)/25))/(LN(2)/25)*Calculateur!BL147*Calculateur!BN147*VLOOKUP('Données projet'!$B$11,Paramètres!$A$1:$I$89,3,0)*0.475*44/12</f>
        <v>0.60840109762028471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6.5894490677049555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169.76258214884751</v>
      </c>
      <c r="T148" s="59">
        <f t="shared" si="142"/>
        <v>378.2513167340262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6.7786766850898461</v>
      </c>
      <c r="AA148" s="21">
        <f>EXP(-LN(2)/25)*AA147+(1-EXP(-LN(2)/25))/(LN(2)/25)*Calculateur!V148*Calculateur!X148*VLOOKUP('Données projet'!$B$9,Paramètres!$A$1:$I$89,3,0)*0.475*44/12</f>
        <v>0.68409636191960221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7.4627730470094482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160.0845775223442</v>
      </c>
      <c r="AO148" s="59">
        <f t="shared" si="144"/>
        <v>357.56921474995909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6.3628069498082578</v>
      </c>
      <c r="AV148" s="21">
        <f>EXP(-LN(2)/25)*AV147+(1-EXP(-LN(2)/25))/(LN(2)/25)*Calculateur!AQ148*Calculateur!AS148*VLOOKUP('Données projet'!$B$10,Paramètres!$A$1:$I$89,3,0)*0.475*44/12</f>
        <v>0.64212725996134379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7.0049342097696012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148.4522606780651</v>
      </c>
      <c r="BJ148" s="59">
        <f t="shared" si="146"/>
        <v>332.71193127646211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5.8637632674703539</v>
      </c>
      <c r="BQ148" s="21">
        <f>EXP(-LN(2)/25)*BQ147+(1-EXP(-LN(2)/25))/(LN(2)/25)*Calculateur!BL148*Calculateur!BN148*VLOOKUP('Données projet'!$B$11,Paramètres!$A$1:$I$89,3,0)*0.475*44/12</f>
        <v>0.59176433761143488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6.4555276050817891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169.76258214884751</v>
      </c>
      <c r="T149" s="59">
        <f t="shared" si="142"/>
        <v>378.2513167340262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6.6457509698797557</v>
      </c>
      <c r="AA149" s="21">
        <f>EXP(-LN(2)/25)*AA148+(1-EXP(-LN(2)/25))/(LN(2)/25)*Calculateur!V149*Calculateur!X149*VLOOKUP('Données projet'!$B$9,Paramètres!$A$1:$I$89,3,0)*0.475*44/12</f>
        <v>0.66538971092784649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7.3111406808076023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160.0845775223442</v>
      </c>
      <c r="AO149" s="59">
        <f t="shared" si="144"/>
        <v>357.56921474995909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6.2380361864515477</v>
      </c>
      <c r="AV149" s="21">
        <f>EXP(-LN(2)/25)*AV148+(1-EXP(-LN(2)/25))/(LN(2)/25)*Calculateur!AQ149*Calculateur!AS149*VLOOKUP('Données projet'!$B$10,Paramètres!$A$1:$I$89,3,0)*0.475*44/12</f>
        <v>0.62456825626969581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6.8626044427212438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148.4522606780651</v>
      </c>
      <c r="BJ149" s="59">
        <f t="shared" si="146"/>
        <v>332.71193127646211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5.748778446337699</v>
      </c>
      <c r="BQ149" s="21">
        <f>EXP(-LN(2)/25)*BQ148+(1-EXP(-LN(2)/25))/(LN(2)/25)*Calculateur!BL149*Calculateur!BN149*VLOOKUP('Données projet'!$B$11,Paramètres!$A$1:$I$89,3,0)*0.475*44/12</f>
        <v>0.57558251067991617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6.3243609570176149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169.76258214884751</v>
      </c>
      <c r="T150" s="59">
        <f t="shared" si="142"/>
        <v>378.2513167340262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6.5154318468682551</v>
      </c>
      <c r="AA150" s="21">
        <f>EXP(-LN(2)/25)*AA149+(1-EXP(-LN(2)/25))/(LN(2)/25)*Calculateur!V150*Calculateur!X150*VLOOKUP('Données projet'!$B$9,Paramètres!$A$1:$I$89,3,0)*0.475*44/12</f>
        <v>0.64719459429120041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7.1626264411594551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160.0845775223442</v>
      </c>
      <c r="AO150" s="59">
        <f t="shared" si="144"/>
        <v>357.56921474995909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6.1157121016616109</v>
      </c>
      <c r="AV150" s="21">
        <f>EXP(-LN(2)/25)*AV149+(1-EXP(-LN(2)/25))/(LN(2)/25)*Calculateur!AQ150*Calculateur!AS150*VLOOKUP('Données projet'!$B$10,Paramètres!$A$1:$I$89,3,0)*0.475*44/12</f>
        <v>0.60748940445738386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6.7232015061189951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148.4522606780651</v>
      </c>
      <c r="BJ150" s="59">
        <f t="shared" si="146"/>
        <v>332.71193127646211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5.6360484074136394</v>
      </c>
      <c r="BQ150" s="21">
        <f>EXP(-LN(2)/25)*BQ149+(1-EXP(-LN(2)/25))/(LN(2)/25)*Calculateur!BL150*Calculateur!BN150*VLOOKUP('Données projet'!$B$11,Paramètres!$A$1:$I$89,3,0)*0.475*44/12</f>
        <v>0.55984317665680516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6.1958915840704449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169.76258214884751</v>
      </c>
      <c r="T151" s="59">
        <f t="shared" si="142"/>
        <v>378.2513167340262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6.3876682023721933</v>
      </c>
      <c r="AA151" s="21">
        <f>EXP(-LN(2)/25)*AA150+(1-EXP(-LN(2)/25))/(LN(2)/25)*Calculateur!V151*Calculateur!X151*VLOOKUP('Données projet'!$B$9,Paramètres!$A$1:$I$89,3,0)*0.475*44/12</f>
        <v>0.62949702407582298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7.0171652264480162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160.0845775223442</v>
      </c>
      <c r="AO151" s="59">
        <f t="shared" si="144"/>
        <v>357.56921474995909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5.9957867175640809</v>
      </c>
      <c r="AV151" s="21">
        <f>EXP(-LN(2)/25)*AV150+(1-EXP(-LN(2)/25))/(LN(2)/25)*Calculateur!AQ151*Calculateur!AS151*VLOOKUP('Données projet'!$B$10,Paramètres!$A$1:$I$89,3,0)*0.475*44/12</f>
        <v>0.59087757474601732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6.5866642923100986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148.4522606780651</v>
      </c>
      <c r="BJ151" s="59">
        <f t="shared" si="146"/>
        <v>332.71193127646211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5.5255289357943465</v>
      </c>
      <c r="BQ151" s="21">
        <f>EXP(-LN(2)/25)*BQ150+(1-EXP(-LN(2)/25))/(LN(2)/25)*Calculateur!BL151*Calculateur!BN151*VLOOKUP('Données projet'!$B$11,Paramètres!$A$1:$I$89,3,0)*0.475*44/12</f>
        <v>0.54453423555025171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6.0700631713445983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169.76258214884751</v>
      </c>
      <c r="T152" s="59">
        <f t="shared" si="142"/>
        <v>378.2513167340262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6.2624099250165708</v>
      </c>
      <c r="AA152" s="21">
        <f>EXP(-LN(2)/25)*AA151+(1-EXP(-LN(2)/25))/(LN(2)/25)*Calculateur!V152*Calculateur!X152*VLOOKUP('Données projet'!$B$9,Paramètres!$A$1:$I$89,3,0)*0.475*44/12</f>
        <v>0.61228339484865979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6.8746933198652309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160.0845775223442</v>
      </c>
      <c r="AO152" s="59">
        <f t="shared" si="144"/>
        <v>357.56921474995909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5.8782129971014419</v>
      </c>
      <c r="AV152" s="21">
        <f>EXP(-LN(2)/25)*AV151+(1-EXP(-LN(2)/25))/(LN(2)/25)*Calculateur!AQ152*Calculateur!AS152*VLOOKUP('Données projet'!$B$10,Paramètres!$A$1:$I$89,3,0)*0.475*44/12</f>
        <v>0.57471999639168625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6.4529329934931283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148.4522606780651</v>
      </c>
      <c r="BJ152" s="59">
        <f t="shared" si="146"/>
        <v>332.71193127646211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5.4171766836032864</v>
      </c>
      <c r="BQ152" s="21">
        <f>EXP(-LN(2)/25)*BQ151+(1-EXP(-LN(2)/25))/(LN(2)/25)*Calculateur!BL152*Calculateur!BN152*VLOOKUP('Données projet'!$B$11,Paramètres!$A$1:$I$89,3,0)*0.475*44/12</f>
        <v>0.52964391824331913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5.9468206018466052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169.76258214884751</v>
      </c>
      <c r="T153" s="59">
        <f t="shared" si="142"/>
        <v>378.2513167340262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6.1396078860798866</v>
      </c>
      <c r="AA153" s="21">
        <f>EXP(-LN(2)/25)*AA152+(1-EXP(-LN(2)/25))/(LN(2)/25)*Calculateur!V153*Calculateur!X153*VLOOKUP('Données projet'!$B$9,Paramètres!$A$1:$I$89,3,0)*0.475*44/12</f>
        <v>0.59554047321793879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6.7351483592978258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160.0845775223442</v>
      </c>
      <c r="AO153" s="59">
        <f t="shared" si="144"/>
        <v>357.56921474995909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5.762944825584186</v>
      </c>
      <c r="AV153" s="21">
        <f>EXP(-LN(2)/25)*AV152+(1-EXP(-LN(2)/25))/(LN(2)/25)*Calculateur!AQ153*Calculateur!AS153*VLOOKUP('Données projet'!$B$10,Paramètres!$A$1:$I$89,3,0)*0.475*44/12</f>
        <v>0.55900424786714453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6.3219490734513304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148.4522606780651</v>
      </c>
      <c r="BJ153" s="59">
        <f t="shared" si="146"/>
        <v>332.71193127646211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5.3109491529893447</v>
      </c>
      <c r="BQ153" s="21">
        <f>EXP(-LN(2)/25)*BQ152+(1-EXP(-LN(2)/25))/(LN(2)/25)*Calculateur!BL153*Calculateur!BN153*VLOOKUP('Données projet'!$B$11,Paramètres!$A$1:$I$89,3,0)*0.475*44/12</f>
        <v>0.51516077744619237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5.8261099304355373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169.76258214884751</v>
      </c>
      <c r="T154" s="59">
        <f t="shared" si="142"/>
        <v>378.2513167340262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6.0192139202249031</v>
      </c>
      <c r="AA154" s="21">
        <f>EXP(-LN(2)/25)*AA153+(1-EXP(-LN(2)/25))/(LN(2)/25)*Calculateur!V154*Calculateur!X154*VLOOKUP('Données projet'!$B$9,Paramètres!$A$1:$I$89,3,0)*0.475*44/12</f>
        <v>0.57925538765968188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6.5984693078845851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160.0845775223442</v>
      </c>
      <c r="AO154" s="59">
        <f t="shared" si="144"/>
        <v>357.56921474995909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5.6499369926037417</v>
      </c>
      <c r="AV154" s="21">
        <f>EXP(-LN(2)/25)*AV153+(1-EXP(-LN(2)/25))/(LN(2)/25)*Calculateur!AQ154*Calculateur!AS154*VLOOKUP('Données projet'!$B$10,Paramètres!$A$1:$I$89,3,0)*0.475*44/12</f>
        <v>0.54371824731246166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6.193655239916203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148.4522606780651</v>
      </c>
      <c r="BJ154" s="59">
        <f t="shared" si="146"/>
        <v>332.71193127646211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5.2068046794583465</v>
      </c>
      <c r="BQ154" s="21">
        <f>EXP(-LN(2)/25)*BQ153+(1-EXP(-LN(2)/25))/(LN(2)/25)*Calculateur!BL154*Calculateur!BN154*VLOOKUP('Données projet'!$B$11,Paramètres!$A$1:$I$89,3,0)*0.475*44/12</f>
        <v>0.50107367889579835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5.7078783583541446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169.76258214884751</v>
      </c>
      <c r="T155" s="59">
        <f t="shared" si="142"/>
        <v>378.2513167340262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5.9011808066072673</v>
      </c>
      <c r="AA155" s="21">
        <f>EXP(-LN(2)/25)*AA154+(1-EXP(-LN(2)/25))/(LN(2)/25)*Calculateur!V155*Calculateur!X155*VLOOKUP('Données projet'!$B$9,Paramètres!$A$1:$I$89,3,0)*0.475*44/12</f>
        <v>0.56341561862241096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6.4645964252296784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160.0845775223442</v>
      </c>
      <c r="AO155" s="59">
        <f t="shared" si="144"/>
        <v>357.56921474995909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5.5391451743000717</v>
      </c>
      <c r="AV155" s="21">
        <f>EXP(-LN(2)/25)*AV154+(1-EXP(-LN(2)/25))/(LN(2)/25)*Calculateur!AQ155*Calculateur!AS155*VLOOKUP('Données projet'!$B$10,Paramètres!$A$1:$I$89,3,0)*0.475*44/12</f>
        <v>0.52885024324680241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6.0679954175468742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148.4522606780651</v>
      </c>
      <c r="BJ155" s="59">
        <f t="shared" si="146"/>
        <v>332.71193127646211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5.1047024155314347</v>
      </c>
      <c r="BQ155" s="21">
        <f>EXP(-LN(2)/25)*BQ154+(1-EXP(-LN(2)/25))/(LN(2)/25)*Calculateur!BL155*Calculateur!BN155*VLOOKUP('Données projet'!$B$11,Paramètres!$A$1:$I$89,3,0)*0.475*44/12</f>
        <v>0.48737179279607318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5.5920742083275075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169.76258214884751</v>
      </c>
      <c r="T156" s="59">
        <f t="shared" si="142"/>
        <v>378.2513167340262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5.7854622503545832</v>
      </c>
      <c r="AA156" s="21">
        <f>EXP(-LN(2)/25)*AA155+(1-EXP(-LN(2)/25))/(LN(2)/25)*Calculateur!V156*Calculateur!X156*VLOOKUP('Données projet'!$B$9,Paramètres!$A$1:$I$89,3,0)*0.475*44/12</f>
        <v>0.54800898890244143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6.3334712392570243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160.0845775223442</v>
      </c>
      <c r="AO156" s="59">
        <f t="shared" si="144"/>
        <v>357.56921474995909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5.4305259159770003</v>
      </c>
      <c r="AV156" s="21">
        <f>EXP(-LN(2)/25)*AV155+(1-EXP(-LN(2)/25))/(LN(2)/25)*Calculateur!AQ156*Calculateur!AS156*VLOOKUP('Données projet'!$B$10,Paramètres!$A$1:$I$89,3,0)*0.475*44/12</f>
        <v>0.51438880553419297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5.9449147215111928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148.4522606780651</v>
      </c>
      <c r="BJ156" s="59">
        <f t="shared" si="146"/>
        <v>332.71193127646211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5.0046023147238978</v>
      </c>
      <c r="BQ156" s="21">
        <f>EXP(-LN(2)/25)*BQ155+(1-EXP(-LN(2)/25))/(LN(2)/25)*Calculateur!BL156*Calculateur!BN156*VLOOKUP('Données projet'!$B$11,Paramètres!$A$1:$I$89,3,0)*0.475*44/12</f>
        <v>0.47404458549229589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5.4786469002161935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169.76258214884751</v>
      </c>
      <c r="T157" s="59">
        <f t="shared" si="142"/>
        <v>378.2513167340262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5.6720128644086643</v>
      </c>
      <c r="AA157" s="21">
        <f>EXP(-LN(2)/25)*AA156+(1-EXP(-LN(2)/25))/(LN(2)/25)*Calculateur!V157*Calculateur!X157*VLOOKUP('Données projet'!$B$9,Paramètres!$A$1:$I$89,3,0)*0.475*44/12</f>
        <v>0.53302365428236398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6.2050365186910286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160.0845775223442</v>
      </c>
      <c r="AO157" s="59">
        <f t="shared" si="144"/>
        <v>357.56921474995909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5.3240366150584384</v>
      </c>
      <c r="AV157" s="21">
        <f>EXP(-LN(2)/25)*AV156+(1-EXP(-LN(2)/25))/(LN(2)/25)*Calculateur!AQ157*Calculateur!AS157*VLOOKUP('Données projet'!$B$10,Paramètres!$A$1:$I$89,3,0)*0.475*44/12</f>
        <v>0.50032281659632882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5.8243594316547673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148.4522606780651</v>
      </c>
      <c r="BJ157" s="59">
        <f t="shared" si="146"/>
        <v>332.71193127646211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4.9064651158381638</v>
      </c>
      <c r="BQ157" s="21">
        <f>EXP(-LN(2)/25)*BQ156+(1-EXP(-LN(2)/25))/(LN(2)/25)*Calculateur!BL157*Calculateur!BN157*VLOOKUP('Données projet'!$B$11,Paramètres!$A$1:$I$89,3,0)*0.475*44/12</f>
        <v>0.46108181137308774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5.3675469272112517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169.76258214884751</v>
      </c>
      <c r="T158" s="59">
        <f t="shared" si="142"/>
        <v>378.2513167340262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5.5607881517238518</v>
      </c>
      <c r="AA158" s="21">
        <f>EXP(-LN(2)/25)*AA157+(1-EXP(-LN(2)/25))/(LN(2)/25)*Calculateur!V158*Calculateur!X158*VLOOKUP('Données projet'!$B$9,Paramètres!$A$1:$I$89,3,0)*0.475*44/12</f>
        <v>0.51844809442551698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6.0792362461493692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160.0845775223442</v>
      </c>
      <c r="AO158" s="59">
        <f t="shared" si="144"/>
        <v>357.56921474995909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5.2196355043788296</v>
      </c>
      <c r="AV158" s="21">
        <f>EXP(-LN(2)/25)*AV157+(1-EXP(-LN(2)/25))/(LN(2)/25)*Calculateur!AQ158*Calculateur!AS158*VLOOKUP('Données projet'!$B$10,Paramètres!$A$1:$I$89,3,0)*0.475*44/12</f>
        <v>0.48664146286566878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5.7062769672444986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148.4522606780651</v>
      </c>
      <c r="BJ158" s="59">
        <f t="shared" si="146"/>
        <v>332.71193127646211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4.8102523275647986</v>
      </c>
      <c r="BQ158" s="21">
        <f>EXP(-LN(2)/25)*BQ157+(1-EXP(-LN(2)/25))/(LN(2)/25)*Calculateur!BL158*Calculateur!BN158*VLOOKUP('Données projet'!$B$11,Paramètres!$A$1:$I$89,3,0)*0.475*44/12</f>
        <v>0.44847350499385202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5.2587258325586506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169.76258214884751</v>
      </c>
      <c r="T159" s="59">
        <f t="shared" si="142"/>
        <v>378.2513167340262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5.4517444878144126</v>
      </c>
      <c r="AA159" s="21">
        <f>EXP(-LN(2)/25)*AA158+(1-EXP(-LN(2)/25))/(LN(2)/25)*Calculateur!V159*Calculateur!X159*VLOOKUP('Données projet'!$B$9,Paramètres!$A$1:$I$89,3,0)*0.475*44/12</f>
        <v>0.50427110401945086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5.9560155918338635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160.0845775223442</v>
      </c>
      <c r="AO159" s="59">
        <f t="shared" si="144"/>
        <v>357.56921474995909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5.1172816358012581</v>
      </c>
      <c r="AV159" s="21">
        <f>EXP(-LN(2)/25)*AV158+(1-EXP(-LN(2)/25))/(LN(2)/25)*Calculateur!AQ159*Calculateur!AS159*VLOOKUP('Données projet'!$B$10,Paramètres!$A$1:$I$89,3,0)*0.475*44/12</f>
        <v>0.47333422647224477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5.5906158622735029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148.4522606780651</v>
      </c>
      <c r="BJ159" s="59">
        <f t="shared" si="146"/>
        <v>332.71193127646211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4.715926213385468</v>
      </c>
      <c r="BQ159" s="21">
        <f>EXP(-LN(2)/25)*BQ158+(1-EXP(-LN(2)/25))/(LN(2)/25)*Calculateur!BL159*Calculateur!BN159*VLOOKUP('Données projet'!$B$11,Paramètres!$A$1:$I$89,3,0)*0.475*44/12</f>
        <v>0.43620997341559853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5.1521361868010667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169.76258214884751</v>
      </c>
      <c r="T160" s="59">
        <f t="shared" si="142"/>
        <v>378.2513167340262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5.34483910364417</v>
      </c>
      <c r="AA160" s="21">
        <f>EXP(-LN(2)/25)*AA159+(1-EXP(-LN(2)/25))/(LN(2)/25)*Calculateur!V160*Calculateur!X160*VLOOKUP('Données projet'!$B$9,Paramètres!$A$1:$I$89,3,0)*0.475*44/12</f>
        <v>0.49048178416157412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5.8353208878057439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160.0845775223442</v>
      </c>
      <c r="AO160" s="59">
        <f t="shared" si="144"/>
        <v>357.56921474995909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5.0169348641567968</v>
      </c>
      <c r="AV160" s="21">
        <f>EXP(-LN(2)/25)*AV159+(1-EXP(-LN(2)/25))/(LN(2)/25)*Calculateur!AQ160*Calculateur!AS160*VLOOKUP('Données projet'!$B$10,Paramètres!$A$1:$I$89,3,0)*0.475*44/12</f>
        <v>0.46039087715779609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5.4773257413145933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148.4522606780651</v>
      </c>
      <c r="BJ160" s="59">
        <f t="shared" si="146"/>
        <v>332.71193127646211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4.6234497767719454</v>
      </c>
      <c r="BQ160" s="21">
        <f>EXP(-LN(2)/25)*BQ159+(1-EXP(-LN(2)/25))/(LN(2)/25)*Calculateur!BL160*Calculateur!BN160*VLOOKUP('Données projet'!$B$11,Paramètres!$A$1:$I$89,3,0)*0.475*44/12</f>
        <v>0.42428178875326344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5.0477315655252086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169.76258214884751</v>
      </c>
      <c r="T161" s="59">
        <f t="shared" si="142"/>
        <v>378.2513167340262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5.2400300688516595</v>
      </c>
      <c r="AA161" s="21">
        <f>EXP(-LN(2)/25)*AA160+(1-EXP(-LN(2)/25))/(LN(2)/25)*Calculateur!V161*Calculateur!X161*VLOOKUP('Données projet'!$B$9,Paramètres!$A$1:$I$89,3,0)*0.475*44/12</f>
        <v>0.47706953398035984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5.7170996028320191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160.0845775223442</v>
      </c>
      <c r="AO161" s="59">
        <f t="shared" si="144"/>
        <v>357.56921474995909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4.9185558314987965</v>
      </c>
      <c r="AV161" s="21">
        <f>EXP(-LN(2)/25)*AV160+(1-EXP(-LN(2)/25))/(LN(2)/25)*Calculateur!AQ161*Calculateur!AS161*VLOOKUP('Données projet'!$B$10,Paramètres!$A$1:$I$89,3,0)*0.475*44/12</f>
        <v>0.44780146441101215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5.3663572959098085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148.4522606780651</v>
      </c>
      <c r="BJ161" s="59">
        <f t="shared" si="146"/>
        <v>332.71193127646211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4.5327867466753569</v>
      </c>
      <c r="BQ161" s="21">
        <f>EXP(-LN(2)/25)*BQ160+(1-EXP(-LN(2)/25))/(LN(2)/25)*Calculateur!BL161*Calculateur!BN161*VLOOKUP('Données projet'!$B$11,Paramètres!$A$1:$I$89,3,0)*0.475*44/12</f>
        <v>0.41267978092779589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4.9454665276031529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169.76258214884751</v>
      </c>
      <c r="T162" s="59">
        <f t="shared" si="142"/>
        <v>378.2513167340262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5.1372762753042318</v>
      </c>
      <c r="AA162" s="21">
        <f>EXP(-LN(2)/25)*AA161+(1-EXP(-LN(2)/25))/(LN(2)/25)*Calculateur!V162*Calculateur!X162*VLOOKUP('Données projet'!$B$9,Paramètres!$A$1:$I$89,3,0)*0.475*44/12</f>
        <v>0.46402404248567047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5.6013003177899021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160.0845775223442</v>
      </c>
      <c r="AO162" s="59">
        <f t="shared" si="144"/>
        <v>357.56921474995909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4.822105951665935</v>
      </c>
      <c r="AV162" s="21">
        <f>EXP(-LN(2)/25)*AV161+(1-EXP(-LN(2)/25))/(LN(2)/25)*Calculateur!AQ162*Calculateur!AS162*VLOOKUP('Données projet'!$B$10,Paramètres!$A$1:$I$89,3,0)*0.475*44/12</f>
        <v>0.43555630981783749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5.2576622614837722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148.4522606780651</v>
      </c>
      <c r="BJ162" s="59">
        <f t="shared" si="146"/>
        <v>332.71193127646211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4.4439015632999741</v>
      </c>
      <c r="BQ162" s="21">
        <f>EXP(-LN(2)/25)*BQ161+(1-EXP(-LN(2)/25))/(LN(2)/25)*Calculateur!BL162*Calculateur!BN162*VLOOKUP('Données projet'!$B$11,Paramètres!$A$1:$I$89,3,0)*0.475*44/12</f>
        <v>0.40139503061643883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4.8452965939164132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169.76258214884751</v>
      </c>
      <c r="T163" s="59">
        <f t="shared" si="142"/>
        <v>378.2513167340262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5.0365374209746436</v>
      </c>
      <c r="AA163" s="21">
        <f>EXP(-LN(2)/25)*AA162+(1-EXP(-LN(2)/25))/(LN(2)/25)*Calculateur!V163*Calculateur!X163*VLOOKUP('Données projet'!$B$9,Paramètres!$A$1:$I$89,3,0)*0.475*44/12</f>
        <v>0.45133528064193595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5.4878727016165794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160.0845775223442</v>
      </c>
      <c r="AO163" s="59">
        <f t="shared" si="144"/>
        <v>357.56921474995909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4.7275473951479778</v>
      </c>
      <c r="AV163" s="21">
        <f>EXP(-LN(2)/25)*AV162+(1-EXP(-LN(2)/25))/(LN(2)/25)*Calculateur!AQ163*Calculateur!AS163*VLOOKUP('Données projet'!$B$10,Paramètres!$A$1:$I$89,3,0)*0.475*44/12</f>
        <v>0.42364599962095789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5.1511933947689359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148.4522606780651</v>
      </c>
      <c r="BJ163" s="59">
        <f t="shared" si="146"/>
        <v>332.71193127646211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4.3567593641559741</v>
      </c>
      <c r="BQ163" s="21">
        <f>EXP(-LN(2)/25)*BQ162+(1-EXP(-LN(2)/25))/(LN(2)/25)*Calculateur!BL163*Calculateur!BN163*VLOOKUP('Données projet'!$B$11,Paramètres!$A$1:$I$89,3,0)*0.475*44/12</f>
        <v>0.39041886239578505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4.7471782265517595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169.76258214884751</v>
      </c>
      <c r="T164" s="59">
        <f t="shared" si="142"/>
        <v>378.2513167340262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4.9377739941338241</v>
      </c>
      <c r="AA164" s="21">
        <f>EXP(-LN(2)/25)*AA163+(1-EXP(-LN(2)/25))/(LN(2)/25)*Calculateur!V164*Calculateur!X164*VLOOKUP('Données projet'!$B$9,Paramètres!$A$1:$I$89,3,0)*0.475*44/12</f>
        <v>0.43899349365809137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5.3767674877919154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160.0845775223442</v>
      </c>
      <c r="AO164" s="59">
        <f t="shared" si="144"/>
        <v>357.56921474995909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4.6348430742483133</v>
      </c>
      <c r="AV164" s="21">
        <f>EXP(-LN(2)/25)*AV163+(1-EXP(-LN(2)/25))/(LN(2)/25)*Calculateur!AQ164*Calculateur!AS164*VLOOKUP('Données projet'!$B$10,Paramètres!$A$1:$I$89,3,0)*0.475*44/12</f>
        <v>0.41206137748274796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5.0469044517310611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148.4522606780651</v>
      </c>
      <c r="BJ164" s="59">
        <f t="shared" si="146"/>
        <v>332.71193127646211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4.2713259703856954</v>
      </c>
      <c r="BQ164" s="21">
        <f>EXP(-LN(2)/25)*BQ163+(1-EXP(-LN(2)/25))/(LN(2)/25)*Calculateur!BL164*Calculateur!BN164*VLOOKUP('Données projet'!$B$11,Paramètres!$A$1:$I$89,3,0)*0.475*44/12</f>
        <v>0.37974283807233666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4.6510688084580316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169.76258214884751</v>
      </c>
      <c r="T165" s="59">
        <f t="shared" si="142"/>
        <v>378.2513167340262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4.8409472578536112</v>
      </c>
      <c r="AA165" s="21">
        <f>EXP(-LN(2)/25)*AA164+(1-EXP(-LN(2)/25))/(LN(2)/25)*Calculateur!V165*Calculateur!X165*VLOOKUP('Données projet'!$B$9,Paramètres!$A$1:$I$89,3,0)*0.475*44/12</f>
        <v>0.42698919348834635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5.2679364513419573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160.0845775223442</v>
      </c>
      <c r="AO165" s="59">
        <f t="shared" si="144"/>
        <v>357.56921474995909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4.5439566285374386</v>
      </c>
      <c r="AV165" s="21">
        <f>EXP(-LN(2)/25)*AV164+(1-EXP(-LN(2)/25))/(LN(2)/25)*Calculateur!AQ165*Calculateur!AS165*VLOOKUP('Données projet'!$B$10,Paramètres!$A$1:$I$89,3,0)*0.475*44/12</f>
        <v>0.40079353744611618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4.9447501659835549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148.4522606780651</v>
      </c>
      <c r="BJ165" s="59">
        <f t="shared" si="146"/>
        <v>332.71193127646211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4.1875678733580264</v>
      </c>
      <c r="BQ165" s="21">
        <f>EXP(-LN(2)/25)*BQ164+(1-EXP(-LN(2)/25))/(LN(2)/25)*Calculateur!BL165*Calculateur!BN165*VLOOKUP('Données projet'!$B$11,Paramètres!$A$1:$I$89,3,0)*0.475*44/12</f>
        <v>0.36935875019544068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4.5569266235534673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169.76258214884751</v>
      </c>
      <c r="T166" s="59">
        <f t="shared" si="142"/>
        <v>378.2513167340262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4.7460192348133754</v>
      </c>
      <c r="AA166" s="21">
        <f>EXP(-LN(2)/25)*AA165+(1-EXP(-LN(2)/25))/(LN(2)/25)*Calculateur!V166*Calculateur!X166*VLOOKUP('Données projet'!$B$9,Paramètres!$A$1:$I$89,3,0)*0.475*44/12</f>
        <v>0.41531315153802173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5.1613323863513969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160.0845775223442</v>
      </c>
      <c r="AO166" s="59">
        <f t="shared" si="144"/>
        <v>357.56921474995909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4.4548524105916965</v>
      </c>
      <c r="AV166" s="21">
        <f>EXP(-LN(2)/25)*AV165+(1-EXP(-LN(2)/25))/(LN(2)/25)*Calculateur!AQ166*Calculateur!AS166*VLOOKUP('Données projet'!$B$10,Paramètres!$A$1:$I$89,3,0)*0.475*44/12</f>
        <v>0.38983381708783604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4.8446862276795324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148.4522606780651</v>
      </c>
      <c r="BJ166" s="59">
        <f t="shared" si="146"/>
        <v>332.71193127646211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4.1054522215256757</v>
      </c>
      <c r="BQ166" s="21">
        <f>EXP(-LN(2)/25)*BQ165+(1-EXP(-LN(2)/25))/(LN(2)/25)*Calculateur!BL166*Calculateur!BN166*VLOOKUP('Données projet'!$B$11,Paramètres!$A$1:$I$89,3,0)*0.475*44/12</f>
        <v>0.35925861574761386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4.4647108372732891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169.76258214884751</v>
      </c>
      <c r="T167" s="59">
        <f t="shared" si="142"/>
        <v>378.2513167340262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4.6529526924045816</v>
      </c>
      <c r="AA167" s="21">
        <f>EXP(-LN(2)/25)*AA166+(1-EXP(-LN(2)/25))/(LN(2)/25)*Calculateur!V167*Calculateur!X167*VLOOKUP('Données projet'!$B$9,Paramètres!$A$1:$I$89,3,0)*0.475*44/12</f>
        <v>0.40395639156884511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5.0569090839734265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160.0845775223442</v>
      </c>
      <c r="AO167" s="59">
        <f t="shared" si="144"/>
        <v>357.56921474995909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4.3674954720116634</v>
      </c>
      <c r="AV167" s="21">
        <f>EXP(-LN(2)/25)*AV166+(1-EXP(-LN(2)/25))/(LN(2)/25)*Calculateur!AQ167*Calculateur!AS167*VLOOKUP('Données projet'!$B$10,Paramètres!$A$1:$I$89,3,0)*0.475*44/12</f>
        <v>0.37917379085909969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4.7466692628707632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148.4522606780651</v>
      </c>
      <c r="BJ167" s="59">
        <f t="shared" si="146"/>
        <v>332.71193127646211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4.0249468075401547</v>
      </c>
      <c r="BQ167" s="21">
        <f>EXP(-LN(2)/25)*BQ166+(1-EXP(-LN(2)/25))/(LN(2)/25)*Calculateur!BL167*Calculateur!BN167*VLOOKUP('Données projet'!$B$11,Paramètres!$A$1:$I$89,3,0)*0.475*44/12</f>
        <v>0.34943467000740586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4.3743814775475602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169.76258214884751</v>
      </c>
      <c r="T168" s="59">
        <f t="shared" si="142"/>
        <v>378.2513167340262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4.5617111281274392</v>
      </c>
      <c r="AA168" s="21">
        <f>EXP(-LN(2)/25)*AA167+(1-EXP(-LN(2)/25))/(LN(2)/25)*Calculateur!V168*Calculateur!X168*VLOOKUP('Données projet'!$B$9,Paramètres!$A$1:$I$89,3,0)*0.475*44/12</f>
        <v>0.39291018279825168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4.9546213109256909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160.0845775223442</v>
      </c>
      <c r="AO168" s="59">
        <f t="shared" si="144"/>
        <v>357.56921474995909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4.2818515497147134</v>
      </c>
      <c r="AV168" s="21">
        <f>EXP(-LN(2)/25)*AV167+(1-EXP(-LN(2)/25))/(LN(2)/25)*Calculateur!AQ168*Calculateur!AS168*VLOOKUP('Données projet'!$B$10,Paramètres!$A$1:$I$89,3,0)*0.475*44/12</f>
        <v>0.36880526360817456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4.6506568133228878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148.4522606780651</v>
      </c>
      <c r="BJ168" s="59">
        <f t="shared" si="146"/>
        <v>332.71193127646211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3.946020055619436</v>
      </c>
      <c r="BQ168" s="21">
        <f>EXP(-LN(2)/25)*BQ167+(1-EXP(-LN(2)/25))/(LN(2)/25)*Calculateur!BL168*Calculateur!BN168*VLOOKUP('Données projet'!$B$11,Paramètres!$A$1:$I$89,3,0)*0.475*44/12</f>
        <v>0.33987936058008267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4.285899416199519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169.76258214884751</v>
      </c>
      <c r="T169" s="59">
        <f t="shared" si="142"/>
        <v>378.2513167340262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4.4722587552739119</v>
      </c>
      <c r="AA169" s="21">
        <f>EXP(-LN(2)/25)*AA168+(1-EXP(-LN(2)/25))/(LN(2)/25)*Calculateur!V169*Calculateur!X169*VLOOKUP('Données projet'!$B$9,Paramètres!$A$1:$I$89,3,0)*0.475*44/12</f>
        <v>0.38216603318738501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4.854424788461297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160.0845775223442</v>
      </c>
      <c r="AO169" s="59">
        <f t="shared" si="144"/>
        <v>357.56921474995909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4.1978870524963723</v>
      </c>
      <c r="AV169" s="21">
        <f>EXP(-LN(2)/25)*AV168+(1-EXP(-LN(2)/25))/(LN(2)/25)*Calculateur!AQ169*Calculateur!AS169*VLOOKUP('Données projet'!$B$10,Paramètres!$A$1:$I$89,3,0)*0.475*44/12</f>
        <v>0.35872026428018311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4.5566073167765557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148.4522606780651</v>
      </c>
      <c r="BJ169" s="59">
        <f t="shared" si="146"/>
        <v>332.71193127646211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3.8686410091633174</v>
      </c>
      <c r="BQ169" s="21">
        <f>EXP(-LN(2)/25)*BQ168+(1-EXP(-LN(2)/25))/(LN(2)/25)*Calculateur!BL169*Calculateur!BN169*VLOOKUP('Données projet'!$B$11,Paramètres!$A$1:$I$89,3,0)*0.475*44/12</f>
        <v>0.33058534159154151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4.1992263507548593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169.76258214884751</v>
      </c>
      <c r="T170" s="59">
        <f t="shared" si="142"/>
        <v>378.2513167340262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4.3845604888914824</v>
      </c>
      <c r="AA170" s="21">
        <f>EXP(-LN(2)/25)*AA169+(1-EXP(-LN(2)/25))/(LN(2)/25)*Calculateur!V170*Calculateur!X170*VLOOKUP('Données projet'!$B$9,Paramètres!$A$1:$I$89,3,0)*0.475*44/12</f>
        <v>0.37171568291263773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4.75627617180412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160.0845775223442</v>
      </c>
      <c r="AO170" s="59">
        <f t="shared" si="144"/>
        <v>357.56921474995909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4.1155690478551961</v>
      </c>
      <c r="AV170" s="21">
        <f>EXP(-LN(2)/25)*AV169+(1-EXP(-LN(2)/25))/(LN(2)/25)*Calculateur!AQ170*Calculateur!AS170*VLOOKUP('Données projet'!$B$10,Paramètres!$A$1:$I$89,3,0)*0.475*44/12</f>
        <v>0.34891103978916266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4.4644800876443584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148.4522606780651</v>
      </c>
      <c r="BJ170" s="59">
        <f t="shared" si="146"/>
        <v>332.71193127646211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3.7927793186116454</v>
      </c>
      <c r="BQ170" s="21">
        <f>EXP(-LN(2)/25)*BQ169+(1-EXP(-LN(2)/25))/(LN(2)/25)*Calculateur!BL170*Calculateur!BN170*VLOOKUP('Données projet'!$B$11,Paramètres!$A$1:$I$89,3,0)*0.475*44/12</f>
        <v>0.32154546804099327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4.1143247866526389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169.76258214884751</v>
      </c>
      <c r="T171" s="59">
        <f t="shared" si="142"/>
        <v>378.2513167340262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4.2985819320221514</v>
      </c>
      <c r="AA171" s="21">
        <f>EXP(-LN(2)/25)*AA170+(1-EXP(-LN(2)/25))/(LN(2)/25)*Calculateur!V171*Calculateur!X171*VLOOKUP('Données projet'!$B$9,Paramètres!$A$1:$I$89,3,0)*0.475*44/12</f>
        <v>0.36155109801571345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4.6601330300378647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160.0845775223442</v>
      </c>
      <c r="AO171" s="59">
        <f t="shared" si="144"/>
        <v>357.56921474995909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4.0348652490760086</v>
      </c>
      <c r="AV171" s="21">
        <f>EXP(-LN(2)/25)*AV170+(1-EXP(-LN(2)/25))/(LN(2)/25)*Calculateur!AQ171*Calculateur!AS171*VLOOKUP('Données projet'!$B$10,Paramètres!$A$1:$I$89,3,0)*0.475*44/12</f>
        <v>0.33937004905769386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4.3742352981337023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148.4522606780651</v>
      </c>
      <c r="BJ171" s="59">
        <f t="shared" si="146"/>
        <v>332.71193127646211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3.7184052295406294</v>
      </c>
      <c r="BQ171" s="21">
        <f>EXP(-LN(2)/25)*BQ170+(1-EXP(-LN(2)/25))/(LN(2)/25)*Calculateur!BL171*Calculateur!BN171*VLOOKUP('Données projet'!$B$11,Paramètres!$A$1:$I$89,3,0)*0.475*44/12</f>
        <v>0.31275279030807102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4.0311580198487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169.76258214884751</v>
      </c>
      <c r="T172" s="59">
        <f t="shared" si="142"/>
        <v>378.2513167340262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4.2142893622112867</v>
      </c>
      <c r="AA172" s="21">
        <f>EXP(-LN(2)/25)*AA171+(1-EXP(-LN(2)/25))/(LN(2)/25)*Calculateur!V172*Calculateur!X172*VLOOKUP('Données projet'!$B$9,Paramètres!$A$1:$I$89,3,0)*0.475*44/12</f>
        <v>0.35166446422732783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4.5659538264386148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160.0845775223442</v>
      </c>
      <c r="AO172" s="59">
        <f t="shared" si="144"/>
        <v>357.56921474995909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3.9557440025664241</v>
      </c>
      <c r="AV172" s="21">
        <f>EXP(-LN(2)/25)*AV171+(1-EXP(-LN(2)/25))/(LN(2)/25)*Calculateur!AQ172*Calculateur!AS172*VLOOKUP('Données projet'!$B$10,Paramètres!$A$1:$I$89,3,0)*0.475*44/12</f>
        <v>0.33008995721951601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4.2858339597859398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148.4522606780651</v>
      </c>
      <c r="BJ172" s="59">
        <f t="shared" si="146"/>
        <v>332.71193127646211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3.6454895709925808</v>
      </c>
      <c r="BQ172" s="21">
        <f>EXP(-LN(2)/25)*BQ171+(1-EXP(-LN(2)/25))/(LN(2)/25)*Calculateur!BL172*Calculateur!BN172*VLOOKUP('Données projet'!$B$11,Paramètres!$A$1:$I$89,3,0)*0.475*44/12</f>
        <v>0.30420054881014236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3.9496901198027232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169.76258214884751</v>
      </c>
      <c r="T173" s="59">
        <f t="shared" si="142"/>
        <v>378.2513167340262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4.1316497182810226</v>
      </c>
      <c r="AA173" s="21">
        <f>EXP(-LN(2)/25)*AA172+(1-EXP(-LN(2)/25))/(LN(2)/25)*Calculateur!V173*Calculateur!X173*VLOOKUP('Données projet'!$B$9,Paramètres!$A$1:$I$89,3,0)*0.475*44/12</f>
        <v>0.34204818095980111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4.4736978992408236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160.0845775223442</v>
      </c>
      <c r="AO173" s="59">
        <f t="shared" si="144"/>
        <v>357.56921474995909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3.8781742754416975</v>
      </c>
      <c r="AV173" s="21">
        <f>EXP(-LN(2)/25)*AV172+(1-EXP(-LN(2)/25))/(LN(2)/25)*Calculateur!AQ173*Calculateur!AS173*VLOOKUP('Données projet'!$B$10,Paramètres!$A$1:$I$89,3,0)*0.475*44/12</f>
        <v>0.32106362998067189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4.1992379054223692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148.4522606780651</v>
      </c>
      <c r="BJ173" s="59">
        <f t="shared" si="146"/>
        <v>332.71193127646211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3.5740037440344992</v>
      </c>
      <c r="BQ173" s="21">
        <f>EXP(-LN(2)/25)*BQ172+(1-EXP(-LN(2)/25))/(LN(2)/25)*Calculateur!BL173*Calculateur!BN173*VLOOKUP('Données projet'!$B$11,Paramètres!$A$1:$I$89,3,0)*0.475*44/12</f>
        <v>0.29588216880571744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3.8698859128402168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169.76258214884751</v>
      </c>
      <c r="T174" s="59">
        <f t="shared" si="142"/>
        <v>378.2513167340262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4.0506305873630248</v>
      </c>
      <c r="AA174" s="21">
        <f>EXP(-LN(2)/25)*AA173+(1-EXP(-LN(2)/25))/(LN(2)/25)*Calculateur!V174*Calculateur!X174*VLOOKUP('Données projet'!$B$9,Paramètres!$A$1:$I$89,3,0)*0.475*44/12</f>
        <v>0.33269485546392324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4.3833254428269477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160.0845775223442</v>
      </c>
      <c r="AO174" s="59">
        <f t="shared" si="144"/>
        <v>357.56921474995909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3.8021256433530248</v>
      </c>
      <c r="AV174" s="21">
        <f>EXP(-LN(2)/25)*AV173+(1-EXP(-LN(2)/25))/(LN(2)/25)*Calculateur!AQ174*Calculateur!AS174*VLOOKUP('Données projet'!$B$10,Paramètres!$A$1:$I$89,3,0)*0.475*44/12</f>
        <v>0.3122841281348479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4.1144097714878729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148.4522606780651</v>
      </c>
      <c r="BJ174" s="59">
        <f t="shared" si="146"/>
        <v>332.71193127646211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3.5039197105410165</v>
      </c>
      <c r="BQ174" s="21">
        <f>EXP(-LN(2)/25)*BQ173+(1-EXP(-LN(2)/25))/(LN(2)/25)*Calculateur!BL174*Calculateur!BN174*VLOOKUP('Données projet'!$B$11,Paramètres!$A$1:$I$89,3,0)*0.475*44/12</f>
        <v>0.28779125533995809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3.7917109658809744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169.76258214884751</v>
      </c>
      <c r="T175" s="59">
        <f t="shared" si="142"/>
        <v>378.2513167340262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3.9712001921855387</v>
      </c>
      <c r="AA175" s="21">
        <f>EXP(-LN(2)/25)*AA174+(1-EXP(-LN(2)/25))/(LN(2)/25)*Calculateur!V175*Calculateur!X175*VLOOKUP('Données projet'!$B$9,Paramètres!$A$1:$I$89,3,0)*0.475*44/12</f>
        <v>0.3235972971456002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4.2947974893311391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160.0845775223442</v>
      </c>
      <c r="AO175" s="59">
        <f t="shared" si="144"/>
        <v>357.56921474995909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3.7275682785545254</v>
      </c>
      <c r="AV175" s="21">
        <f>EXP(-LN(2)/25)*AV174+(1-EXP(-LN(2)/25))/(LN(2)/25)*Calculateur!AQ175*Calculateur!AS175*VLOOKUP('Données projet'!$B$10,Paramètres!$A$1:$I$89,3,0)*0.475*44/12</f>
        <v>0.30374470222869193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4.0313129807832171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148.4522606780651</v>
      </c>
      <c r="BJ175" s="59">
        <f t="shared" si="146"/>
        <v>332.71193127646211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3.4352099821973017</v>
      </c>
      <c r="BQ175" s="21">
        <f>EXP(-LN(2)/25)*BQ174+(1-EXP(-LN(2)/25))/(LN(2)/25)*Calculateur!BL175*Calculateur!BN175*VLOOKUP('Données projet'!$B$11,Paramètres!$A$1:$I$89,3,0)*0.475*44/12</f>
        <v>0.27992158832840258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3.7151315705257044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169.76258214884751</v>
      </c>
      <c r="T176" s="59">
        <f t="shared" si="142"/>
        <v>378.2513167340262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3.893327378609726</v>
      </c>
      <c r="AA176" s="21">
        <f>EXP(-LN(2)/25)*AA175+(1-EXP(-LN(2)/25))/(LN(2)/25)*Calculateur!V176*Calculateur!X176*VLOOKUP('Données projet'!$B$9,Paramètres!$A$1:$I$89,3,0)*0.475*44/12</f>
        <v>0.31474851203791149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4.2080758906476374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160.0845775223442</v>
      </c>
      <c r="AO176" s="59">
        <f t="shared" si="144"/>
        <v>357.56921474995909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3.6544729382042225</v>
      </c>
      <c r="AV176" s="21">
        <f>EXP(-LN(2)/25)*AV175+(1-EXP(-LN(2)/25))/(LN(2)/25)*Calculateur!AQ176*Calculateur!AS176*VLOOKUP('Données projet'!$B$10,Paramètres!$A$1:$I$89,3,0)*0.475*44/12</f>
        <v>0.29543878737300866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3.9499117255772314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148.4522606780651</v>
      </c>
      <c r="BJ176" s="59">
        <f t="shared" si="146"/>
        <v>332.71193127646211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3.3678476097176109</v>
      </c>
      <c r="BQ176" s="21">
        <f>EXP(-LN(2)/25)*BQ175+(1-EXP(-LN(2)/25))/(LN(2)/25)*Calculateur!BL176*Calculateur!BN176*VLOOKUP('Données projet'!$B$11,Paramètres!$A$1:$I$89,3,0)*0.475*44/12</f>
        <v>0.27226711777512586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3.6401147274927368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169.76258214884751</v>
      </c>
      <c r="T177" s="59">
        <f t="shared" si="142"/>
        <v>378.2513167340262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3.8169816034104085</v>
      </c>
      <c r="AA177" s="21">
        <f>EXP(-LN(2)/25)*AA176+(1-EXP(-LN(2)/25))/(LN(2)/25)*Calculateur!V177*Calculateur!X177*VLOOKUP('Données projet'!$B$9,Paramètres!$A$1:$I$89,3,0)*0.475*44/12</f>
        <v>0.30614169742432989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4.1231233008347381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160.0845775223442</v>
      </c>
      <c r="AO177" s="59">
        <f t="shared" si="144"/>
        <v>357.56921474995909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3.5828109528944339</v>
      </c>
      <c r="AV177" s="21">
        <f>EXP(-LN(2)/25)*AV176+(1-EXP(-LN(2)/25))/(LN(2)/25)*Calculateur!AQ177*Calculateur!AS177*VLOOKUP('Données projet'!$B$10,Paramètres!$A$1:$I$89,3,0)*0.475*44/12</f>
        <v>0.28735999819584312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3.8701709510902771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148.4522606780651</v>
      </c>
      <c r="BJ177" s="59">
        <f t="shared" si="146"/>
        <v>332.71193127646211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3.3018061722752567</v>
      </c>
      <c r="BQ177" s="21">
        <f>EXP(-LN(2)/25)*BQ176+(1-EXP(-LN(2)/25))/(LN(2)/25)*Calculateur!BL177*Calculateur!BN177*VLOOKUP('Données projet'!$B$11,Paramètres!$A$1:$I$89,3,0)*0.475*44/12</f>
        <v>0.26482195912165957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3.5666281313969161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169.76258214884751</v>
      </c>
      <c r="T178" s="59">
        <f t="shared" si="142"/>
        <v>378.2513167340262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3.7421329222964248</v>
      </c>
      <c r="AA178" s="21">
        <f>EXP(-LN(2)/25)*AA177+(1-EXP(-LN(2)/25))/(LN(2)/25)*Calculateur!V178*Calculateur!X178*VLOOKUP('Données projet'!$B$9,Paramètres!$A$1:$I$89,3,0)*0.475*44/12</f>
        <v>0.2977702366089694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4.0399031589053944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160.0845775223442</v>
      </c>
      <c r="AO178" s="59">
        <f t="shared" si="144"/>
        <v>357.56921474995909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3.512554215407075</v>
      </c>
      <c r="AV178" s="21">
        <f>EXP(-LN(2)/25)*AV177+(1-EXP(-LN(2)/25))/(LN(2)/25)*Calculateur!AQ178*Calculateur!AS178*VLOOKUP('Données projet'!$B$10,Paramètres!$A$1:$I$89,3,0)*0.475*44/12</f>
        <v>0.27950212393357227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3.7920563393406472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148.4522606780651</v>
      </c>
      <c r="BJ178" s="59">
        <f t="shared" si="146"/>
        <v>332.71193127646211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3.2370597671398476</v>
      </c>
      <c r="BQ178" s="21">
        <f>EXP(-LN(2)/25)*BQ177+(1-EXP(-LN(2)/25))/(LN(2)/25)*Calculateur!BL178*Calculateur!BN178*VLOOKUP('Données projet'!$B$11,Paramètres!$A$1:$I$89,3,0)*0.475*44/12</f>
        <v>0.25758038872309619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3.4946401558629439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169.76258214884751</v>
      </c>
      <c r="T179" s="59">
        <f t="shared" si="142"/>
        <v>378.2513167340262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3.6687519781658988</v>
      </c>
      <c r="AA179" s="21">
        <f>EXP(-LN(2)/25)*AA178+(1-EXP(-LN(2)/25))/(LN(2)/25)*Calculateur!V179*Calculateur!X179*VLOOKUP('Données projet'!$B$9,Paramètres!$A$1:$I$89,3,0)*0.475*44/12</f>
        <v>0.28962769382984094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3.9583796719957398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160.0845775223442</v>
      </c>
      <c r="AO179" s="59">
        <f t="shared" si="144"/>
        <v>357.56921474995909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3.4436751696894645</v>
      </c>
      <c r="AV179" s="21">
        <f>EXP(-LN(2)/25)*AV178+(1-EXP(-LN(2)/25))/(LN(2)/25)*Calculateur!AQ179*Calculateur!AS179*VLOOKUP('Données projet'!$B$10,Paramètres!$A$1:$I$89,3,0)*0.475*44/12</f>
        <v>0.27185912365623083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3.7155342933456952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148.4522606780651</v>
      </c>
      <c r="BJ179" s="59">
        <f t="shared" si="146"/>
        <v>332.71193127646211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3.1735829995177363</v>
      </c>
      <c r="BQ179" s="21">
        <f>EXP(-LN(2)/25)*BQ178+(1-EXP(-LN(2)/25))/(LN(2)/25)*Calculateur!BL179*Calculateur!BN179*VLOOKUP('Données projet'!$B$11,Paramètres!$A$1:$I$89,3,0)*0.475*44/12</f>
        <v>0.25053683944789917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3.4241198389656353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169.76258214884751</v>
      </c>
      <c r="T180" s="59">
        <f t="shared" si="142"/>
        <v>378.2513167340262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3.596809989591816</v>
      </c>
      <c r="AA180" s="21">
        <f>EXP(-LN(2)/25)*AA179+(1-EXP(-LN(2)/25))/(LN(2)/25)*Calculateur!V180*Calculateur!X180*VLOOKUP('Données projet'!$B$9,Paramètres!$A$1:$I$89,3,0)*0.475*44/12</f>
        <v>0.28170780931120548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3.8785177989030215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160.0845775223442</v>
      </c>
      <c r="AO180" s="59">
        <f t="shared" si="144"/>
        <v>357.56921474995909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3.3761468000463069</v>
      </c>
      <c r="AV180" s="21">
        <f>EXP(-LN(2)/25)*AV179+(1-EXP(-LN(2)/25))/(LN(2)/25)*Calculateur!AQ180*Calculateur!AS180*VLOOKUP('Données projet'!$B$10,Paramètres!$A$1:$I$89,3,0)*0.475*44/12</f>
        <v>0.2644251216234012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3.6405719216697081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148.4522606780651</v>
      </c>
      <c r="BJ180" s="59">
        <f t="shared" si="146"/>
        <v>332.71193127646211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3.1113509725916892</v>
      </c>
      <c r="BQ180" s="21">
        <f>EXP(-LN(2)/25)*BQ179+(1-EXP(-LN(2)/25))/(LN(2)/25)*Calculateur!BL180*Calculateur!BN180*VLOOKUP('Données projet'!$B$11,Paramètres!$A$1:$I$89,3,0)*0.475*44/12</f>
        <v>0.24368589639803659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3.3550368689897256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169.76258214884751</v>
      </c>
      <c r="T181" s="59">
        <f t="shared" si="142"/>
        <v>378.2513167340262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3.5262787395333905</v>
      </c>
      <c r="AA181" s="21">
        <f>EXP(-LN(2)/25)*AA180+(1-EXP(-LN(2)/25))/(LN(2)/25)*Calculateur!V181*Calculateur!X181*VLOOKUP('Données projet'!$B$9,Paramètres!$A$1:$I$89,3,0)*0.475*44/12</f>
        <v>0.27400449445122071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3.8002832339846111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160.0845775223442</v>
      </c>
      <c r="AO181" s="59">
        <f t="shared" si="144"/>
        <v>357.56921474995909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3.3099426205436133</v>
      </c>
      <c r="AV181" s="21">
        <f>EXP(-LN(2)/25)*AV180+(1-EXP(-LN(2)/25))/(LN(2)/25)*Calculateur!AQ181*Calculateur!AS181*VLOOKUP('Données projet'!$B$10,Paramètres!$A$1:$I$89,3,0)*0.475*44/12</f>
        <v>0.25719440276709649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3.5671370233107096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148.4522606780651</v>
      </c>
      <c r="BJ181" s="59">
        <f t="shared" si="146"/>
        <v>332.71193127646211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3.0503392777558735</v>
      </c>
      <c r="BQ181" s="21">
        <f>EXP(-LN(2)/25)*BQ180+(1-EXP(-LN(2)/25))/(LN(2)/25)*Calculateur!BL181*Calculateur!BN181*VLOOKUP('Données projet'!$B$11,Paramètres!$A$1:$I$89,3,0)*0.475*44/12</f>
        <v>0.23702229274614794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3.2873615705020214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169.76258214884751</v>
      </c>
      <c r="T182" s="59">
        <f t="shared" si="142"/>
        <v>378.2513167340262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3.4571305642687964</v>
      </c>
      <c r="AA182" s="21">
        <f>EXP(-LN(2)/25)*AA181+(1-EXP(-LN(2)/25))/(LN(2)/25)*Calculateur!V182*Calculateur!X182*VLOOKUP('Données projet'!$B$9,Paramètres!$A$1:$I$89,3,0)*0.475*44/12</f>
        <v>0.26651182714118199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3.7236423914099785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160.0845775223442</v>
      </c>
      <c r="AO182" s="59">
        <f t="shared" si="144"/>
        <v>357.56921474995909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3.2450366646204052</v>
      </c>
      <c r="AV182" s="21">
        <f>EXP(-LN(2)/25)*AV181+(1-EXP(-LN(2)/25))/(LN(2)/25)*Calculateur!AQ182*Calculateur!AS182*VLOOKUP('Données projet'!$B$10,Paramètres!$A$1:$I$89,3,0)*0.475*44/12</f>
        <v>0.25016140829816441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3.4951980729185697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148.4522606780651</v>
      </c>
      <c r="BJ182" s="59">
        <f t="shared" si="146"/>
        <v>332.71193127646211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2.9905239850423291</v>
      </c>
      <c r="BQ182" s="21">
        <f>EXP(-LN(2)/25)*BQ181+(1-EXP(-LN(2)/25))/(LN(2)/25)*Calculateur!BL182*Calculateur!BN182*VLOOKUP('Données projet'!$B$11,Paramètres!$A$1:$I$89,3,0)*0.475*44/12</f>
        <v>0.23054090568654387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3.221064890728873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169.76258214884751</v>
      </c>
      <c r="T183" s="59">
        <f t="shared" si="142"/>
        <v>378.2513167340262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3.3893383425449186</v>
      </c>
      <c r="AA183" s="21">
        <f>EXP(-LN(2)/25)*AA182+(1-EXP(-LN(2)/25))/(LN(2)/25)*Calculateur!V183*Calculateur!X183*VLOOKUP('Données projet'!$B$9,Paramètres!$A$1:$I$89,3,0)*0.475*44/12</f>
        <v>0.25922404721275849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3.6485623897576769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160.0845775223442</v>
      </c>
      <c r="AO183" s="59">
        <f t="shared" si="144"/>
        <v>357.56921474995909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3.1814034749041271</v>
      </c>
      <c r="AV183" s="21">
        <f>EXP(-LN(2)/25)*AV182+(1-EXP(-LN(2)/25))/(LN(2)/25)*Calculateur!AQ183*Calculateur!AS183*VLOOKUP('Données projet'!$B$10,Paramètres!$A$1:$I$89,3,0)*0.475*44/12</f>
        <v>0.24332073143283439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3.4247242063369616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148.4522606780651</v>
      </c>
      <c r="BJ183" s="59">
        <f t="shared" si="146"/>
        <v>332.71193127646211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2.9318816337351707</v>
      </c>
      <c r="BQ183" s="21">
        <f>EXP(-LN(2)/25)*BQ182+(1-EXP(-LN(2)/25))/(LN(2)/25)*Calculateur!BL183*Calculateur!BN183*VLOOKUP('Données projet'!$B$11,Paramètres!$A$1:$I$89,3,0)*0.475*44/12</f>
        <v>0.22423675249692601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3.1561183862320967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169.76258214884751</v>
      </c>
      <c r="T184" s="59">
        <f t="shared" si="142"/>
        <v>378.2513167340262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3.3228754849398734</v>
      </c>
      <c r="AA184" s="21">
        <f>EXP(-LN(2)/25)*AA183+(1-EXP(-LN(2)/25))/(LN(2)/25)*Calculateur!V184*Calculateur!X184*VLOOKUP('Données projet'!$B$9,Paramètres!$A$1:$I$89,3,0)*0.475*44/12</f>
        <v>0.25213555200972543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3.5750110369495989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160.0845775223442</v>
      </c>
      <c r="AO184" s="59">
        <f t="shared" si="144"/>
        <v>357.56921474995909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3.1190180932257721</v>
      </c>
      <c r="AV184" s="21">
        <f>EXP(-LN(2)/25)*AV183+(1-EXP(-LN(2)/25))/(LN(2)/25)*Calculateur!AQ184*Calculateur!AS184*VLOOKUP('Données projet'!$B$10,Paramètres!$A$1:$I$89,3,0)*0.475*44/12</f>
        <v>0.23666711323612238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3.3556852064618945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148.4522606780651</v>
      </c>
      <c r="BJ184" s="59">
        <f t="shared" si="146"/>
        <v>332.71193127646211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2.8743892231688437</v>
      </c>
      <c r="BQ184" s="21">
        <f>EXP(-LN(2)/25)*BQ183+(1-EXP(-LN(2)/25))/(LN(2)/25)*Calculateur!BL184*Calculateur!BN184*VLOOKUP('Données projet'!$B$11,Paramètres!$A$1:$I$89,3,0)*0.475*44/12</f>
        <v>0.21810498670779926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3.092494209876643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169.76258214884751</v>
      </c>
      <c r="T185" s="59">
        <f t="shared" si="142"/>
        <v>378.2513167340262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3.2577159234341231</v>
      </c>
      <c r="AA185" s="21">
        <f>EXP(-LN(2)/25)*AA184+(1-EXP(-LN(2)/25))/(LN(2)/25)*Calculateur!V185*Calculateur!X185*VLOOKUP('Données projet'!$B$9,Paramètres!$A$1:$I$89,3,0)*0.475*44/12</f>
        <v>0.24524089208078706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3.50295681551491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160.0845775223442</v>
      </c>
      <c r="AO185" s="59">
        <f t="shared" si="144"/>
        <v>357.56921474995909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3.0578560508308037</v>
      </c>
      <c r="AV185" s="21">
        <f>EXP(-LN(2)/25)*AV184+(1-EXP(-LN(2)/25))/(LN(2)/25)*Calculateur!AQ185*Calculateur!AS185*VLOOKUP('Données projet'!$B$10,Paramètres!$A$1:$I$89,3,0)*0.475*44/12</f>
        <v>0.23019543857889804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3.2880514894097019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148.4522606780651</v>
      </c>
      <c r="BJ185" s="59">
        <f t="shared" si="146"/>
        <v>332.71193127646211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2.8180242037068144</v>
      </c>
      <c r="BQ185" s="21">
        <f>EXP(-LN(2)/25)*BQ184+(1-EXP(-LN(2)/25))/(LN(2)/25)*Calculateur!BL185*Calculateur!BN185*VLOOKUP('Données projet'!$B$11,Paramètres!$A$1:$I$89,3,0)*0.475*44/12</f>
        <v>0.21214089437663172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3.030165098083446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169.76258214884751</v>
      </c>
      <c r="T186" s="59">
        <f t="shared" si="142"/>
        <v>378.2513167340262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3.1938341011860922</v>
      </c>
      <c r="AA186" s="21">
        <f>EXP(-LN(2)/25)*AA185+(1-EXP(-LN(2)/25))/(LN(2)/25)*Calculateur!V186*Calculateur!X186*VLOOKUP('Données projet'!$B$9,Paramètres!$A$1:$I$89,3,0)*0.475*44/12</f>
        <v>0.23853476699017992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3.4323688681762721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160.0845775223442</v>
      </c>
      <c r="AO186" s="59">
        <f t="shared" si="144"/>
        <v>357.56921474995909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2.9978933587820387</v>
      </c>
      <c r="AV186" s="21">
        <f>EXP(-LN(2)/25)*AV185+(1-EXP(-LN(2)/25))/(LN(2)/25)*Calculateur!AQ186*Calculateur!AS186*VLOOKUP('Données projet'!$B$10,Paramètres!$A$1:$I$89,3,0)*0.475*44/12</f>
        <v>0.22390073220550608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3.2217940909875447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148.4522606780651</v>
      </c>
      <c r="BJ186" s="59">
        <f t="shared" si="146"/>
        <v>332.71193127646211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2.7627644678971683</v>
      </c>
      <c r="BQ186" s="21">
        <f>EXP(-LN(2)/25)*BQ185+(1-EXP(-LN(2)/25))/(LN(2)/25)*Calculateur!BL186*Calculateur!BN186*VLOOKUP('Données projet'!$B$11,Paramètres!$A$1:$I$89,3,0)*0.475*44/12</f>
        <v>0.20633989046389795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2.9691043583610663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169.76258214884751</v>
      </c>
      <c r="T187" s="59">
        <f t="shared" si="142"/>
        <v>378.2513167340262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3.131204962508281</v>
      </c>
      <c r="AA187" s="21">
        <f>EXP(-LN(2)/25)*AA186+(1-EXP(-LN(2)/25))/(LN(2)/25)*Calculateur!V187*Calculateur!X187*VLOOKUP('Données projet'!$B$9,Paramètres!$A$1:$I$89,3,0)*0.475*44/12</f>
        <v>0.23201202124283524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3.3632169837511161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160.0845775223442</v>
      </c>
      <c r="AO187" s="59">
        <f t="shared" si="144"/>
        <v>357.56921474995909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2.9391064985507191</v>
      </c>
      <c r="AV187" s="21">
        <f>EXP(-LN(2)/25)*AV186+(1-EXP(-LN(2)/25))/(LN(2)/25)*Calculateur!AQ187*Calculateur!AS187*VLOOKUP('Données projet'!$B$10,Paramètres!$A$1:$I$89,3,0)*0.475*44/12</f>
        <v>0.21777815490891875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3.1568846534596378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148.4522606780651</v>
      </c>
      <c r="BJ187" s="59">
        <f t="shared" si="146"/>
        <v>332.71193127646211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2.7085883418016383</v>
      </c>
      <c r="BQ187" s="21">
        <f>EXP(-LN(2)/25)*BQ186+(1-EXP(-LN(2)/25))/(LN(2)/25)*Calculateur!BL187*Calculateur!BN187*VLOOKUP('Données projet'!$B$11,Paramètres!$A$1:$I$89,3,0)*0.475*44/12</f>
        <v>0.20069751530821942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2.9092858571098579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169.76258214884751</v>
      </c>
      <c r="T188" s="59">
        <f t="shared" si="142"/>
        <v>378.2513167340262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3.0698039430399389</v>
      </c>
      <c r="AA188" s="21">
        <f>EXP(-LN(2)/25)*AA187+(1-EXP(-LN(2)/25))/(LN(2)/25)*Calculateur!V188*Calculateur!X188*VLOOKUP('Données projet'!$B$9,Paramètres!$A$1:$I$89,3,0)*0.475*44/12</f>
        <v>0.22566764032096798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3.2954715833609067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160.0845775223442</v>
      </c>
      <c r="AO188" s="59">
        <f t="shared" si="144"/>
        <v>357.56921474995909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2.8814724127920912</v>
      </c>
      <c r="AV188" s="21">
        <f>EXP(-LN(2)/25)*AV187+(1-EXP(-LN(2)/25))/(LN(2)/25)*Calculateur!AQ188*Calculateur!AS188*VLOOKUP('Données projet'!$B$10,Paramètres!$A$1:$I$89,3,0)*0.475*44/12</f>
        <v>0.21182299981047895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3.0932954126025702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148.4522606780651</v>
      </c>
      <c r="BJ188" s="59">
        <f t="shared" si="146"/>
        <v>332.71193127646211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2.6554745764946679</v>
      </c>
      <c r="BQ188" s="21">
        <f>EXP(-LN(2)/25)*BQ187+(1-EXP(-LN(2)/25))/(LN(2)/25)*Calculateur!BL188*Calculateur!BN188*VLOOKUP('Données projet'!$B$11,Paramètres!$A$1:$I$89,3,0)*0.475*44/12</f>
        <v>0.19520943119789252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2.8506840076925606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169.76258214884751</v>
      </c>
      <c r="T189" s="59">
        <f t="shared" si="142"/>
        <v>378.2513167340262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3.0096069601124471</v>
      </c>
      <c r="AA189" s="21">
        <f>EXP(-LN(2)/25)*AA188+(1-EXP(-LN(2)/25))/(LN(2)/25)*Calculateur!V189*Calculateur!X189*VLOOKUP('Données projet'!$B$9,Paramètres!$A$1:$I$89,3,0)*0.475*44/12</f>
        <v>0.21949674682904569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3.2291037069414927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160.0845775223442</v>
      </c>
      <c r="AO189" s="59">
        <f t="shared" si="144"/>
        <v>357.56921474995909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2.8249684963018691</v>
      </c>
      <c r="AV189" s="21">
        <f>EXP(-LN(2)/25)*AV188+(1-EXP(-LN(2)/25))/(LN(2)/25)*Calculateur!AQ189*Calculateur!AS189*VLOOKUP('Données projet'!$B$10,Paramètres!$A$1:$I$89,3,0)*0.475*44/12</f>
        <v>0.20603068874137398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3.0309991850432429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148.4522606780651</v>
      </c>
      <c r="BJ189" s="59">
        <f t="shared" si="146"/>
        <v>332.71193127646211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2.6034023397291692</v>
      </c>
      <c r="BQ189" s="21">
        <f>EXP(-LN(2)/25)*BQ188+(1-EXP(-LN(2)/25))/(LN(2)/25)*Calculateur!BL189*Calculateur!BN189*VLOOKUP('Données projet'!$B$11,Paramètres!$A$1:$I$89,3,0)*0.475*44/12</f>
        <v>0.18987141903616833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2.7932737587653378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169.76258214884751</v>
      </c>
      <c r="T190" s="59">
        <f t="shared" si="142"/>
        <v>378.2513167340262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2.9505904033036296</v>
      </c>
      <c r="AA190" s="21">
        <f>EXP(-LN(2)/25)*AA189+(1-EXP(-LN(2)/25))/(LN(2)/25)*Calculateur!V190*Calculateur!X190*VLOOKUP('Données projet'!$B$9,Paramètres!$A$1:$I$89,3,0)*0.475*44/12</f>
        <v>0.21349459674417318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3.1640850000478027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160.0845775223442</v>
      </c>
      <c r="AO190" s="59">
        <f t="shared" si="144"/>
        <v>357.56921474995909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2.7695725871500341</v>
      </c>
      <c r="AV190" s="21">
        <f>EXP(-LN(2)/25)*AV189+(1-EXP(-LN(2)/25))/(LN(2)/25)*Calculateur!AQ190*Calculateur!AS190*VLOOKUP('Données projet'!$B$10,Paramètres!$A$1:$I$89,3,0)*0.475*44/12</f>
        <v>0.20039676872305809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2.9699693558730922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148.4522606780651</v>
      </c>
      <c r="BJ190" s="59">
        <f t="shared" si="146"/>
        <v>332.71193127646211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2.5523512077657133</v>
      </c>
      <c r="BQ190" s="21">
        <f>EXP(-LN(2)/25)*BQ189+(1-EXP(-LN(2)/25))/(LN(2)/25)*Calculateur!BL190*Calculateur!BN190*VLOOKUP('Données projet'!$B$11,Paramètres!$A$1:$I$89,3,0)*0.475*44/12</f>
        <v>0.18467937509772034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2.7370305828634338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169.76258214884751</v>
      </c>
      <c r="T191" s="59">
        <f t="shared" si="142"/>
        <v>378.2513167340262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2.8927311251772876</v>
      </c>
      <c r="AA191" s="21">
        <f>EXP(-LN(2)/25)*AA190+(1-EXP(-LN(2)/25))/(LN(2)/25)*Calculateur!V191*Calculateur!X191*VLOOKUP('Données projet'!$B$9,Paramètres!$A$1:$I$89,3,0)*0.475*44/12</f>
        <v>0.20765657576901086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3.1003877009462983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160.0845775223442</v>
      </c>
      <c r="AO191" s="59">
        <f t="shared" si="144"/>
        <v>357.56921474995909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2.7152629579884984</v>
      </c>
      <c r="AV191" s="21">
        <f>EXP(-LN(2)/25)*AV190+(1-EXP(-LN(2)/25))/(LN(2)/25)*Calculateur!AQ191*Calculateur!AS191*VLOOKUP('Données projet'!$B$10,Paramètres!$A$1:$I$89,3,0)*0.475*44/12</f>
        <v>0.19491690854391802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2.9101798665324163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148.4522606780651</v>
      </c>
      <c r="BJ191" s="59">
        <f t="shared" si="146"/>
        <v>332.71193127646211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2.5023011573619449</v>
      </c>
      <c r="BQ191" s="21">
        <f>EXP(-LN(2)/25)*BQ190+(1-EXP(-LN(2)/25))/(LN(2)/25)*Calculateur!BL191*Calculateur!BN191*VLOOKUP('Données projet'!$B$11,Paramètres!$A$1:$I$89,3,0)*0.475*44/12</f>
        <v>0.17962930787380693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2.6819304652357516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169.76258214884751</v>
      </c>
      <c r="T192" s="59">
        <f t="shared" si="142"/>
        <v>378.2513167340262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2.8360064322043281</v>
      </c>
      <c r="AA192" s="21">
        <f>EXP(-LN(2)/25)*AA191+(1-EXP(-LN(2)/25))/(LN(2)/25)*Calculateur!V192*Calculateur!X192*VLOOKUP('Données projet'!$B$9,Paramètres!$A$1:$I$89,3,0)*0.475*44/12</f>
        <v>0.20197819578442255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3.0379846279887506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160.0845775223442</v>
      </c>
      <c r="AO192" s="59">
        <f t="shared" si="144"/>
        <v>357.56921474995909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2.6620183075292174</v>
      </c>
      <c r="AV192" s="21">
        <f>EXP(-LN(2)/25)*AV191+(1-EXP(-LN(2)/25))/(LN(2)/25)*Calculateur!AQ192*Calculateur!AS192*VLOOKUP('Données projet'!$B$10,Paramètres!$A$1:$I$89,3,0)*0.475*44/12</f>
        <v>0.18958689542954985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2.8516052029587673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148.4522606780651</v>
      </c>
      <c r="BJ192" s="59">
        <f t="shared" si="146"/>
        <v>332.71193127646211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2.4532325579190783</v>
      </c>
      <c r="BQ192" s="21">
        <f>EXP(-LN(2)/25)*BQ191+(1-EXP(-LN(2)/25))/(LN(2)/25)*Calculateur!BL192*Calculateur!BN192*VLOOKUP('Données projet'!$B$11,Paramètres!$A$1:$I$89,3,0)*0.475*44/12</f>
        <v>0.17471733500370293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2.6279498929227811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169.76258214884751</v>
      </c>
      <c r="T193" s="59">
        <f t="shared" si="142"/>
        <v>378.2513167340262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2.7803940758619219</v>
      </c>
      <c r="AA193" s="21">
        <f>EXP(-LN(2)/25)*AA192+(1-EXP(-LN(2)/25))/(LN(2)/25)*Calculateur!V193*Calculateur!X193*VLOOKUP('Données projet'!$B$9,Paramètres!$A$1:$I$89,3,0)*0.475*44/12</f>
        <v>0.19645509139912584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2.9768491672610478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160.0845775223442</v>
      </c>
      <c r="AO193" s="59">
        <f t="shared" si="144"/>
        <v>357.56921474995909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2.609817752189413</v>
      </c>
      <c r="AV193" s="21">
        <f>EXP(-LN(2)/25)*AV192+(1-EXP(-LN(2)/25))/(LN(2)/25)*Calculateur!AQ193*Calculateur!AS193*VLOOKUP('Données projet'!$B$10,Paramètres!$A$1:$I$89,3,0)*0.475*44/12</f>
        <v>0.18440263180408728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2.7942203839935003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148.4522606780651</v>
      </c>
      <c r="BJ193" s="59">
        <f t="shared" si="146"/>
        <v>332.71193127646211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2.4051261637823957</v>
      </c>
      <c r="BQ193" s="21">
        <f>EXP(-LN(2)/25)*BQ192+(1-EXP(-LN(2)/25))/(LN(2)/25)*Calculateur!BL193*Calculateur!BN193*VLOOKUP('Données projet'!$B$11,Paramètres!$A$1:$I$89,3,0)*0.475*44/12</f>
        <v>0.16993968029004133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2.5750658440724372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169.76258214884751</v>
      </c>
      <c r="T194" s="59">
        <f t="shared" si="142"/>
        <v>378.2513167340262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2.7258722439072023</v>
      </c>
      <c r="AA194" s="21">
        <f>EXP(-LN(2)/25)*AA193+(1-EXP(-LN(2)/25))/(LN(2)/25)*Calculateur!V194*Calculateur!X194*VLOOKUP('Données projet'!$B$9,Paramètres!$A$1:$I$89,3,0)*0.475*44/12</f>
        <v>0.19108301659369251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2.9169552605008948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160.0845775223442</v>
      </c>
      <c r="AO194" s="59">
        <f t="shared" si="144"/>
        <v>357.56921474995909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2.5586408179006273</v>
      </c>
      <c r="AV194" s="21">
        <f>EXP(-LN(2)/25)*AV193+(1-EXP(-LN(2)/25))/(LN(2)/25)*Calculateur!AQ194*Calculateur!AS194*VLOOKUP('Données projet'!$B$10,Paramètres!$A$1:$I$89,3,0)*0.475*44/12</f>
        <v>0.17936013214009155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2.738000950040719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148.4522606780651</v>
      </c>
      <c r="BJ194" s="59">
        <f t="shared" si="146"/>
        <v>332.71193127646211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2.3579631066927305</v>
      </c>
      <c r="BQ194" s="21">
        <f>EXP(-LN(2)/25)*BQ193+(1-EXP(-LN(2)/25))/(LN(2)/25)*Calculateur!BL194*Calculateur!BN194*VLOOKUP('Données projet'!$B$11,Paramètres!$A$1:$I$89,3,0)*0.475*44/12</f>
        <v>0.16529267079577076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2.5232557774885014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169.76258214884751</v>
      </c>
      <c r="T195" s="59">
        <f t="shared" si="142"/>
        <v>378.2513167340262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2.672419551822081</v>
      </c>
      <c r="AA195" s="21">
        <f>EXP(-LN(2)/25)*AA194+(1-EXP(-LN(2)/25))/(LN(2)/25)*Calculateur!V195*Calculateur!X195*VLOOKUP('Données projet'!$B$9,Paramètres!$A$1:$I$89,3,0)*0.475*44/12</f>
        <v>0.18585784145631887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2.8582773932783998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160.0845775223442</v>
      </c>
      <c r="AO195" s="59">
        <f t="shared" si="144"/>
        <v>357.56921474995909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2.5084674320783966</v>
      </c>
      <c r="AV195" s="21">
        <f>EXP(-LN(2)/25)*AV194+(1-EXP(-LN(2)/25))/(LN(2)/25)*Calculateur!AQ195*Calculateur!AS195*VLOOKUP('Données projet'!$B$10,Paramètres!$A$1:$I$89,3,0)*0.475*44/12</f>
        <v>0.17445551989458133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2.6829229519729778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148.4522606780651</v>
      </c>
      <c r="BJ195" s="59">
        <f t="shared" si="146"/>
        <v>332.71193127646211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2.3117248883859691</v>
      </c>
      <c r="BQ195" s="21">
        <f>EXP(-LN(2)/25)*BQ194+(1-EXP(-LN(2)/25))/(LN(2)/25)*Calculateur!BL195*Calculateur!BN195*VLOOKUP('Données projet'!$B$11,Paramètres!$A$1:$I$89,3,0)*0.475*44/12</f>
        <v>0.16077273402049663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2.4724976224064656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169.76258214884751</v>
      </c>
      <c r="T196" s="59">
        <f t="shared" si="142"/>
        <v>378.2513167340262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2.6200150344258262</v>
      </c>
      <c r="AA196" s="21">
        <f>EXP(-LN(2)/25)*AA195+(1-EXP(-LN(2)/25))/(LN(2)/25)*Calculateur!V196*Calculateur!X196*VLOOKUP('Données projet'!$B$9,Paramètres!$A$1:$I$89,3,0)*0.475*44/12</f>
        <v>0.18077554900785672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2.8007905834336828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160.0845775223442</v>
      </c>
      <c r="AO196" s="59">
        <f t="shared" si="144"/>
        <v>357.56921474995909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2.4592779157493965</v>
      </c>
      <c r="AV196" s="21">
        <f>EXP(-LN(2)/25)*AV195+(1-EXP(-LN(2)/25))/(LN(2)/25)*Calculateur!AQ196*Calculateur!AS196*VLOOKUP('Données projet'!$B$10,Paramètres!$A$1:$I$89,3,0)*0.475*44/12</f>
        <v>0.16968502452884693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2.6289629402782433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148.4522606780651</v>
      </c>
      <c r="BJ196" s="59">
        <f t="shared" si="146"/>
        <v>332.71193127646211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2.2663933733376749</v>
      </c>
      <c r="BQ196" s="21">
        <f>EXP(-LN(2)/25)*BQ195+(1-EXP(-LN(2)/25))/(LN(2)/25)*Calculateur!BL196*Calculateur!BN196*VLOOKUP('Données projet'!$B$11,Paramètres!$A$1:$I$89,3,0)*0.475*44/12</f>
        <v>0.15637639515403551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2.4227697684917104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169.76258214884751</v>
      </c>
      <c r="T197" s="59">
        <f t="shared" ref="T197:T203" si="204">$T$3</f>
        <v>378.2513167340262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2.5686381376521124</v>
      </c>
      <c r="AA197" s="21">
        <f>EXP(-LN(2)/25)*AA196+(1-EXP(-LN(2)/25))/(LN(2)/25)*Calculateur!V197*Calculateur!X197*VLOOKUP('Données projet'!$B$9,Paramètres!$A$1:$I$89,3,0)*0.475*44/12</f>
        <v>0.17583223211366392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2.7444703697657764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160.0845775223442</v>
      </c>
      <c r="AO197" s="59">
        <f t="shared" ref="AO197:AO203" si="205">$AO$3</f>
        <v>357.56921474995909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2.4110529758329657</v>
      </c>
      <c r="AV197" s="21">
        <f>EXP(-LN(2)/25)*AV196+(1-EXP(-LN(2)/25))/(LN(2)/25)*Calculateur!AQ197*Calculateur!AS197*VLOOKUP('Données projet'!$B$10,Paramètres!$A$1:$I$89,3,0)*0.475*44/12</f>
        <v>0.165044978609758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2.5760979544427238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148.4522606780651</v>
      </c>
      <c r="BJ197" s="59">
        <f t="shared" ref="BJ197:BJ203" si="206">$BJ$3</f>
        <v>332.71193127646211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2.2219507816499839</v>
      </c>
      <c r="BQ197" s="21">
        <f>EXP(-LN(2)/25)*BQ196+(1-EXP(-LN(2)/25))/(LN(2)/25)*Calculateur!BL197*Calculateur!BN197*VLOOKUP('Données projet'!$B$11,Paramètres!$A$1:$I$89,3,0)*0.475*44/12</f>
        <v>0.15210027440507118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2.374051056055055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169.76258214884751</v>
      </c>
      <c r="T198" s="59">
        <f t="shared" si="204"/>
        <v>378.2513167340262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2.5182687104873183</v>
      </c>
      <c r="AA198" s="21">
        <f>EXP(-LN(2)/25)*AA197+(1-EXP(-LN(2)/25))/(LN(2)/25)*Calculateur!V198*Calculateur!X198*VLOOKUP('Données projet'!$B$9,Paramètres!$A$1:$I$89,3,0)*0.475*44/12</f>
        <v>0.17102409047990055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2.6892928009672188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160.0845775223442</v>
      </c>
      <c r="AO198" s="59">
        <f t="shared" si="205"/>
        <v>357.56921474995909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2.3637736975739871</v>
      </c>
      <c r="AV198" s="21">
        <f>EXP(-LN(2)/25)*AV197+(1-EXP(-LN(2)/25))/(LN(2)/25)*Calculateur!AQ198*Calculateur!AS198*VLOOKUP('Données projet'!$B$10,Paramètres!$A$1:$I$89,3,0)*0.475*44/12</f>
        <v>0.16053181499033595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2.524305512564323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148.4522606780651</v>
      </c>
      <c r="BJ198" s="59">
        <f t="shared" si="206"/>
        <v>332.71193127646211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2.1783796820779839</v>
      </c>
      <c r="BQ198" s="21">
        <f>EXP(-LN(2)/25)*BQ197+(1-EXP(-LN(2)/25))/(LN(2)/25)*Calculateur!BL198*Calculateur!BN198*VLOOKUP('Données projet'!$B$11,Paramètres!$A$1:$I$89,3,0)*0.475*44/12</f>
        <v>0.14794108440285872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2.3263207664808427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169.76258214884751</v>
      </c>
      <c r="T199" s="59">
        <f t="shared" si="204"/>
        <v>378.2513167340262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2.4688869970669085</v>
      </c>
      <c r="AA199" s="21">
        <f>EXP(-LN(2)/25)*AA198+(1-EXP(-LN(2)/25))/(LN(2)/25)*Calculateur!V199*Calculateur!X199*VLOOKUP('Données projet'!$B$9,Paramètres!$A$1:$I$89,3,0)*0.475*44/12</f>
        <v>0.16634742773196162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2.6352344247988699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160.0845775223442</v>
      </c>
      <c r="AO199" s="59">
        <f t="shared" si="205"/>
        <v>357.56921474995909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2.3174215371241549</v>
      </c>
      <c r="AV199" s="21">
        <f>EXP(-LN(2)/25)*AV198+(1-EXP(-LN(2)/25))/(LN(2)/25)*Calculateur!AQ199*Calculateur!AS199*VLOOKUP('Données projet'!$B$10,Paramètres!$A$1:$I$89,3,0)*0.475*44/12</f>
        <v>0.15614206406742395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2.4735636011915787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148.4522606780651</v>
      </c>
      <c r="BJ199" s="59">
        <f t="shared" si="206"/>
        <v>332.71193127646211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2.1356629851928446</v>
      </c>
      <c r="BQ199" s="21">
        <f>EXP(-LN(2)/25)*BQ198+(1-EXP(-LN(2)/25))/(LN(2)/25)*Calculateur!BL199*Calculateur!BN199*VLOOKUP('Données projet'!$B$11,Paramètres!$A$1:$I$89,3,0)*0.475*44/12</f>
        <v>0.14389562766997904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2.2795586128628238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169.76258214884751</v>
      </c>
      <c r="T200" s="59">
        <f t="shared" si="204"/>
        <v>378.2513167340262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2.4204736289268021</v>
      </c>
      <c r="AA200" s="21">
        <f>EXP(-LN(2)/25)*AA199+(1-EXP(-LN(2)/25))/(LN(2)/25)*Calculateur!V200*Calculateur!X200*VLOOKUP('Données projet'!$B$9,Paramètres!$A$1:$I$89,3,0)*0.475*44/12</f>
        <v>0.1617986485728001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2.5822722774996021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160.0845775223442</v>
      </c>
      <c r="AO200" s="59">
        <f t="shared" si="205"/>
        <v>357.56921474995909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2.2719783142687175</v>
      </c>
      <c r="AV200" s="21">
        <f>EXP(-LN(2)/25)*AV199+(1-EXP(-LN(2)/25))/(LN(2)/25)*Calculateur!AQ200*Calculateur!AS200*VLOOKUP('Données projet'!$B$10,Paramètres!$A$1:$I$89,3,0)*0.475*44/12</f>
        <v>0.15187235111434597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2.4238506653830636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148.4522606780651</v>
      </c>
      <c r="BJ200" s="59">
        <f t="shared" si="206"/>
        <v>332.71193127646211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2.0937839366790101</v>
      </c>
      <c r="BQ200" s="21">
        <f>EXP(-LN(2)/25)*BQ199+(1-EXP(-LN(2)/25))/(LN(2)/25)*Calculateur!BL200*Calculateur!BN200*VLOOKUP('Données projet'!$B$11,Paramètres!$A$1:$I$89,3,0)*0.475*44/12</f>
        <v>0.13996079416420129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2.2337447308432115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169.76258214884751</v>
      </c>
      <c r="T201" s="59">
        <f t="shared" si="204"/>
        <v>378.2513167340262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2.3730096174066841</v>
      </c>
      <c r="AA201" s="21">
        <f>EXP(-LN(2)/25)*AA200+(1-EXP(-LN(2)/25))/(LN(2)/25)*Calculateur!V201*Calculateur!X201*VLOOKUP('Données projet'!$B$9,Paramètres!$A$1:$I$89,3,0)*0.475*44/12</f>
        <v>0.15737425601895574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2.5303838734256399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160.0845775223442</v>
      </c>
      <c r="AO201" s="59">
        <f t="shared" si="205"/>
        <v>357.56921474995909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2.2274262052958465</v>
      </c>
      <c r="AV201" s="21">
        <f>EXP(-LN(2)/25)*AV200+(1-EXP(-LN(2)/25))/(LN(2)/25)*Calculateur!AQ201*Calculateur!AS201*VLOOKUP('Données projet'!$B$10,Paramètres!$A$1:$I$89,3,0)*0.475*44/12</f>
        <v>0.14771939368650433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2.3751455989823507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148.4522606780651</v>
      </c>
      <c r="BJ201" s="59">
        <f t="shared" si="206"/>
        <v>332.71193127646211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2.0527261107628347</v>
      </c>
      <c r="BQ201" s="21">
        <f>EXP(-LN(2)/25)*BQ200+(1-EXP(-LN(2)/25))/(LN(2)/25)*Calculateur!BL201*Calculateur!BN201*VLOOKUP('Données projet'!$B$11,Paramètres!$A$1:$I$89,3,0)*0.475*44/12</f>
        <v>0.13613355888756293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2.1888596696503977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169.76258214884751</v>
      </c>
      <c r="T202" s="59">
        <f t="shared" si="204"/>
        <v>378.2513167340262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2.3264763462022877</v>
      </c>
      <c r="AA202" s="21">
        <f>EXP(-LN(2)/25)*AA201+(1-EXP(-LN(2)/25))/(LN(2)/25)*Calculateur!V202*Calculateur!X202*VLOOKUP('Données projet'!$B$9,Paramètres!$A$1:$I$89,3,0)*0.475*44/12</f>
        <v>0.15307084871216495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2.4795471949144527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160.0845775223442</v>
      </c>
      <c r="AO202" s="59">
        <f t="shared" si="205"/>
        <v>357.56921474995909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2.1837477360058299</v>
      </c>
      <c r="AV202" s="21">
        <f>EXP(-LN(2)/25)*AV201+(1-EXP(-LN(2)/25))/(LN(2)/25)*Calculateur!AQ202*Calculateur!AS202*VLOOKUP('Données projet'!$B$10,Paramètres!$A$1:$I$89,3,0)*0.475*44/12</f>
        <v>0.14367999909792156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2.3274277351037513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148.4522606780651</v>
      </c>
      <c r="BJ202" s="59">
        <f t="shared" si="206"/>
        <v>332.71193127646211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2.0124734037700747</v>
      </c>
      <c r="BQ202" s="21">
        <f>EXP(-LN(2)/25)*BQ201+(1-EXP(-LN(2)/25))/(LN(2)/25)*Calculateur!BL202*Calculateur!BN202*VLOOKUP('Données projet'!$B$11,Paramètres!$A$1:$I$89,3,0)*0.475*44/12</f>
        <v>0.13241097956082978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2.1448843833309046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169.76258214884751</v>
      </c>
      <c r="T203" s="59">
        <f t="shared" si="204"/>
        <v>378.2513167340262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2.2808555640637165</v>
      </c>
      <c r="AA203" s="21">
        <f>EXP(-LN(2)/25)*AA202+(1-EXP(-LN(2)/25))/(LN(2)/25)*Calculateur!V203*Calculateur!X203*VLOOKUP('Données projet'!$B$9,Paramètres!$A$1:$I$89,3,0)*0.475*44/12</f>
        <v>0.1488851183044847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2.4297406823682013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160.0845775223442</v>
      </c>
      <c r="AO203" s="59">
        <f t="shared" si="205"/>
        <v>357.56921474995909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2.1409257748573549</v>
      </c>
      <c r="AV203" s="21">
        <f>EXP(-LN(2)/25)*AV202+(1-EXP(-LN(2)/25))/(LN(2)/25)*Calculateur!AQ203*Calculateur!AS203*VLOOKUP('Données projet'!$B$10,Paramètres!$A$1:$I$89,3,0)*0.475*44/12</f>
        <v>0.13975106196678613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2.2806768368241412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148.4522606780651</v>
      </c>
      <c r="BJ203" s="59">
        <f t="shared" si="206"/>
        <v>332.71193127646211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1.9730100278097156</v>
      </c>
      <c r="BQ203" s="21">
        <f>EXP(-LN(2)/25)*BQ202+(1-EXP(-LN(2)/25))/(LN(2)/25)*Calculateur!BL203*Calculateur!BN203*VLOOKUP('Données projet'!$B$11,Paramètres!$A$1:$I$89,3,0)*0.475*44/12</f>
        <v>0.12879019436154809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2.1018002221712635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1.660847009958063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1.660847009958063</v>
      </c>
      <c r="BA205" s="81">
        <f>EXP(LN('Données projet'!B88)/'Données projet'!A88)</f>
        <v>1.660847009958063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Peuplier Koster</v>
      </c>
      <c r="B6" s="144">
        <f>'Données projet'!D9</f>
        <v>3.95</v>
      </c>
      <c r="C6" s="145">
        <f ca="1">IF(OR('Données projet'!B9="",'Données projet'!C9="",'Données projet'!C9=0%),0,Calculateur!S3)</f>
        <v>169.76258214884751</v>
      </c>
      <c r="D6" s="145">
        <f>IF(OR('Données projet'!B9="",'Données projet'!C9="",'Données projet'!C9=0%),0,Calculateur!T3)</f>
        <v>378.2513167340262</v>
      </c>
      <c r="E6" s="145">
        <f ca="1">MIN(C6,D6)</f>
        <v>169.76258214884751</v>
      </c>
      <c r="F6" s="145">
        <f ca="1">E6*B6</f>
        <v>670.56219948794774</v>
      </c>
      <c r="G6" s="145">
        <f ca="1">F6*(100%-'Données projet'!$C$24)*(100%-'Données projet'!$C$25)*(100%-'Données projet'!$C$26)*(100%-'Données projet'!$C$27)</f>
        <v>482.80478363132238</v>
      </c>
      <c r="H6" s="146">
        <f>IF(OR('Données projet'!B9="",'Données projet'!C9="",'Données projet'!C9=0%),0,AVERAGE(Calculateur!$AC$3:$AC$33)*B6)</f>
        <v>129.31451609588208</v>
      </c>
      <c r="I6" s="147">
        <f>H6*(100%-'Données projet'!$C$24)*(100%-'Données projet'!$C$25)*(100%-'Données projet'!$C$26)*(100%-'Données projet'!$C$27)</f>
        <v>93.106451589035103</v>
      </c>
      <c r="J6" s="148">
        <f>IF(OR('Données projet'!B9="",'Données projet'!C9="",'Données projet'!C9=0%),0,SUM(Calculateur!$V$3:$V$33)*VLOOKUP('Données projet'!$B$9,Paramètres!$A$1:$I$89,9,0)*B6)</f>
        <v>1262.2782053055503</v>
      </c>
      <c r="K6" s="149">
        <f>J6*(100%-'Données projet'!$C$24)*(100%-'Données projet'!$C$25)*(100%-'Données projet'!$C$26)*(100%-'Données projet'!$C$27)</f>
        <v>908.84030781999627</v>
      </c>
      <c r="L6" s="150">
        <f ca="1">G6+I6+K6</f>
        <v>1484.7515430403537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Peuplier Trichobel</v>
      </c>
      <c r="B7" s="152">
        <f>'Données projet'!D10</f>
        <v>1.9750000000000001</v>
      </c>
      <c r="C7" s="145">
        <f ca="1">IF(OR('Données projet'!B10="",'Données projet'!C10="",'Données projet'!C10=0%),0,Calculateur!AN3)</f>
        <v>160.0845775223442</v>
      </c>
      <c r="D7" s="145">
        <f>IF(OR('Données projet'!B10="",'Données projet'!C10="",'Données projet'!C10=0%),0,Calculateur!AO3)</f>
        <v>357.56921474995909</v>
      </c>
      <c r="E7" s="145">
        <f t="shared" ref="E7:E15" ca="1" si="0">MIN(C7,D7)</f>
        <v>160.0845775223442</v>
      </c>
      <c r="F7" s="145">
        <f t="shared" ref="F7:F15" ca="1" si="1">E7*B7</f>
        <v>316.16704060662983</v>
      </c>
      <c r="G7" s="145">
        <f ca="1">F7*(100%-'Données projet'!$C$24)*(100%-'Données projet'!$C$25)*(100%-'Données projet'!$C$26)*(100%-'Données projet'!$C$27)</f>
        <v>227.64026923677349</v>
      </c>
      <c r="H7" s="153">
        <f>IF(OR('Données projet'!B10="",'Données projet'!C10="",'Données projet'!C10=0%),0,AVERAGE(Calculateur!$AX$3:$AX$33)*B7)</f>
        <v>60.690555100214581</v>
      </c>
      <c r="I7" s="147">
        <f>H7*(100%-'Données projet'!$C$24)*(100%-'Données projet'!$C$25)*(100%-'Données projet'!$C$26)*(100%-'Données projet'!$C$27)</f>
        <v>43.697199672154504</v>
      </c>
      <c r="J7" s="148">
        <f>IF(OR('Données projet'!B10="",'Données projet'!C10="",'Données projet'!C10=0%),0,SUM(Calculateur!$AQ$3:$AQ$33)*VLOOKUP('Données projet'!$B$10,Paramètres!$A$1:$I$89,9,0)*B7)</f>
        <v>631.13910265277514</v>
      </c>
      <c r="K7" s="149">
        <f>J7*(100%-'Données projet'!$C$24)*(100%-'Données projet'!$C$25)*(100%-'Données projet'!$C$26)*(100%-'Données projet'!$C$27)</f>
        <v>454.42015390999813</v>
      </c>
      <c r="L7" s="150">
        <f t="shared" ref="L7:L15" ca="1" si="2">G7+I7+K7</f>
        <v>725.75762281892617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Peuplier I-214</v>
      </c>
      <c r="B8" s="152">
        <f>'Données projet'!D11</f>
        <v>1.9750000000000001</v>
      </c>
      <c r="C8" s="145">
        <f ca="1">IF(OR('Données projet'!B11="",'Données projet'!C11="",'Données projet'!C11=0%),0,Calculateur!BI3)</f>
        <v>148.4522606780651</v>
      </c>
      <c r="D8" s="145">
        <f>IF(OR('Données projet'!B11="",'Données projet'!C11="",'Données projet'!C11=0%),0,Calculateur!BJ3)</f>
        <v>332.71193127646211</v>
      </c>
      <c r="E8" s="145">
        <f t="shared" ca="1" si="0"/>
        <v>148.4522606780651</v>
      </c>
      <c r="F8" s="145">
        <f t="shared" ca="1" si="1"/>
        <v>293.19321483917861</v>
      </c>
      <c r="G8" s="145">
        <f ca="1">F8*(100%-'Données projet'!$C$24)*(100%-'Données projet'!$C$25)*(100%-'Données projet'!$C$26)*(100%-'Données projet'!$C$27)</f>
        <v>211.09911468420862</v>
      </c>
      <c r="H8" s="153">
        <f>IF(OR('Données projet'!B11="",'Données projet'!C11="",'Données projet'!C11=0%),0,AVERAGE(Calculateur!$BS$3:$BS$33)*B8)</f>
        <v>55.930511562942847</v>
      </c>
      <c r="I8" s="147">
        <f>H8*(100%-'Données projet'!$C$24)*(100%-'Données projet'!$C$25)*(100%-'Données projet'!$C$26)*(100%-'Données projet'!$C$27)</f>
        <v>40.269968325318857</v>
      </c>
      <c r="J8" s="148">
        <f>IF(OR('Données projet'!B11="",'Données projet'!C11="",'Données projet'!C11=0%),0,SUM(Calculateur!$BL$3:$BL$33)*VLOOKUP('Données projet'!$B$11,Paramètres!$A$1:$I$89,9,0)*B8)</f>
        <v>631.13910265277514</v>
      </c>
      <c r="K8" s="149">
        <f>J8*(100%-'Données projet'!$C$24)*(100%-'Données projet'!$C$25)*(100%-'Données projet'!$C$26)*(100%-'Données projet'!$C$27)</f>
        <v>454.42015390999813</v>
      </c>
      <c r="L8" s="150">
        <f t="shared" ca="1" si="2"/>
        <v>705.78923691952559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1279.9224549337562</v>
      </c>
      <c r="G16" s="164">
        <f t="shared" ca="1" si="3"/>
        <v>921.54416755230454</v>
      </c>
      <c r="H16" s="165">
        <f t="shared" si="3"/>
        <v>245.93558275903951</v>
      </c>
      <c r="I16" s="165">
        <f t="shared" si="3"/>
        <v>177.07361958650847</v>
      </c>
      <c r="J16" s="166">
        <f t="shared" si="3"/>
        <v>2524.5564106111005</v>
      </c>
      <c r="K16" s="166">
        <f t="shared" si="3"/>
        <v>1817.6806156399925</v>
      </c>
      <c r="L16" s="167">
        <f t="shared" ca="1" si="3"/>
        <v>2916.2984027788057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Peuplier Trichobel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Peuplier I-214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6" zoomScale="90" zoomScaleNormal="90" workbookViewId="0">
      <selection activeCell="P25" sqref="P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Peuplier Koster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3.95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Peuplier Trichobel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1.9750000000000001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Peuplier I-214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1.9750000000000001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Peuplier Koster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9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14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19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20</v>
      </c>
      <c r="B26" s="179">
        <f>'Données projet'!D39</f>
        <v>310.25641030000003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0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0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0</v>
      </c>
      <c r="B29" s="179">
        <f>'Données projet'!D42</f>
        <v>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0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Peuplier Trichobel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9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str">
        <f>IF(O53+1&lt;=MIN('Données projet'!$E$9:$E$18),O53+1,"STOP")</f>
        <v>STOP</v>
      </c>
      <c r="P54" s="183" t="e">
        <f t="shared" si="3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14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projet'!$E$9:$E$18),O54+1,"STOP")</f>
        <v>#VALUE!</v>
      </c>
      <c r="P55" s="183" t="e">
        <f t="shared" si="3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19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projet'!$E$9:$E$18),O55+1,"STOP")</f>
        <v>#VALUE!</v>
      </c>
      <c r="P56" s="183" t="e">
        <f t="shared" si="3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20</v>
      </c>
      <c r="B57" s="179">
        <f>'Données projet'!D65</f>
        <v>310.25641030000003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projet'!$E$9:$E$18),O56+1,"STOP")</f>
        <v>#VALUE!</v>
      </c>
      <c r="P57" s="183" t="e">
        <f t="shared" si="3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projet'!$E$9:$E$18),O57+1,"STOP")</f>
        <v>#VALUE!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Peuplier I-214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9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14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19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20</v>
      </c>
      <c r="B88" s="179">
        <f>'Données projet'!D91</f>
        <v>310.25641030000003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2025-02-14T13:41:22Z</dcterms:modified>
</cp:coreProperties>
</file>