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fleur.alonso\Nextcloud\Documents partagés C+FOR\Fleur\62- Guemps\Dossier LBC\"/>
    </mc:Choice>
  </mc:AlternateContent>
  <bookViews>
    <workbookView xWindow="0" yWindow="0" windowWidth="20496" windowHeight="7752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1" i="1" l="1"/>
  <c r="B99" i="1"/>
  <c r="B97" i="1"/>
  <c r="B95" i="1"/>
  <c r="B93" i="1"/>
  <c r="B91" i="1"/>
  <c r="B89" i="1"/>
  <c r="D145" i="1" l="1"/>
  <c r="B145" i="1"/>
  <c r="B144" i="1"/>
  <c r="D143" i="1"/>
  <c r="B142" i="1"/>
  <c r="B143" i="1"/>
  <c r="D141" i="1"/>
  <c r="B141" i="1"/>
  <c r="B140" i="1"/>
  <c r="D140" i="1"/>
  <c r="B146" i="1"/>
  <c r="B147" i="1"/>
  <c r="D147" i="1"/>
  <c r="B148" i="1"/>
  <c r="B149" i="1"/>
  <c r="D149" i="1"/>
  <c r="B150" i="1"/>
  <c r="B151" i="1"/>
  <c r="D151" i="1"/>
  <c r="B152" i="1"/>
  <c r="B153" i="1"/>
  <c r="D153" i="1"/>
  <c r="B154" i="1"/>
  <c r="B155" i="1"/>
  <c r="D155" i="1"/>
  <c r="B156" i="1"/>
  <c r="B157" i="1"/>
  <c r="D157" i="1"/>
  <c r="B158" i="1"/>
  <c r="B159" i="1"/>
  <c r="D159" i="1"/>
  <c r="D101" i="1" l="1"/>
  <c r="D99" i="1"/>
  <c r="D97" i="1"/>
  <c r="D95" i="1"/>
  <c r="D93" i="1"/>
  <c r="D91" i="1"/>
  <c r="D89" i="1"/>
  <c r="B100" i="1"/>
  <c r="B98" i="1"/>
  <c r="B96" i="1"/>
  <c r="B94" i="1"/>
  <c r="B92" i="1"/>
  <c r="B90" i="1"/>
  <c r="B88" i="1"/>
  <c r="B129" i="1" l="1"/>
  <c r="D129" i="1" s="1"/>
  <c r="B128" i="1"/>
  <c r="D127" i="1"/>
  <c r="B127" i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D115" i="1"/>
  <c r="B115" i="1"/>
  <c r="B114" i="1"/>
  <c r="B78" i="1" l="1"/>
  <c r="D78" i="1" s="1"/>
  <c r="B77" i="1"/>
  <c r="D76" i="1"/>
  <c r="B76" i="1"/>
  <c r="B75" i="1"/>
  <c r="D74" i="1"/>
  <c r="B74" i="1"/>
  <c r="B73" i="1"/>
  <c r="D72" i="1"/>
  <c r="B72" i="1"/>
  <c r="B71" i="1"/>
  <c r="D70" i="1"/>
  <c r="B70" i="1"/>
  <c r="B69" i="1"/>
  <c r="D68" i="1"/>
  <c r="B68" i="1"/>
  <c r="B67" i="1"/>
  <c r="D66" i="1"/>
  <c r="B66" i="1"/>
  <c r="B65" i="1"/>
  <c r="D64" i="1"/>
  <c r="B64" i="1"/>
  <c r="B63" i="1"/>
  <c r="B62" i="1"/>
  <c r="B53" i="1" l="1"/>
  <c r="D53" i="1" s="1"/>
  <c r="D52" i="1"/>
  <c r="B52" i="1"/>
  <c r="D51" i="1"/>
  <c r="B51" i="1"/>
  <c r="D50" i="1"/>
  <c r="B50" i="1"/>
  <c r="D49" i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EC4" i="2"/>
  <c r="EA4" i="2"/>
  <c r="BR4" i="2"/>
  <c r="B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EX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EX18" i="2"/>
  <c r="HG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HH20" i="2"/>
  <c r="FS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V28" i="2"/>
  <c r="EC28" i="2"/>
  <c r="HI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B33" i="2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B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C85" i="2"/>
  <c r="EV85" i="2"/>
  <c r="EW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B113" i="2"/>
  <c r="EC113" i="2"/>
  <c r="HI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X130" i="2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HH140" i="2"/>
  <c r="FS140" i="2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HH144" i="2"/>
  <c r="HG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EA146" i="2"/>
  <c r="HG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EV150" i="2"/>
  <c r="HG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HJ154" i="2"/>
  <c r="EY154" i="2"/>
  <c r="DI154" i="2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H156" i="2" l="1"/>
  <c r="HG156" i="2"/>
  <c r="EY155" i="2"/>
  <c r="EX156" i="2"/>
  <c r="ED155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B157" i="2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C158" i="2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DG160" i="2"/>
  <c r="EC160" i="2"/>
  <c r="ED159" i="2"/>
  <c r="HG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HG161" i="2"/>
  <c r="ED160" i="2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B162" i="2"/>
  <c r="EW162" i="2"/>
  <c r="EY161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HH163" i="2"/>
  <c r="HG163" i="2"/>
  <c r="HI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EV164" i="2"/>
  <c r="EX164" i="2"/>
  <c r="HG164" i="2"/>
  <c r="DI163" i="2"/>
  <c r="FR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EC166" i="2"/>
  <c r="ED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C167" i="2"/>
  <c r="EX167" i="2"/>
  <c r="HI167" i="2"/>
  <c r="HH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B168" i="2"/>
  <c r="HH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A169" i="2"/>
  <c r="EB169" i="2"/>
  <c r="EY168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A172" i="2"/>
  <c r="ED171" i="2"/>
  <c r="EB172" i="2"/>
  <c r="EY171" i="2"/>
  <c r="EV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D172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EB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D177" i="2"/>
  <c r="EW178" i="2"/>
  <c r="HG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D178" i="2"/>
  <c r="EB179" i="2"/>
  <c r="EA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Y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D184" i="2"/>
  <c r="HG185" i="2"/>
  <c r="HH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EB186" i="2"/>
  <c r="EA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HJ189" i="2"/>
  <c r="ED189" i="2"/>
  <c r="EB190" i="2"/>
  <c r="EV190" i="2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HI192" i="2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D192" i="2"/>
  <c r="EB193" i="2"/>
  <c r="EY192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D193" i="2"/>
  <c r="EB194" i="2"/>
  <c r="EA194" i="2"/>
  <c r="FQ194" i="2"/>
  <c r="HG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HI195" i="2"/>
  <c r="HG195" i="2"/>
  <c r="EB195" i="2"/>
  <c r="ED194" i="2"/>
  <c r="EA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V199" i="2"/>
  <c r="EY198" i="2"/>
  <c r="EB199" i="2"/>
  <c r="EW199" i="2"/>
  <c r="FS199" i="2"/>
  <c r="HG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HH201" i="2"/>
  <c r="ED200" i="2"/>
  <c r="DI200" i="2"/>
  <c r="HG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Z6" i="2" l="1"/>
  <c r="FS202" i="2"/>
  <c r="HG202" i="2"/>
  <c r="HH202" i="2"/>
  <c r="HI202" i="2"/>
  <c r="EY201" i="2"/>
  <c r="ED201" i="2"/>
  <c r="EW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EI87" i="2" a="1"/>
  <c r="EI87" i="2" s="1"/>
  <c r="EI36" i="2" a="1"/>
  <c r="EI36" i="2" s="1"/>
  <c r="EI34" i="2" a="1"/>
  <c r="EI34" i="2" s="1"/>
  <c r="EI20" i="2" a="1"/>
  <c r="EI20" i="2" s="1"/>
  <c r="DN6" i="2" a="1"/>
  <c r="DN6" i="2" s="1"/>
  <c r="DO6" i="2" s="1"/>
  <c r="CS24" i="2" a="1"/>
  <c r="CS24" i="2" s="1"/>
  <c r="BX107" i="2" a="1"/>
  <c r="BX107" i="2" s="1"/>
  <c r="AX200" i="2"/>
  <c r="CS114" i="2" l="1" a="1"/>
  <c r="CS114" i="2" s="1"/>
  <c r="CS185" i="2" a="1"/>
  <c r="CS185" i="2" s="1"/>
  <c r="CS161" i="2" a="1"/>
  <c r="CS161" i="2" s="1"/>
  <c r="CS120" i="2" a="1"/>
  <c r="CS120" i="2" s="1"/>
  <c r="CS38" i="2" a="1"/>
  <c r="CS38" i="2" s="1"/>
  <c r="CS72" i="2" a="1"/>
  <c r="CS72" i="2" s="1"/>
  <c r="CS134" i="2" a="1"/>
  <c r="CS134" i="2" s="1"/>
  <c r="CS77" i="2" a="1"/>
  <c r="CS77" i="2" s="1"/>
  <c r="CS137" i="2" a="1"/>
  <c r="CS137" i="2" s="1"/>
  <c r="CS56" i="2" a="1"/>
  <c r="CS56" i="2" s="1"/>
  <c r="FD48" i="2" a="1"/>
  <c r="FD48" i="2" s="1"/>
  <c r="EI35" i="2" a="1"/>
  <c r="EI35" i="2" s="1"/>
  <c r="EI139" i="2" a="1"/>
  <c r="EI139" i="2" s="1"/>
  <c r="EI113" i="2" a="1"/>
  <c r="EI113" i="2" s="1"/>
  <c r="FD44" i="2" a="1"/>
  <c r="FD44" i="2" s="1"/>
  <c r="AH90" i="2" a="1"/>
  <c r="AH90" i="2" s="1"/>
  <c r="CS105" i="2" a="1"/>
  <c r="CS105" i="2" s="1"/>
  <c r="CS52" i="2" a="1"/>
  <c r="CS52" i="2" s="1"/>
  <c r="CS66" i="2" a="1"/>
  <c r="CS66" i="2" s="1"/>
  <c r="FD188" i="2" a="1"/>
  <c r="FD188" i="2" s="1"/>
  <c r="FD82" i="2" a="1"/>
  <c r="FD82" i="2" s="1"/>
  <c r="FD131" i="2" a="1"/>
  <c r="FD131" i="2" s="1"/>
  <c r="FD187" i="2" a="1"/>
  <c r="FD187" i="2" s="1"/>
  <c r="FD194" i="2" a="1"/>
  <c r="FD194" i="2" s="1"/>
  <c r="FD19" i="2" a="1"/>
  <c r="FD19" i="2" s="1"/>
  <c r="FD160" i="2" a="1"/>
  <c r="FD160" i="2" s="1"/>
  <c r="FD137" i="2" a="1"/>
  <c r="FD137" i="2" s="1"/>
  <c r="FD159" i="2" a="1"/>
  <c r="FD159" i="2" s="1"/>
  <c r="FD107" i="2" a="1"/>
  <c r="FD107" i="2" s="1"/>
  <c r="FD167" i="2" a="1"/>
  <c r="FD167" i="2" s="1"/>
  <c r="FD43" i="2" a="1"/>
  <c r="FD43" i="2" s="1"/>
  <c r="FD64" i="2" a="1"/>
  <c r="FD64" i="2" s="1"/>
  <c r="FD189" i="2" a="1"/>
  <c r="FD189" i="2" s="1"/>
  <c r="FD14" i="2" a="1"/>
  <c r="FD14" i="2" s="1"/>
  <c r="FD59" i="2" a="1"/>
  <c r="FD59" i="2" s="1"/>
  <c r="FD144" i="2" a="1"/>
  <c r="FD144" i="2" s="1"/>
  <c r="FD21" i="2" a="1"/>
  <c r="FD21" i="2" s="1"/>
  <c r="FD60" i="2" a="1"/>
  <c r="FD60" i="2" s="1"/>
  <c r="EI37" i="2" a="1"/>
  <c r="EI37" i="2" s="1"/>
  <c r="EI145" i="2" a="1"/>
  <c r="EI145" i="2" s="1"/>
  <c r="EI162" i="2" a="1"/>
  <c r="EI162" i="2" s="1"/>
  <c r="EI67" i="2" a="1"/>
  <c r="EI67" i="2" s="1"/>
  <c r="EI170" i="2" a="1"/>
  <c r="EI170" i="2" s="1"/>
  <c r="EI16" i="2" a="1"/>
  <c r="EI16" i="2" s="1"/>
  <c r="EI178" i="2" a="1"/>
  <c r="EI178" i="2" s="1"/>
  <c r="EI150" i="2" a="1"/>
  <c r="EI150" i="2" s="1"/>
  <c r="EI29" i="2" a="1"/>
  <c r="EI29" i="2" s="1"/>
  <c r="EI165" i="2" a="1"/>
  <c r="EI165" i="2" s="1"/>
  <c r="EI71" i="2" a="1"/>
  <c r="EI71" i="2" s="1"/>
  <c r="EI57" i="2" a="1"/>
  <c r="EI57" i="2" s="1"/>
  <c r="EI106" i="2" a="1"/>
  <c r="EI106" i="2" s="1"/>
  <c r="EI153" i="2" a="1"/>
  <c r="EI153" i="2" s="1"/>
  <c r="EI109" i="2" a="1"/>
  <c r="EI109" i="2" s="1"/>
  <c r="EI38" i="2" a="1"/>
  <c r="EI38" i="2" s="1"/>
  <c r="EI195" i="2" a="1"/>
  <c r="EI195" i="2" s="1"/>
  <c r="EI166" i="2" a="1"/>
  <c r="EI166" i="2" s="1"/>
  <c r="EI198" i="2" a="1"/>
  <c r="EI198" i="2" s="1"/>
  <c r="EI128" i="2" a="1"/>
  <c r="EI128" i="2" s="1"/>
  <c r="EI142" i="2" a="1"/>
  <c r="EI142" i="2" s="1"/>
  <c r="CS116" i="2" a="1"/>
  <c r="CS116" i="2" s="1"/>
  <c r="CS129" i="2" a="1"/>
  <c r="CS129" i="2" s="1"/>
  <c r="FS203" i="2"/>
  <c r="EY202" i="2"/>
  <c r="HJ202" i="2"/>
  <c r="FR203" i="2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2" i="2" a="1"/>
  <c r="AH92" i="2" s="1"/>
  <c r="GT51" i="2" a="1"/>
  <c r="GT51" i="2" s="1"/>
  <c r="GT138" i="2" a="1"/>
  <c r="GT138" i="2" s="1"/>
  <c r="GT178" i="2" a="1"/>
  <c r="GT178" i="2" s="1"/>
  <c r="GT15" i="2" a="1"/>
  <c r="GT15" i="2" s="1"/>
  <c r="GT74" i="2" a="1"/>
  <c r="GT74" i="2" s="1"/>
  <c r="GT133" i="2" a="1"/>
  <c r="GT133" i="2" s="1"/>
  <c r="GT107" i="2" a="1"/>
  <c r="GT107" i="2" s="1"/>
  <c r="GT189" i="2" a="1"/>
  <c r="GT189" i="2" s="1"/>
  <c r="GT184" i="2" a="1"/>
  <c r="GT184" i="2" s="1"/>
  <c r="GT174" i="2" a="1"/>
  <c r="GT174" i="2" s="1"/>
  <c r="GT198" i="2" a="1"/>
  <c r="GT198" i="2" s="1"/>
  <c r="GT11" i="2" a="1"/>
  <c r="GT11" i="2" s="1"/>
  <c r="GT102" i="2" a="1"/>
  <c r="GT102" i="2" s="1"/>
  <c r="GT190" i="2" a="1"/>
  <c r="GT190" i="2" s="1"/>
  <c r="GT191" i="2" a="1"/>
  <c r="GT191" i="2" s="1"/>
  <c r="GT12" i="2" a="1"/>
  <c r="GT12" i="2" s="1"/>
  <c r="GT147" i="2" a="1"/>
  <c r="GT147" i="2" s="1"/>
  <c r="GT21" i="2" a="1"/>
  <c r="GT21" i="2" s="1"/>
  <c r="GT152" i="2" a="1"/>
  <c r="GT152" i="2" s="1"/>
  <c r="GT38" i="2" a="1"/>
  <c r="GT38" i="2" s="1"/>
  <c r="GT126" i="2" a="1"/>
  <c r="GT126" i="2" s="1"/>
  <c r="GT33" i="2" a="1"/>
  <c r="GT33" i="2" s="1"/>
  <c r="GT181" i="2" a="1"/>
  <c r="GT181" i="2" s="1"/>
  <c r="GT115" i="2" a="1"/>
  <c r="GT115" i="2" s="1"/>
  <c r="GT121" i="2" a="1"/>
  <c r="GT121" i="2" s="1"/>
  <c r="GT122" i="2" a="1"/>
  <c r="GT122" i="2" s="1"/>
  <c r="GT68" i="2" a="1"/>
  <c r="GT68" i="2" s="1"/>
  <c r="HH203" i="2"/>
  <c r="HG203" i="2"/>
  <c r="DN135" i="2" a="1"/>
  <c r="DN135" i="2" s="1"/>
  <c r="DN55" i="2" a="1"/>
  <c r="DN55" i="2" s="1"/>
  <c r="DN132" i="2" a="1"/>
  <c r="DN132" i="2" s="1"/>
  <c r="DN177" i="2" a="1"/>
  <c r="DN177" i="2" s="1"/>
  <c r="DN30" i="2" a="1"/>
  <c r="DN30" i="2" s="1"/>
  <c r="DN184" i="2" a="1"/>
  <c r="DN184" i="2" s="1"/>
  <c r="DN164" i="2" a="1"/>
  <c r="DN164" i="2" s="1"/>
  <c r="DN31" i="2" a="1"/>
  <c r="DN31" i="2" s="1"/>
  <c r="DN115" i="2" a="1"/>
  <c r="DN115" i="2" s="1"/>
  <c r="DN170" i="2" a="1"/>
  <c r="DN170" i="2" s="1"/>
  <c r="DN46" i="2" a="1"/>
  <c r="DN46" i="2" s="1"/>
  <c r="DN43" i="2" a="1"/>
  <c r="DN43" i="2" s="1"/>
  <c r="DN123" i="2" a="1"/>
  <c r="DN123" i="2" s="1"/>
  <c r="DN187" i="2" a="1"/>
  <c r="DN187" i="2" s="1"/>
  <c r="DN65" i="2" a="1"/>
  <c r="DN65" i="2" s="1"/>
  <c r="DN70" i="2" a="1"/>
  <c r="DN70" i="2" s="1"/>
  <c r="DN63" i="2" a="1"/>
  <c r="DN63" i="2" s="1"/>
  <c r="DN150" i="2" a="1"/>
  <c r="DN150" i="2" s="1"/>
  <c r="DN152" i="2" a="1"/>
  <c r="DN152" i="2" s="1"/>
  <c r="DN110" i="2" a="1"/>
  <c r="DN110" i="2" s="1"/>
  <c r="DN38" i="2" a="1"/>
  <c r="DN38" i="2" s="1"/>
  <c r="DN153" i="2" a="1"/>
  <c r="DN153" i="2" s="1"/>
  <c r="DN41" i="2" a="1"/>
  <c r="DN41" i="2" s="1"/>
  <c r="DN176" i="2" a="1"/>
  <c r="DN176" i="2" s="1"/>
  <c r="DN167" i="2" a="1"/>
  <c r="DN167" i="2" s="1"/>
  <c r="DN114" i="2" a="1"/>
  <c r="DN114" i="2" s="1"/>
  <c r="DN192" i="2" a="1"/>
  <c r="DN192" i="2" s="1"/>
  <c r="DN129" i="2" a="1"/>
  <c r="DN129" i="2" s="1"/>
  <c r="DN16" i="2" a="1"/>
  <c r="DN16" i="2" s="1"/>
  <c r="DN80" i="2" a="1"/>
  <c r="DN80" i="2" s="1"/>
  <c r="DN103" i="2" a="1"/>
  <c r="DN103" i="2" s="1"/>
  <c r="DN66" i="2" a="1"/>
  <c r="DN66" i="2" s="1"/>
  <c r="DN50" i="2" a="1"/>
  <c r="DN50" i="2" s="1"/>
  <c r="DN45" i="2" a="1"/>
  <c r="DN45" i="2" s="1"/>
  <c r="DN190" i="2" a="1"/>
  <c r="DN190" i="2" s="1"/>
  <c r="DN133" i="2" a="1"/>
  <c r="DN133" i="2" s="1"/>
  <c r="DN162" i="2" a="1"/>
  <c r="DN162" i="2" s="1"/>
  <c r="DN188" i="2" a="1"/>
  <c r="DN188" i="2" s="1"/>
  <c r="DN113" i="2" a="1"/>
  <c r="DN113" i="2" s="1"/>
  <c r="DN49" i="2" a="1"/>
  <c r="DN49" i="2" s="1"/>
  <c r="DN168" i="2" a="1"/>
  <c r="DN168" i="2" s="1"/>
  <c r="DN86" i="2" a="1"/>
  <c r="DN86" i="2" s="1"/>
  <c r="DN25" i="2" a="1"/>
  <c r="DN25" i="2" s="1"/>
  <c r="DN155" i="2" a="1"/>
  <c r="DN155" i="2" s="1"/>
  <c r="DN186" i="2" a="1"/>
  <c r="DN186" i="2" s="1"/>
  <c r="DN137" i="2" a="1"/>
  <c r="DN137" i="2" s="1"/>
  <c r="DN124" i="2" a="1"/>
  <c r="DN124" i="2" s="1"/>
  <c r="DN29" i="2" a="1"/>
  <c r="DN29" i="2" s="1"/>
  <c r="DN56" i="2" a="1"/>
  <c r="DN56" i="2" s="1"/>
  <c r="BC38" i="2" a="1"/>
  <c r="BC38" i="2" s="1"/>
  <c r="BC32" i="2" a="1"/>
  <c r="BC32" i="2" s="1"/>
  <c r="BC83" i="2" a="1"/>
  <c r="BC83" i="2" s="1"/>
  <c r="BC181" i="2" a="1"/>
  <c r="BC181" i="2" s="1"/>
  <c r="BC58" i="2" a="1"/>
  <c r="BC58" i="2" s="1"/>
  <c r="BC164" i="2" a="1"/>
  <c r="BC164" i="2" s="1"/>
  <c r="BC117" i="2" a="1"/>
  <c r="BC117" i="2" s="1"/>
  <c r="BC18" i="2" a="1"/>
  <c r="BC18" i="2" s="1"/>
  <c r="BC84" i="2" a="1"/>
  <c r="BC84" i="2" s="1"/>
  <c r="BC68" i="2" a="1"/>
  <c r="BC68" i="2" s="1"/>
  <c r="BC151" i="2" a="1"/>
  <c r="BC151" i="2" s="1"/>
  <c r="BC192" i="2" a="1"/>
  <c r="BC192" i="2" s="1"/>
  <c r="BC65" i="2" a="1"/>
  <c r="BC65" i="2" s="1"/>
  <c r="BC55" i="2" a="1"/>
  <c r="BC55" i="2" s="1"/>
  <c r="BC114" i="2" a="1"/>
  <c r="BC114" i="2" s="1"/>
  <c r="BC185" i="2" a="1"/>
  <c r="BC185" i="2" s="1"/>
  <c r="BC130" i="2" a="1"/>
  <c r="BC130" i="2" s="1"/>
  <c r="BC126" i="2" a="1"/>
  <c r="BC126" i="2" s="1"/>
  <c r="BC143" i="2" a="1"/>
  <c r="BC143" i="2" s="1"/>
  <c r="BC82" i="2" a="1"/>
  <c r="BC82" i="2" s="1"/>
  <c r="BC7" i="2" a="1"/>
  <c r="BC7" i="2" s="1"/>
  <c r="BD7" i="2" s="1"/>
  <c r="BC31" i="2" a="1"/>
  <c r="BC31" i="2" s="1"/>
  <c r="BC47" i="2" a="1"/>
  <c r="BC47" i="2" s="1"/>
  <c r="FY142" i="2" a="1"/>
  <c r="FY142" i="2" s="1"/>
  <c r="FY167" i="2" a="1"/>
  <c r="FY167" i="2" s="1"/>
  <c r="FY58" i="2" a="1"/>
  <c r="FY58" i="2" s="1"/>
  <c r="FY82" i="2" a="1"/>
  <c r="FY82" i="2" s="1"/>
  <c r="FY121" i="2" a="1"/>
  <c r="FY121" i="2" s="1"/>
  <c r="FY30" i="2" a="1"/>
  <c r="FY30" i="2" s="1"/>
  <c r="FY42" i="2" a="1"/>
  <c r="FY42" i="2" s="1"/>
  <c r="FY196" i="2" a="1"/>
  <c r="FY196" i="2" s="1"/>
  <c r="FY172" i="2" a="1"/>
  <c r="FY172" i="2" s="1"/>
  <c r="FY104" i="2" a="1"/>
  <c r="FY104" i="2" s="1"/>
  <c r="FY80" i="2" a="1"/>
  <c r="FY80" i="2" s="1"/>
  <c r="FY115" i="2" a="1"/>
  <c r="FY115" i="2" s="1"/>
  <c r="FY86" i="2" a="1"/>
  <c r="FY86" i="2" s="1"/>
  <c r="FY34" i="2" a="1"/>
  <c r="FY34" i="2" s="1"/>
  <c r="FY149" i="2" a="1"/>
  <c r="FY149" i="2" s="1"/>
  <c r="FY182" i="2" a="1"/>
  <c r="FY182" i="2" s="1"/>
  <c r="FY169" i="2" a="1"/>
  <c r="FY169" i="2" s="1"/>
  <c r="FY62" i="2" a="1"/>
  <c r="FY62" i="2" s="1"/>
  <c r="FY72" i="2" a="1"/>
  <c r="FY72" i="2" s="1"/>
  <c r="FY55" i="2" a="1"/>
  <c r="FY55" i="2" s="1"/>
  <c r="FY28" i="2" a="1"/>
  <c r="FY28" i="2" s="1"/>
  <c r="FY174" i="2" a="1"/>
  <c r="FY174" i="2" s="1"/>
  <c r="FY24" i="2" a="1"/>
  <c r="FY24" i="2" s="1"/>
  <c r="FY188" i="2" a="1"/>
  <c r="FY188" i="2" s="1"/>
  <c r="FY190" i="2" a="1"/>
  <c r="FY190" i="2" s="1"/>
  <c r="FY78" i="2" a="1"/>
  <c r="FY78" i="2" s="1"/>
  <c r="FY164" i="2" a="1"/>
  <c r="FY164" i="2" s="1"/>
  <c r="FY99" i="2" a="1"/>
  <c r="FY99" i="2" s="1"/>
  <c r="FY178" i="2" a="1"/>
  <c r="FY178" i="2" s="1"/>
  <c r="FY152" i="2" a="1"/>
  <c r="FY152" i="2" s="1"/>
  <c r="FY47" i="2" a="1"/>
  <c r="FY47" i="2" s="1"/>
  <c r="FY124" i="2" a="1"/>
  <c r="FY124" i="2" s="1"/>
  <c r="FY126" i="2" a="1"/>
  <c r="FY126" i="2" s="1"/>
  <c r="FY92" i="2" a="1"/>
  <c r="FY92" i="2" s="1"/>
  <c r="FY111" i="2" a="1"/>
  <c r="FY111" i="2" s="1"/>
  <c r="FY73" i="2" a="1"/>
  <c r="FY73" i="2" s="1"/>
  <c r="FY186" i="2" a="1"/>
  <c r="FY186" i="2" s="1"/>
  <c r="FY110" i="2" a="1"/>
  <c r="FY110" i="2" s="1"/>
  <c r="FY116" i="2" a="1"/>
  <c r="FY116" i="2" s="1"/>
  <c r="FY159" i="2" a="1"/>
  <c r="FY159" i="2" s="1"/>
  <c r="FY143" i="2" a="1"/>
  <c r="FY143" i="2" s="1"/>
  <c r="FY191" i="2" a="1"/>
  <c r="FY191" i="2" s="1"/>
  <c r="FY102" i="2" a="1"/>
  <c r="FY102" i="2" s="1"/>
  <c r="FY18" i="2" a="1"/>
  <c r="FY18" i="2" s="1"/>
  <c r="FY173" i="2" a="1"/>
  <c r="FY173" i="2" s="1"/>
  <c r="FY66" i="2" a="1"/>
  <c r="FY66" i="2" s="1"/>
  <c r="FY120" i="2" a="1"/>
  <c r="FY120" i="2" s="1"/>
  <c r="FY71" i="2" a="1"/>
  <c r="FY71" i="2" s="1"/>
  <c r="FY133" i="2" a="1"/>
  <c r="FY133" i="2" s="1"/>
  <c r="FY153" i="2" a="1"/>
  <c r="FY153" i="2" s="1"/>
  <c r="FY146" i="2" a="1"/>
  <c r="FY146" i="2" s="1"/>
  <c r="FY69" i="2" a="1"/>
  <c r="FY69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140" i="2" a="1"/>
  <c r="FY140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T203" i="2"/>
  <c r="DI203" i="2"/>
  <c r="CN203" i="2"/>
  <c r="EY203" i="2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25" i="2" l="1"/>
  <c r="GE178" i="2"/>
  <c r="GE139" i="2"/>
  <c r="GE142" i="2"/>
  <c r="GE151" i="2"/>
  <c r="GE199" i="2"/>
  <c r="GE113" i="2"/>
  <c r="GE116" i="2"/>
  <c r="GE168" i="2"/>
  <c r="GE82" i="2"/>
  <c r="GE32" i="2"/>
  <c r="GE106" i="2"/>
  <c r="GE105" i="2"/>
  <c r="GE34" i="2"/>
  <c r="GE63" i="2"/>
  <c r="GE130" i="2"/>
  <c r="GE60" i="2"/>
  <c r="GE158" i="2"/>
  <c r="GE17" i="2"/>
  <c r="GE30" i="2"/>
  <c r="GE110" i="2"/>
  <c r="GE93" i="2"/>
  <c r="GE90" i="2"/>
  <c r="GE121" i="2"/>
  <c r="GE73" i="2"/>
  <c r="GE37" i="2"/>
  <c r="GE50" i="2"/>
  <c r="GE47" i="2"/>
  <c r="GE5" i="2"/>
  <c r="GE10" i="2"/>
  <c r="GE161" i="2"/>
  <c r="GE7" i="2"/>
  <c r="GE20" i="2"/>
  <c r="GE15" i="2"/>
  <c r="GE94" i="2"/>
  <c r="GE3" i="2"/>
  <c r="C14" i="4" s="1"/>
  <c r="E14" i="4" s="1"/>
  <c r="F14" i="4" s="1"/>
  <c r="G14" i="4" s="1"/>
  <c r="L14" i="4" s="1"/>
  <c r="GE147" i="2"/>
  <c r="GE102" i="2"/>
  <c r="GE76" i="2"/>
  <c r="GE38" i="2"/>
  <c r="GE156" i="2"/>
  <c r="GE174" i="2"/>
  <c r="GE22" i="2"/>
  <c r="GE57" i="2"/>
  <c r="GE190" i="2"/>
  <c r="GE197" i="2"/>
  <c r="GE100" i="2"/>
  <c r="GE56" i="2"/>
  <c r="GE176" i="2"/>
  <c r="GE148" i="2"/>
  <c r="GE95" i="2"/>
  <c r="GE169" i="2"/>
  <c r="GE31" i="2"/>
  <c r="GE192" i="2"/>
  <c r="GE173" i="2"/>
  <c r="GE36" i="2"/>
  <c r="GE75" i="2"/>
  <c r="GE35" i="2"/>
  <c r="GE48" i="2"/>
  <c r="GE11" i="2"/>
  <c r="GE187" i="2"/>
  <c r="GE13" i="2"/>
  <c r="GE193" i="2"/>
  <c r="GE171" i="2"/>
  <c r="GE98" i="2"/>
  <c r="GE200" i="2"/>
  <c r="GE59" i="2"/>
  <c r="GE88" i="2"/>
  <c r="GE42" i="2"/>
  <c r="GE96" i="2"/>
  <c r="GE195" i="2"/>
  <c r="GE69" i="2"/>
  <c r="GE55" i="2"/>
  <c r="GE160" i="2"/>
  <c r="GE159" i="2"/>
  <c r="GE182" i="2"/>
  <c r="GE149" i="2"/>
  <c r="GE184" i="2"/>
  <c r="GE137" i="2"/>
  <c r="GE109" i="2"/>
  <c r="GE115" i="2"/>
  <c r="GE118" i="2"/>
  <c r="GE166" i="2"/>
  <c r="GE87" i="2"/>
  <c r="GE201" i="2"/>
  <c r="GE111" i="2"/>
  <c r="GE16" i="2"/>
  <c r="GE49" i="2"/>
  <c r="GE179" i="2"/>
  <c r="GE53" i="2"/>
  <c r="GE80" i="2"/>
  <c r="GE92" i="2"/>
  <c r="GE185" i="2"/>
  <c r="GE33" i="2"/>
  <c r="GE134" i="2"/>
  <c r="GE140" i="2"/>
  <c r="GE146" i="2"/>
  <c r="GE189" i="2"/>
  <c r="GE153" i="2"/>
  <c r="GE155" i="2"/>
  <c r="GE52" i="2"/>
  <c r="GE203" i="2"/>
  <c r="GE107" i="2"/>
  <c r="GE180" i="2"/>
  <c r="GE150" i="2"/>
  <c r="GE133" i="2"/>
  <c r="GE64" i="2"/>
  <c r="GE165" i="2"/>
  <c r="GE175" i="2"/>
  <c r="GE97" i="2"/>
  <c r="GE62" i="2"/>
  <c r="GE112" i="2"/>
  <c r="GE162" i="2"/>
  <c r="GE152" i="2"/>
  <c r="GE123" i="2"/>
  <c r="GE28" i="2"/>
  <c r="GE131" i="2"/>
  <c r="GE89" i="2"/>
  <c r="GE188" i="2"/>
  <c r="GE127" i="2"/>
  <c r="GE183" i="2"/>
  <c r="GE54" i="2"/>
  <c r="GE19" i="2"/>
  <c r="GE99" i="2"/>
  <c r="GE45" i="2"/>
  <c r="GE164" i="2"/>
  <c r="GE65" i="2"/>
  <c r="GE67" i="2"/>
  <c r="GE14" i="2"/>
  <c r="GE66" i="2"/>
  <c r="GE104" i="2"/>
  <c r="GE119" i="2"/>
  <c r="GE44" i="2"/>
  <c r="GE40" i="2"/>
  <c r="GE51" i="2"/>
  <c r="GE27" i="2"/>
  <c r="GE78" i="2"/>
  <c r="GE39" i="2"/>
  <c r="GE8" i="2"/>
  <c r="GE85" i="2"/>
  <c r="GE41" i="2"/>
  <c r="GE125" i="2"/>
  <c r="GE61" i="2"/>
  <c r="GE43" i="2"/>
  <c r="GE21" i="2"/>
  <c r="GE124" i="2"/>
  <c r="GE18" i="2"/>
  <c r="GE9" i="2"/>
  <c r="GE84" i="2"/>
  <c r="GE141" i="2"/>
  <c r="GE101" i="2"/>
  <c r="GE120" i="2"/>
  <c r="GE126" i="2"/>
  <c r="GE72" i="2"/>
  <c r="GE6" i="2"/>
  <c r="GE181" i="2"/>
  <c r="GE26" i="2"/>
  <c r="GE157" i="2"/>
  <c r="GE74" i="2"/>
  <c r="GE132" i="2"/>
  <c r="GE24" i="2"/>
  <c r="GE191" i="2"/>
  <c r="GE177" i="2"/>
  <c r="GE143" i="2"/>
  <c r="GE77" i="2"/>
  <c r="GE70" i="2"/>
  <c r="GE23" i="2"/>
  <c r="GE135" i="2"/>
  <c r="GE129" i="2"/>
  <c r="GE103" i="2"/>
  <c r="GE114" i="2"/>
  <c r="GE46" i="2"/>
  <c r="GE136" i="2"/>
  <c r="GE29" i="2"/>
  <c r="GE198" i="2"/>
  <c r="GE202" i="2"/>
  <c r="GE170" i="2"/>
  <c r="GE71" i="2"/>
  <c r="GE186" i="2"/>
  <c r="GE172" i="2"/>
  <c r="GE144" i="2"/>
  <c r="GE79" i="2"/>
  <c r="GE122" i="2"/>
  <c r="GE4" i="2"/>
  <c r="GE128" i="2"/>
  <c r="GE91" i="2"/>
  <c r="GE68" i="2"/>
  <c r="GE163" i="2"/>
  <c r="GE81" i="2"/>
  <c r="GE196" i="2"/>
  <c r="GE12" i="2"/>
  <c r="GE167" i="2"/>
  <c r="GE58" i="2"/>
  <c r="GE138" i="2"/>
  <c r="GE194" i="2"/>
  <c r="GE86" i="2"/>
  <c r="GE83" i="2"/>
  <c r="GE145" i="2"/>
  <c r="GE154" i="2"/>
  <c r="GE108" i="2"/>
  <c r="GE11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85" i="2" l="1"/>
  <c r="CD155" i="2"/>
  <c r="CD197" i="2"/>
  <c r="CD115" i="2"/>
  <c r="CD188" i="2"/>
  <c r="CD99" i="2"/>
  <c r="CD80" i="2"/>
  <c r="CD52" i="2"/>
  <c r="CD86" i="2"/>
  <c r="CD10" i="2"/>
  <c r="CD84" i="2"/>
  <c r="CD198" i="2"/>
  <c r="CD50" i="2"/>
  <c r="CD79" i="2"/>
  <c r="CD74" i="2"/>
  <c r="CD70" i="2"/>
  <c r="CD73" i="2"/>
  <c r="CD36" i="2"/>
  <c r="CD193" i="2"/>
  <c r="CD201" i="2"/>
  <c r="CD158" i="2"/>
  <c r="CD87" i="2"/>
  <c r="CD91" i="2"/>
  <c r="CD128" i="2"/>
  <c r="CD13" i="2"/>
  <c r="CD190" i="2"/>
  <c r="CD140" i="2"/>
  <c r="CD181" i="2"/>
  <c r="CD118" i="2"/>
  <c r="CD47" i="2"/>
  <c r="CD114" i="2"/>
  <c r="CD129" i="2"/>
  <c r="CD59" i="2"/>
  <c r="CD14" i="2"/>
  <c r="CD102" i="2"/>
  <c r="CD35" i="2"/>
  <c r="CD149" i="2"/>
  <c r="CD28" i="2"/>
  <c r="CD179" i="2"/>
  <c r="CD130" i="2"/>
  <c r="CD176" i="2"/>
  <c r="CD162" i="2"/>
  <c r="CD90" i="2"/>
  <c r="CD37" i="2"/>
  <c r="CD153" i="2"/>
  <c r="CD38" i="2"/>
  <c r="CD56" i="2"/>
  <c r="CD20" i="2"/>
  <c r="CD120" i="2"/>
  <c r="CD97" i="2"/>
  <c r="CD194" i="2"/>
  <c r="CD44" i="2"/>
  <c r="CD109" i="2"/>
  <c r="CD150" i="2"/>
  <c r="CD3" i="2"/>
  <c r="C9" i="4" s="1"/>
  <c r="E9" i="4" s="1"/>
  <c r="F9" i="4" s="1"/>
  <c r="G9" i="4" s="1"/>
  <c r="L9" i="4" s="1"/>
  <c r="CD94" i="2"/>
  <c r="CD202" i="2"/>
  <c r="CD89" i="2"/>
  <c r="CD98" i="2"/>
  <c r="CD43" i="2"/>
  <c r="CD131" i="2"/>
  <c r="CD196" i="2"/>
  <c r="CD106" i="2"/>
  <c r="CD9" i="2"/>
  <c r="CD67" i="2"/>
  <c r="CD182" i="2"/>
  <c r="CD63" i="2"/>
  <c r="CD157" i="2"/>
  <c r="CD180" i="2"/>
  <c r="CD171" i="2"/>
  <c r="CD145" i="2"/>
  <c r="CD165" i="2"/>
  <c r="CD78" i="2"/>
  <c r="CD187" i="2"/>
  <c r="CD146" i="2"/>
  <c r="CD103" i="2"/>
  <c r="CD172" i="2"/>
  <c r="CD81" i="2"/>
  <c r="CD164" i="2"/>
  <c r="CD7" i="2"/>
  <c r="CD57" i="2"/>
  <c r="CD110" i="2"/>
  <c r="CD174" i="2"/>
  <c r="CD127" i="2"/>
  <c r="CD151" i="2"/>
  <c r="CD173" i="2"/>
  <c r="CD60" i="2"/>
  <c r="CD185" i="2"/>
  <c r="CD27" i="2"/>
  <c r="CD123" i="2"/>
  <c r="CD178" i="2"/>
  <c r="CD169" i="2"/>
  <c r="CD147" i="2"/>
  <c r="CD33" i="2"/>
  <c r="CD126" i="2"/>
  <c r="CD125" i="2"/>
  <c r="CD4" i="2"/>
  <c r="CD61" i="2"/>
  <c r="CD75" i="2"/>
  <c r="CD184" i="2"/>
  <c r="CD132" i="2"/>
  <c r="CD135" i="2"/>
  <c r="CD141" i="2"/>
  <c r="CD69" i="2"/>
  <c r="CD161" i="2"/>
  <c r="CD92" i="2"/>
  <c r="CD133" i="2"/>
  <c r="CD88" i="2"/>
  <c r="CD24" i="2"/>
  <c r="CD117" i="2"/>
  <c r="CD167" i="2"/>
  <c r="CD113" i="2"/>
  <c r="CD154" i="2"/>
  <c r="CD116" i="2"/>
  <c r="CD71" i="2"/>
  <c r="CD51" i="2"/>
  <c r="CD65" i="2"/>
  <c r="CD23" i="2"/>
  <c r="CD105" i="2"/>
  <c r="CD152" i="2"/>
  <c r="CD112" i="2"/>
  <c r="CD156" i="2"/>
  <c r="CD143" i="2"/>
  <c r="CD124" i="2"/>
  <c r="CD183" i="2"/>
  <c r="CD31" i="2"/>
  <c r="CD42" i="2"/>
  <c r="CD5" i="2"/>
  <c r="CD200" i="2"/>
  <c r="CD138" i="2"/>
  <c r="CD203" i="2"/>
  <c r="CD96" i="2"/>
  <c r="CD101" i="2"/>
  <c r="CD108" i="2"/>
  <c r="CD29" i="2"/>
  <c r="CD6" i="2"/>
  <c r="CD32" i="2"/>
  <c r="CD122" i="2"/>
  <c r="CD53" i="2"/>
  <c r="CD144" i="2"/>
  <c r="CD136" i="2"/>
  <c r="CD66" i="2"/>
  <c r="CD58" i="2"/>
  <c r="CD76" i="2"/>
  <c r="CD177" i="2"/>
  <c r="CD77" i="2"/>
  <c r="CD49" i="2"/>
  <c r="CD45" i="2"/>
  <c r="CD93" i="2"/>
  <c r="CD134" i="2"/>
  <c r="CD46" i="2"/>
  <c r="CD48" i="2"/>
  <c r="CD21" i="2"/>
  <c r="CD104" i="2"/>
  <c r="CD55" i="2"/>
  <c r="CD119" i="2"/>
  <c r="CD139" i="2"/>
  <c r="CD148" i="2"/>
  <c r="CD100" i="2"/>
  <c r="CD15" i="2"/>
  <c r="CD8" i="2"/>
  <c r="CD16" i="2"/>
  <c r="CD12" i="2"/>
  <c r="CD40" i="2"/>
  <c r="CD54" i="2"/>
  <c r="CD142" i="2"/>
  <c r="CD192" i="2"/>
  <c r="CD30" i="2"/>
  <c r="CD168" i="2"/>
  <c r="CD25" i="2"/>
  <c r="CD170" i="2"/>
  <c r="CD11" i="2"/>
  <c r="CD175" i="2"/>
  <c r="CD107" i="2"/>
  <c r="CD82" i="2"/>
  <c r="CD68" i="2"/>
  <c r="CD39" i="2"/>
  <c r="CD121" i="2"/>
  <c r="CD137" i="2"/>
  <c r="CD72" i="2"/>
  <c r="CD199" i="2"/>
  <c r="CD95" i="2"/>
  <c r="CD34" i="2"/>
  <c r="CD83" i="2"/>
  <c r="CD166" i="2"/>
  <c r="CD159" i="2"/>
  <c r="CD62" i="2"/>
  <c r="CD17" i="2"/>
  <c r="CD195" i="2"/>
  <c r="CD186" i="2"/>
  <c r="CD41" i="2"/>
  <c r="CD160" i="2"/>
  <c r="CD191" i="2"/>
  <c r="CD64" i="2"/>
  <c r="CD111" i="2"/>
  <c r="CD26" i="2"/>
  <c r="CD19" i="2"/>
  <c r="CD22" i="2"/>
  <c r="CD18" i="2"/>
  <c r="CD189" i="2"/>
  <c r="CD163" i="2"/>
  <c r="FJ81" i="2"/>
  <c r="FJ154" i="2"/>
  <c r="FJ121" i="2"/>
  <c r="FJ96" i="2"/>
  <c r="FJ114" i="2"/>
  <c r="FJ57" i="2"/>
  <c r="FJ190" i="2"/>
  <c r="FJ160" i="2"/>
  <c r="FJ30" i="2"/>
  <c r="FJ161" i="2"/>
  <c r="FJ82" i="2"/>
  <c r="FJ169" i="2"/>
  <c r="FJ68" i="2"/>
  <c r="FJ100" i="2"/>
  <c r="FJ126" i="2"/>
  <c r="FJ112" i="2"/>
  <c r="FJ140" i="2"/>
  <c r="FJ109" i="2"/>
  <c r="FJ116" i="2"/>
  <c r="FJ33" i="2"/>
  <c r="FJ118" i="2"/>
  <c r="FJ49" i="2"/>
  <c r="FJ120" i="2"/>
  <c r="FJ158" i="2"/>
  <c r="FJ52" i="2"/>
  <c r="FJ196" i="2"/>
  <c r="FJ4" i="2"/>
  <c r="FJ40" i="2"/>
  <c r="FJ137" i="2"/>
  <c r="FJ195" i="2"/>
  <c r="FJ198" i="2"/>
  <c r="FJ159" i="2"/>
  <c r="FJ175" i="2"/>
  <c r="FJ86" i="2"/>
  <c r="FJ103" i="2"/>
  <c r="FJ168" i="2"/>
  <c r="FJ186" i="2"/>
  <c r="FJ46" i="2"/>
  <c r="FJ124" i="2"/>
  <c r="FJ122" i="2"/>
  <c r="FJ62" i="2"/>
  <c r="FJ98" i="2"/>
  <c r="FJ127" i="2"/>
  <c r="FJ56" i="2"/>
  <c r="FJ15" i="2"/>
  <c r="FJ176" i="2"/>
  <c r="FJ157" i="2"/>
  <c r="FJ119" i="2"/>
  <c r="FJ199" i="2"/>
  <c r="FJ32" i="2"/>
  <c r="FJ189" i="2"/>
  <c r="FJ104" i="2"/>
  <c r="FJ167" i="2"/>
  <c r="FJ12" i="2"/>
  <c r="FJ39" i="2"/>
  <c r="FJ148" i="2"/>
  <c r="FJ172" i="2"/>
  <c r="FJ63" i="2"/>
  <c r="FJ182" i="2"/>
  <c r="FJ192" i="2"/>
  <c r="FJ26" i="2"/>
  <c r="FJ141" i="2"/>
  <c r="FJ18" i="2"/>
  <c r="FJ133" i="2"/>
  <c r="FJ80" i="2"/>
  <c r="FJ99" i="2"/>
  <c r="FJ147" i="2"/>
  <c r="FJ89" i="2"/>
  <c r="FJ201" i="2"/>
  <c r="FJ75" i="2"/>
  <c r="FJ165" i="2"/>
  <c r="FJ50" i="2"/>
  <c r="FJ150" i="2"/>
  <c r="FJ97" i="2"/>
  <c r="FJ129" i="2"/>
  <c r="FJ19" i="2"/>
  <c r="FJ187" i="2"/>
  <c r="FJ146" i="2"/>
  <c r="FJ108" i="2"/>
  <c r="FJ123" i="2"/>
  <c r="FJ55" i="2"/>
  <c r="FJ85" i="2"/>
  <c r="FJ47" i="2"/>
  <c r="FJ27" i="2"/>
  <c r="FJ53" i="2"/>
  <c r="FJ178" i="2"/>
  <c r="FJ66" i="2"/>
  <c r="FJ110" i="2"/>
  <c r="FJ94" i="2"/>
  <c r="FJ164" i="2"/>
  <c r="FJ24" i="2"/>
  <c r="FJ76" i="2"/>
  <c r="FJ151" i="2"/>
  <c r="FJ188" i="2"/>
  <c r="FJ117" i="2"/>
  <c r="FJ193" i="2"/>
  <c r="FJ113" i="2"/>
  <c r="FJ78" i="2"/>
  <c r="FJ3" i="2"/>
  <c r="C13" i="4" s="1"/>
  <c r="E13" i="4" s="1"/>
  <c r="F13" i="4" s="1"/>
  <c r="G13" i="4" s="1"/>
  <c r="L13" i="4" s="1"/>
  <c r="FJ128" i="2"/>
  <c r="FJ131" i="2"/>
  <c r="FJ74" i="2"/>
  <c r="FJ153" i="2"/>
  <c r="FJ31" i="2"/>
  <c r="FJ65" i="2"/>
  <c r="FJ88" i="2"/>
  <c r="FJ17" i="2"/>
  <c r="FJ111" i="2"/>
  <c r="FJ64" i="2"/>
  <c r="FJ139" i="2"/>
  <c r="FJ69" i="2"/>
  <c r="FJ179" i="2"/>
  <c r="FJ202" i="2"/>
  <c r="FJ84" i="2"/>
  <c r="FJ72" i="2"/>
  <c r="FJ59" i="2"/>
  <c r="FJ142" i="2"/>
  <c r="FJ185" i="2"/>
  <c r="FJ106" i="2"/>
  <c r="FJ91" i="2"/>
  <c r="FJ79" i="2"/>
  <c r="FJ16" i="2"/>
  <c r="FJ45" i="2"/>
  <c r="FJ174" i="2"/>
  <c r="FJ115" i="2"/>
  <c r="FJ29" i="2"/>
  <c r="FJ125" i="2"/>
  <c r="FJ200" i="2"/>
  <c r="FJ194" i="2"/>
  <c r="FJ13" i="2"/>
  <c r="FJ149" i="2"/>
  <c r="FJ23" i="2"/>
  <c r="FJ77" i="2"/>
  <c r="FJ132" i="2"/>
  <c r="FJ173" i="2"/>
  <c r="FJ36" i="2"/>
  <c r="FJ70" i="2"/>
  <c r="FJ44" i="2"/>
  <c r="FJ51" i="2"/>
  <c r="FJ184" i="2"/>
  <c r="FJ25" i="2"/>
  <c r="FJ181" i="2"/>
  <c r="FJ35" i="2"/>
  <c r="FJ177" i="2"/>
  <c r="FJ60" i="2"/>
  <c r="FJ170" i="2"/>
  <c r="FJ41" i="2"/>
  <c r="FJ21" i="2"/>
  <c r="FJ42" i="2"/>
  <c r="FJ138" i="2"/>
  <c r="FJ130" i="2"/>
  <c r="FJ136" i="2"/>
  <c r="FJ83" i="2"/>
  <c r="FJ152" i="2"/>
  <c r="FJ163" i="2"/>
  <c r="FJ203" i="2"/>
  <c r="FJ162" i="2"/>
  <c r="FJ67" i="2"/>
  <c r="FJ90" i="2"/>
  <c r="FJ102" i="2"/>
  <c r="FJ155" i="2"/>
  <c r="FJ171" i="2"/>
  <c r="FJ28" i="2"/>
  <c r="FJ8" i="2"/>
  <c r="FJ143" i="2"/>
  <c r="FJ156" i="2"/>
  <c r="FJ54" i="2"/>
  <c r="FJ101" i="2"/>
  <c r="FJ38" i="2"/>
  <c r="FJ37" i="2"/>
  <c r="FJ9" i="2"/>
  <c r="FJ92" i="2"/>
  <c r="FJ61" i="2"/>
  <c r="FJ135" i="2"/>
  <c r="FJ93" i="2"/>
  <c r="FJ58" i="2"/>
  <c r="FJ183" i="2"/>
  <c r="FJ87" i="2"/>
  <c r="FJ20" i="2"/>
  <c r="FJ43" i="2"/>
  <c r="FJ48" i="2"/>
  <c r="FJ5" i="2"/>
  <c r="FJ34" i="2"/>
  <c r="FJ105" i="2"/>
  <c r="FJ107" i="2"/>
  <c r="FJ95" i="2"/>
  <c r="FJ134" i="2"/>
  <c r="FJ11" i="2"/>
  <c r="FJ22" i="2"/>
  <c r="FJ144" i="2"/>
  <c r="FJ71" i="2"/>
  <c r="FJ191" i="2"/>
  <c r="FJ180" i="2"/>
  <c r="FJ14" i="2"/>
  <c r="FJ73" i="2"/>
  <c r="FJ166" i="2"/>
  <c r="FJ10" i="2"/>
  <c r="FJ197" i="2"/>
  <c r="FJ6" i="2"/>
  <c r="FJ145" i="2"/>
  <c r="FJ7" i="2"/>
  <c r="GZ173" i="2"/>
  <c r="GZ112" i="2"/>
  <c r="GZ14" i="2"/>
  <c r="GZ28" i="2"/>
  <c r="GZ29" i="2"/>
  <c r="GZ147" i="2"/>
  <c r="GZ198" i="2"/>
  <c r="GZ199" i="2"/>
  <c r="GZ46" i="2"/>
  <c r="GZ177" i="2"/>
  <c r="GZ178" i="2"/>
  <c r="GZ25" i="2"/>
  <c r="GZ140" i="2"/>
  <c r="GZ141" i="2"/>
  <c r="GZ126" i="2"/>
  <c r="GZ111" i="2"/>
  <c r="GZ116" i="2"/>
  <c r="GZ105" i="2"/>
  <c r="GZ90" i="2"/>
  <c r="GZ6" i="2"/>
  <c r="GZ68" i="2"/>
  <c r="GZ53" i="2"/>
  <c r="GZ184" i="2"/>
  <c r="GZ39" i="2"/>
  <c r="GZ32" i="2"/>
  <c r="GZ187" i="2"/>
  <c r="GZ63" i="2"/>
  <c r="GZ202" i="2"/>
  <c r="GZ118" i="2"/>
  <c r="GZ42" i="2"/>
  <c r="GZ165" i="2"/>
  <c r="GZ97" i="2"/>
  <c r="GZ5" i="2"/>
  <c r="GZ144" i="2"/>
  <c r="GZ60" i="2"/>
  <c r="GZ175" i="2"/>
  <c r="GZ51" i="2"/>
  <c r="GZ31" i="2"/>
  <c r="GZ154" i="2"/>
  <c r="GZ78" i="2"/>
  <c r="GZ10" i="2"/>
  <c r="GZ117" i="2"/>
  <c r="GZ8" i="2"/>
  <c r="GZ172" i="2"/>
  <c r="GZ96" i="2"/>
  <c r="GZ81" i="2"/>
  <c r="GZ143" i="2"/>
  <c r="GZ181" i="2"/>
  <c r="GZ44" i="2"/>
  <c r="GZ122" i="2"/>
  <c r="GZ160" i="2"/>
  <c r="GZ15" i="2"/>
  <c r="GZ85" i="2"/>
  <c r="GZ179" i="2"/>
  <c r="GZ18" i="2"/>
  <c r="GZ64" i="2"/>
  <c r="GZ94" i="2"/>
  <c r="GZ180" i="2"/>
  <c r="GZ11" i="2"/>
  <c r="GZ73" i="2"/>
  <c r="GZ151" i="2"/>
  <c r="GZ197" i="2"/>
  <c r="GZ36" i="2"/>
  <c r="GZ130" i="2"/>
  <c r="GZ176" i="2"/>
  <c r="GZ7" i="2"/>
  <c r="GZ93" i="2"/>
  <c r="GZ35" i="2"/>
  <c r="GZ185" i="2"/>
  <c r="GZ72" i="2"/>
  <c r="GZ57" i="2"/>
  <c r="GZ148" i="2"/>
  <c r="GZ75" i="2"/>
  <c r="GZ20" i="2"/>
  <c r="GZ119" i="2"/>
  <c r="GZ136" i="2"/>
  <c r="GZ190" i="2"/>
  <c r="GZ41" i="2"/>
  <c r="GZ98" i="2"/>
  <c r="GZ155" i="2"/>
  <c r="GZ169" i="2"/>
  <c r="GZ61" i="2"/>
  <c r="GZ70" i="2"/>
  <c r="GZ193" i="2"/>
  <c r="GZ40" i="2"/>
  <c r="GZ49" i="2"/>
  <c r="GZ156" i="2"/>
  <c r="GZ67" i="2"/>
  <c r="GZ12" i="2"/>
  <c r="GZ127" i="2"/>
  <c r="GZ19" i="2"/>
  <c r="GZ182" i="2"/>
  <c r="GZ106" i="2"/>
  <c r="GZ30" i="2"/>
  <c r="GZ161" i="2"/>
  <c r="GZ69" i="2"/>
  <c r="GZ9" i="2"/>
  <c r="GZ124" i="2"/>
  <c r="GZ48" i="2"/>
  <c r="GZ99" i="2"/>
  <c r="GZ95" i="2"/>
  <c r="GZ131" i="2"/>
  <c r="GZ89" i="2"/>
  <c r="GZ74" i="2"/>
  <c r="GZ189" i="2"/>
  <c r="GZ52" i="2"/>
  <c r="GZ37" i="2"/>
  <c r="GZ168" i="2"/>
  <c r="GZ23" i="2"/>
  <c r="GZ16" i="2"/>
  <c r="GZ171" i="2"/>
  <c r="GZ132" i="2"/>
  <c r="GZ186" i="2"/>
  <c r="GZ102" i="2"/>
  <c r="GZ103" i="2"/>
  <c r="GZ149" i="2"/>
  <c r="GZ123" i="2"/>
  <c r="GZ82" i="2"/>
  <c r="GZ128" i="2"/>
  <c r="GZ158" i="2"/>
  <c r="GZ110" i="2"/>
  <c r="GZ91" i="2"/>
  <c r="GZ137" i="2"/>
  <c r="GZ24" i="2"/>
  <c r="GZ62" i="2"/>
  <c r="GZ100" i="2"/>
  <c r="GZ194" i="2"/>
  <c r="GZ71" i="2"/>
  <c r="GZ157" i="2"/>
  <c r="GZ142" i="2"/>
  <c r="GZ50" i="2"/>
  <c r="GZ203" i="2"/>
  <c r="GZ121" i="2"/>
  <c r="GZ13" i="2"/>
  <c r="GZ22" i="2"/>
  <c r="GZ84" i="2"/>
  <c r="GZ183" i="2"/>
  <c r="GZ200" i="2"/>
  <c r="GZ201" i="2"/>
  <c r="GZ162" i="2"/>
  <c r="GZ59" i="2"/>
  <c r="GZ164" i="2"/>
  <c r="GZ125" i="2"/>
  <c r="GZ134" i="2"/>
  <c r="GZ135" i="2"/>
  <c r="GZ104" i="2"/>
  <c r="GZ113" i="2"/>
  <c r="GZ114" i="2"/>
  <c r="GZ83" i="2"/>
  <c r="GZ76" i="2"/>
  <c r="GZ77" i="2"/>
  <c r="GZ38" i="2"/>
  <c r="GZ47" i="2"/>
  <c r="GZ56" i="2"/>
  <c r="GZ17" i="2"/>
  <c r="GZ26" i="2"/>
  <c r="GZ195" i="2"/>
  <c r="GZ4" i="2"/>
  <c r="GZ188" i="2"/>
  <c r="GZ120" i="2"/>
  <c r="GZ174" i="2"/>
  <c r="GZ159" i="2"/>
  <c r="GZ27" i="2"/>
  <c r="GZ153" i="2"/>
  <c r="GZ138" i="2"/>
  <c r="GZ54" i="2"/>
  <c r="GZ55" i="2"/>
  <c r="GZ101" i="2"/>
  <c r="GZ33" i="2"/>
  <c r="GZ34" i="2"/>
  <c r="GZ80" i="2"/>
  <c r="GZ163" i="2"/>
  <c r="GZ196" i="2"/>
  <c r="GZ139" i="2"/>
  <c r="GZ166" i="2"/>
  <c r="GZ167" i="2"/>
  <c r="GZ145" i="2"/>
  <c r="GZ146" i="2"/>
  <c r="GZ192" i="2"/>
  <c r="GZ108" i="2"/>
  <c r="GZ109" i="2"/>
  <c r="GZ43" i="2"/>
  <c r="GZ79" i="2"/>
  <c r="GZ88" i="2"/>
  <c r="GZ107" i="2"/>
  <c r="GZ58" i="2"/>
  <c r="GZ45" i="2"/>
  <c r="GZ150" i="2"/>
  <c r="GZ21" i="2"/>
  <c r="GZ152" i="2"/>
  <c r="GZ129" i="2"/>
  <c r="GZ191" i="2"/>
  <c r="GZ115" i="2"/>
  <c r="GZ92" i="2"/>
  <c r="GZ170" i="2"/>
  <c r="GZ86" i="2"/>
  <c r="GZ87" i="2"/>
  <c r="GZ133" i="2"/>
  <c r="GZ65" i="2"/>
  <c r="GZ66" i="2"/>
  <c r="GZ3" i="2"/>
  <c r="C15" i="4" s="1"/>
  <c r="E15" i="4" s="1"/>
  <c r="F15" i="4" s="1"/>
  <c r="G15" i="4" s="1"/>
  <c r="L15" i="4" s="1"/>
  <c r="CY20" i="2"/>
  <c r="CY43" i="2"/>
  <c r="CY24" i="2"/>
  <c r="CY21" i="2"/>
  <c r="CY153" i="2"/>
  <c r="CY45" i="2"/>
  <c r="CY83" i="2"/>
  <c r="CY39" i="2"/>
  <c r="CY71" i="2"/>
  <c r="CY141" i="2"/>
  <c r="CY193" i="2"/>
  <c r="CY72" i="2"/>
  <c r="CY19" i="2"/>
  <c r="CY172" i="2"/>
  <c r="CY59" i="2"/>
  <c r="CY77" i="2"/>
  <c r="CY94" i="2"/>
  <c r="CY17" i="2"/>
  <c r="CY146" i="2"/>
  <c r="CY65" i="2"/>
  <c r="CY87" i="2"/>
  <c r="CY23" i="2"/>
  <c r="CY40" i="2"/>
  <c r="CY63" i="2"/>
  <c r="CY150" i="2"/>
  <c r="CY156" i="2"/>
  <c r="CY12" i="2"/>
  <c r="CY198" i="2"/>
  <c r="CY203" i="2"/>
  <c r="CY179" i="2"/>
  <c r="CY143" i="2"/>
  <c r="CY189" i="2"/>
  <c r="CY171" i="2"/>
  <c r="CY26" i="2"/>
  <c r="CY97" i="2"/>
  <c r="CY164" i="2"/>
  <c r="CY78" i="2"/>
  <c r="CY47" i="2"/>
  <c r="CY42" i="2"/>
  <c r="CY145" i="2"/>
  <c r="CY85" i="2"/>
  <c r="CY88" i="2"/>
  <c r="CY5" i="2"/>
  <c r="CY144" i="2"/>
  <c r="CY98" i="2"/>
  <c r="CY51" i="2"/>
  <c r="CY6" i="2"/>
  <c r="CY66" i="2"/>
  <c r="CY60" i="2"/>
  <c r="CY157" i="2"/>
  <c r="CY99" i="2"/>
  <c r="CY190" i="2"/>
  <c r="CY133" i="2"/>
  <c r="CY33" i="2"/>
  <c r="CY188" i="2"/>
  <c r="CY70" i="2"/>
  <c r="CY166" i="2"/>
  <c r="CY149" i="2"/>
  <c r="CY58" i="2"/>
  <c r="CY132" i="2"/>
  <c r="CY184" i="2"/>
  <c r="CY16" i="2"/>
  <c r="CY44" i="2"/>
  <c r="CY82" i="2"/>
  <c r="CY191" i="2"/>
  <c r="CY167" i="2"/>
  <c r="CY195" i="2"/>
  <c r="CY112" i="2"/>
  <c r="CY11" i="2"/>
  <c r="CY117" i="2"/>
  <c r="CY22" i="2"/>
  <c r="CY103" i="2"/>
  <c r="CY32" i="2"/>
  <c r="CY170" i="2"/>
  <c r="CY7" i="2"/>
  <c r="CY50" i="2"/>
  <c r="CY163" i="2"/>
  <c r="CY116" i="2"/>
  <c r="CY139" i="2"/>
  <c r="CY123" i="2"/>
  <c r="CY126" i="2"/>
  <c r="CY106" i="2"/>
  <c r="CY131" i="2"/>
  <c r="CY31" i="2"/>
  <c r="CY124" i="2"/>
  <c r="CY9" i="2"/>
  <c r="CY201" i="2"/>
  <c r="CY192" i="2"/>
  <c r="CY80" i="2"/>
  <c r="CY154" i="2"/>
  <c r="CY152" i="2"/>
  <c r="CY177" i="2"/>
  <c r="CY199" i="2"/>
  <c r="CY125" i="2"/>
  <c r="CY127" i="2"/>
  <c r="CY119" i="2"/>
  <c r="CY181" i="2"/>
  <c r="CY62" i="2"/>
  <c r="CY95" i="2"/>
  <c r="CY49" i="2"/>
  <c r="CY130" i="2"/>
  <c r="CY54" i="2"/>
  <c r="CY53" i="2"/>
  <c r="CY64" i="2"/>
  <c r="CY183" i="2"/>
  <c r="CY134" i="2"/>
  <c r="CY160" i="2"/>
  <c r="CY67" i="2"/>
  <c r="CY121" i="2"/>
  <c r="CY81" i="2"/>
  <c r="CY111" i="2"/>
  <c r="CY38" i="2"/>
  <c r="CY165" i="2"/>
  <c r="CY69" i="2"/>
  <c r="CY173" i="2"/>
  <c r="CY122" i="2"/>
  <c r="CY102" i="2"/>
  <c r="CY56" i="2"/>
  <c r="CY108" i="2"/>
  <c r="CY10" i="2"/>
  <c r="CY96" i="2"/>
  <c r="CY168" i="2"/>
  <c r="CY76" i="2"/>
  <c r="CY194" i="2"/>
  <c r="CY15" i="2"/>
  <c r="CY73" i="2"/>
  <c r="CY8" i="2"/>
  <c r="CY28" i="2"/>
  <c r="CY113" i="2"/>
  <c r="CY36" i="2"/>
  <c r="CY57" i="2"/>
  <c r="CY180" i="2"/>
  <c r="CY55" i="2"/>
  <c r="CY109" i="2"/>
  <c r="CY176" i="2"/>
  <c r="CY120" i="2"/>
  <c r="CY147" i="2"/>
  <c r="CY107" i="2"/>
  <c r="CY104" i="2"/>
  <c r="CY142" i="2"/>
  <c r="CY138" i="2"/>
  <c r="CY187" i="2"/>
  <c r="CY68" i="2"/>
  <c r="CY91" i="2"/>
  <c r="CY159" i="2"/>
  <c r="CY115" i="2"/>
  <c r="CY89" i="2"/>
  <c r="CY140" i="2"/>
  <c r="CY52" i="2"/>
  <c r="CY128" i="2"/>
  <c r="CY79" i="2"/>
  <c r="CY84" i="2"/>
  <c r="CY25" i="2"/>
  <c r="CY182" i="2"/>
  <c r="CY35" i="2"/>
  <c r="CY148" i="2"/>
  <c r="CY155" i="2"/>
  <c r="CY3" i="2"/>
  <c r="C10" i="4" s="1"/>
  <c r="E10" i="4" s="1"/>
  <c r="F10" i="4" s="1"/>
  <c r="G10" i="4" s="1"/>
  <c r="L10" i="4" s="1"/>
  <c r="CY162" i="2"/>
  <c r="CY169" i="2"/>
  <c r="CY74" i="2"/>
  <c r="CY129" i="2"/>
  <c r="CY178" i="2"/>
  <c r="CY110" i="2"/>
  <c r="CY29" i="2"/>
  <c r="CY48" i="2"/>
  <c r="CY46" i="2"/>
  <c r="CY14" i="2"/>
  <c r="CY105" i="2"/>
  <c r="CY137" i="2"/>
  <c r="CY18" i="2"/>
  <c r="CY114" i="2"/>
  <c r="CY100" i="2"/>
  <c r="CY135" i="2"/>
  <c r="CY37" i="2"/>
  <c r="CY185" i="2"/>
  <c r="CY13" i="2"/>
  <c r="CY186" i="2"/>
  <c r="CY136" i="2"/>
  <c r="CY61" i="2"/>
  <c r="CY101" i="2"/>
  <c r="CY197" i="2"/>
  <c r="CY92" i="2"/>
  <c r="CY158" i="2"/>
  <c r="CY30" i="2"/>
  <c r="CY175" i="2"/>
  <c r="CY27" i="2"/>
  <c r="CY41" i="2"/>
  <c r="CY90" i="2"/>
  <c r="CY93" i="2"/>
  <c r="CY118" i="2"/>
  <c r="CY34" i="2"/>
  <c r="CY86" i="2"/>
  <c r="CY161" i="2"/>
  <c r="CY200" i="2"/>
  <c r="CY174" i="2"/>
  <c r="CY196" i="2"/>
  <c r="CY202" i="2"/>
  <c r="CY4" i="2"/>
  <c r="CY75" i="2"/>
  <c r="CY15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60" i="2"/>
  <c r="BI150" i="2"/>
  <c r="BI155" i="2"/>
  <c r="BI78" i="2"/>
  <c r="BI127" i="2"/>
  <c r="BI85" i="2"/>
  <c r="BI163" i="2"/>
  <c r="BI133" i="2"/>
  <c r="BI104" i="2"/>
  <c r="BI168" i="2"/>
  <c r="BI77" i="2"/>
  <c r="BI109" i="2"/>
  <c r="BI119" i="2"/>
  <c r="BI51" i="2"/>
  <c r="BI165" i="2"/>
  <c r="BI199" i="2"/>
  <c r="BI148" i="2"/>
  <c r="BI176" i="2"/>
  <c r="BI196" i="2"/>
  <c r="BI68" i="2"/>
  <c r="BI80" i="2"/>
  <c r="BI144" i="2"/>
  <c r="BI158" i="2"/>
  <c r="BI101" i="2"/>
  <c r="BI145" i="2"/>
  <c r="BI166" i="2"/>
  <c r="BI34" i="2"/>
  <c r="BI30" i="2"/>
  <c r="BI202" i="2"/>
  <c r="BI124" i="2"/>
  <c r="BI96" i="2"/>
  <c r="BI161" i="2"/>
  <c r="BI36" i="2"/>
  <c r="BI115" i="2"/>
  <c r="BI37" i="2"/>
  <c r="BI187" i="2"/>
  <c r="BI159" i="2"/>
  <c r="BI201" i="2"/>
  <c r="BI103" i="2"/>
  <c r="BI42" i="2"/>
  <c r="BI191" i="2"/>
  <c r="BI21" i="2"/>
  <c r="BI67" i="2"/>
  <c r="BI9" i="2"/>
  <c r="BI134" i="2"/>
  <c r="BI6" i="2"/>
  <c r="BI169" i="2"/>
  <c r="BI106" i="2"/>
  <c r="BI46" i="2"/>
  <c r="BI183" i="2"/>
  <c r="BI121" i="2"/>
  <c r="BI44" i="2"/>
  <c r="BI178" i="2"/>
  <c r="BI41" i="2"/>
  <c r="BI22" i="2"/>
  <c r="BI79" i="2"/>
  <c r="BI186" i="2"/>
  <c r="BI162" i="2"/>
  <c r="BI76" i="2"/>
  <c r="BI86" i="2"/>
  <c r="BI20" i="2"/>
  <c r="BI179" i="2"/>
  <c r="BI50" i="2"/>
  <c r="BI100" i="2"/>
  <c r="BI142" i="2"/>
  <c r="BI89" i="2"/>
  <c r="BI117" i="2"/>
  <c r="BI194" i="2"/>
  <c r="BI140" i="2"/>
  <c r="BI143" i="2"/>
  <c r="BI175" i="2"/>
  <c r="BI102" i="2"/>
  <c r="BI123" i="2"/>
  <c r="BI48" i="2"/>
  <c r="BI136" i="2"/>
  <c r="BI118" i="2"/>
  <c r="BI24" i="2"/>
  <c r="BI132" i="2"/>
  <c r="BI53" i="2"/>
  <c r="BI84" i="2"/>
  <c r="BI157" i="2"/>
  <c r="BI184" i="2"/>
  <c r="BI7" i="2"/>
  <c r="BI14" i="2"/>
  <c r="BI107" i="2"/>
  <c r="BI147" i="2"/>
  <c r="BI188" i="2"/>
  <c r="BI56" i="2"/>
  <c r="BI3" i="2"/>
  <c r="C8" i="4" s="1"/>
  <c r="E8" i="4" s="1"/>
  <c r="F8" i="4" s="1"/>
  <c r="G8" i="4" s="1"/>
  <c r="L8" i="4" s="1"/>
  <c r="BI8" i="2"/>
  <c r="BI40" i="2"/>
  <c r="BI74" i="2"/>
  <c r="BI64" i="2"/>
  <c r="BI62" i="2"/>
  <c r="BI112" i="2"/>
  <c r="BI193" i="2"/>
  <c r="BI75" i="2"/>
  <c r="BI126" i="2"/>
  <c r="BI154" i="2"/>
  <c r="BI95" i="2"/>
  <c r="BI18" i="2"/>
  <c r="BI116" i="2"/>
  <c r="BI149" i="2"/>
  <c r="BI135" i="2"/>
  <c r="BI87" i="2"/>
  <c r="BI182" i="2"/>
  <c r="BI55" i="2"/>
  <c r="BI83" i="2"/>
  <c r="BI17" i="2"/>
  <c r="BI19" i="2"/>
  <c r="BI4" i="2"/>
  <c r="BI10" i="2"/>
  <c r="BI151" i="2"/>
  <c r="BI66" i="2"/>
  <c r="BI128" i="2"/>
  <c r="BI181" i="2"/>
  <c r="BI192" i="2"/>
  <c r="BI105" i="2"/>
  <c r="BI73" i="2"/>
  <c r="BI58" i="2"/>
  <c r="BI13" i="2"/>
  <c r="BI57" i="2"/>
  <c r="BI65" i="2"/>
  <c r="BI122" i="2"/>
  <c r="BI200" i="2"/>
  <c r="BI25" i="2"/>
  <c r="BI190" i="2"/>
  <c r="BI170" i="2"/>
  <c r="BI43" i="2"/>
  <c r="BI11" i="2"/>
  <c r="BI129" i="2"/>
  <c r="BI173" i="2"/>
  <c r="BI38" i="2"/>
  <c r="BI180" i="2"/>
  <c r="BI82" i="2"/>
  <c r="BI152" i="2"/>
  <c r="BI63" i="2"/>
  <c r="BI114" i="2"/>
  <c r="BI91" i="2"/>
  <c r="BI59" i="2"/>
  <c r="BI137" i="2"/>
  <c r="BI49" i="2"/>
  <c r="BI92" i="2"/>
  <c r="BI54" i="2"/>
  <c r="BI111" i="2"/>
  <c r="BI16" i="2"/>
  <c r="BI156" i="2"/>
  <c r="BI12" i="2"/>
  <c r="BI52" i="2"/>
  <c r="BI33" i="2"/>
  <c r="BI189" i="2"/>
  <c r="BI108" i="2"/>
  <c r="BI69" i="2"/>
  <c r="BI99" i="2"/>
  <c r="BI120" i="2"/>
  <c r="BI27" i="2"/>
  <c r="BI5" i="2"/>
  <c r="BI61" i="2"/>
  <c r="BI113" i="2"/>
  <c r="BI39" i="2"/>
  <c r="BI185" i="2"/>
  <c r="BI172" i="2"/>
  <c r="BI26" i="2"/>
  <c r="BI32" i="2"/>
  <c r="BI35" i="2"/>
  <c r="BI72" i="2"/>
  <c r="BI90" i="2"/>
  <c r="BI15" i="2"/>
  <c r="BI139" i="2"/>
  <c r="BI23" i="2"/>
  <c r="BI60" i="2"/>
  <c r="BI71" i="2"/>
  <c r="BI45" i="2"/>
  <c r="BI171" i="2"/>
  <c r="BI131" i="2"/>
  <c r="BI203" i="2"/>
  <c r="BI93" i="2"/>
  <c r="BI177" i="2"/>
  <c r="BI153" i="2"/>
  <c r="BI31" i="2"/>
  <c r="BI130" i="2"/>
  <c r="BI197" i="2"/>
  <c r="BI146" i="2"/>
  <c r="BI164" i="2"/>
  <c r="BI167" i="2"/>
  <c r="BI94" i="2"/>
  <c r="BI138" i="2"/>
  <c r="BI174" i="2"/>
  <c r="BI70" i="2"/>
  <c r="BI195" i="2"/>
  <c r="BI28" i="2"/>
  <c r="BI141" i="2"/>
  <c r="BI81" i="2"/>
  <c r="BI98" i="2"/>
  <c r="BI198" i="2"/>
  <c r="BI125" i="2"/>
  <c r="BI110" i="2"/>
  <c r="BI88" i="2"/>
  <c r="BI97" i="2"/>
  <c r="BI2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<sst xmlns="http://schemas.openxmlformats.org/spreadsheetml/2006/main" count="1135" uniqueCount="326">
  <si>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</si>
  <si>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</si>
  <si>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</si>
  <si>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</si>
  <si>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</si>
  <si>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</si>
  <si>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</si>
  <si>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</si>
  <si>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</si>
  <si>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</si>
  <si>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</si>
  <si>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</si>
  <si>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</si>
  <si>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</si>
  <si>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</si>
  <si>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</si>
  <si>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</si>
  <si>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</si>
  <si>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</si>
  <si>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</si>
  <si>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</si>
  <si>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</si>
  <si>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</si>
  <si>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</si>
  <si>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</si>
  <si>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</si>
  <si>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</si>
  <si>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</si>
  <si>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</si>
  <si>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</si>
  <si>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</si>
  <si>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</si>
  <si>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</si>
  <si>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</si>
  <si>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</si>
  <si>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</si>
  <si>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</si>
  <si>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</si>
  <si>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</si>
  <si>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</si>
  <si>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</si>
  <si>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</si>
  <si>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</si>
  <si>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</si>
  <si>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</si>
  <si>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</si>
  <si>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</si>
  <si>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</si>
  <si>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</si>
  <si>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</si>
  <si>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</si>
  <si>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</si>
  <si>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</si>
  <si>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</si>
  <si>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</si>
  <si>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</si>
  <si>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</si>
  <si>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</si>
  <si>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</si>
  <si>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</si>
  <si>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</si>
  <si>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</si>
  <si>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</si>
  <si>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</si>
  <si>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</si>
  <si>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</si>
  <si>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</si>
  <si>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</si>
  <si>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</si>
  <si>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</si>
  <si>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</si>
  <si>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</si>
  <si>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</si>
  <si>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</si>
  <si>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</si>
  <si>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</si>
  <si>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</si>
  <si>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</si>
  <si>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</si>
  <si>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</si>
  <si>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</si>
  <si>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</si>
  <si>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</si>
  <si>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</si>
  <si>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</si>
  <si>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</si>
  <si>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</si>
  <si>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</si>
  <si>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</si>
  <si>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</si>
  <si>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</si>
  <si>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</si>
  <si>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</si>
  <si>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</si>
  <si>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</si>
  <si>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</si>
  <si>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</si>
  <si>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</si>
  <si>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</si>
  <si>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</si>
  <si>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</si>
  <si>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</si>
  <si>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</si>
  <si>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</si>
  <si>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</si>
  <si>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</si>
  <si>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</si>
  <si>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</si>
  <si>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</si>
  <si>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</si>
  <si>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</si>
  <si>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</si>
  <si>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</si>
  <si>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</si>
  <si>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</si>
  <si>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</si>
  <si>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</si>
  <si>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</si>
  <si>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</si>
  <si>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</si>
  <si>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</si>
  <si>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</si>
  <si>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</si>
  <si>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</si>
  <si>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</si>
  <si>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</si>
  <si>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</si>
  <si>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</si>
  <si>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</si>
  <si>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</si>
  <si>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</si>
  <si>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</si>
  <si>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</si>
  <si>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</si>
  <si>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</si>
  <si>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</si>
  <si>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</si>
  <si>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</si>
  <si>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</si>
  <si>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</si>
  <si>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</si>
  <si>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</si>
  <si>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</si>
  <si>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</si>
  <si>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</si>
  <si>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</si>
  <si>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</si>
  <si>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</si>
  <si>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</si>
  <si>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</si>
  <si>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</si>
  <si>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</si>
  <si>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</si>
  <si>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</si>
  <si>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</si>
  <si>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</si>
  <si>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</si>
  <si>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</si>
  <si>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</si>
  <si>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</si>
  <si>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</si>
  <si>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</si>
  <si>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</si>
  <si>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</si>
  <si>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</si>
  <si>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</si>
  <si>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</si>
  <si>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</si>
  <si>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</si>
  <si>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</si>
  <si>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</si>
  <si>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</si>
  <si>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</si>
  <si>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</si>
  <si>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</si>
  <si>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</si>
  <si>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</si>
  <si>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</si>
  <si>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</si>
  <si>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</si>
  <si>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</si>
  <si>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</si>
  <si>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</si>
  <si>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</si>
  <si>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</si>
  <si>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</si>
  <si>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</si>
  <si>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</si>
  <si>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</si>
  <si>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</si>
  <si>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</si>
  <si>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</si>
  <si>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</si>
  <si>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</si>
  <si>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</si>
  <si>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</si>
  <si>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</si>
  <si>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</si>
  <si>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</si>
  <si>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</si>
  <si>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</si>
  <si>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</si>
  <si>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</si>
  <si>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</si>
  <si>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</si>
  <si>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</si>
  <si>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</si>
  <si>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</si>
  <si>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</si>
  <si>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</si>
  <si>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</si>
  <si>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</si>
  <si>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</si>
  <si>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</si>
  <si>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</si>
  <si>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</si>
  <si>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</si>
  <si>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</si>
  <si>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</si>
  <si>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</si>
  <si>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</si>
  <si>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</si>
  <si>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</si>
  <si>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</si>
  <si>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</si>
  <si>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</si>
  <si>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</si>
  <si>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</si>
  <si>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</si>
  <si>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</si>
  <si>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</si>
  <si>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</si>
  <si>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</si>
  <si>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</si>
  <si>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</si>
  <si>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</si>
  <si>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</si>
  <si>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</si>
  <si>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</si>
  <si>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</si>
  <si>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</si>
  <si>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</si>
  <si>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</si>
  <si>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</si>
  <si>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</si>
  <si>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</si>
  <si>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</si>
  <si>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</si>
  <si>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</si>
  <si>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</si>
  <si>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</si>
  <si>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</si>
  <si>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</si>
  <si>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</si>
  <si>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</si>
  <si>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</si>
  <si>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</si>
  <si>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</si>
  <si>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</si>
  <si>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</si>
  <si>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</si>
  <si>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</si>
  <si>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</si>
  <si>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</si>
  <si>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</si>
  <si>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</si>
  <si>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</si>
  <si>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</si>
  <si>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</si>
  <si>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</si>
  <si>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</si>
  <si>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</si>
  <si>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</si>
  <si>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</si>
  <si>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</si>
  <si>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</si>
  <si>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</si>
  <si>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</si>
  <si>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</si>
  <si>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</si>
  <si>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</si>
  <si>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</si>
  <si>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</si>
  <si>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</si>
  <si>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</si>
  <si>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</si>
  <si>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</si>
  <si>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</si>
  <si>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</si>
  <si>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</si>
  <si>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</si>
  <si>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</si>
  <si>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</si>
  <si>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</si>
  <si>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</si>
  <si>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</si>
  <si>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</si>
  <si>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</si>
  <si>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</si>
  <si>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</si>
  <si>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</si>
  <si>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</si>
  <si>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</si>
  <si>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</si>
  <si>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</si>
  <si>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</si>
  <si>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</si>
  <si>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</si>
  <si>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</si>
  <si>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</si>
  <si>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</si>
  <si>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</si>
  <si>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</si>
  <si>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</si>
  <si>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</si>
  <si>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</si>
  <si>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</si>
  <si>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</si>
  <si>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</si>
  <si>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</si>
  <si>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</si>
  <si>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</si>
  <si>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</si>
  <si>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</si>
  <si>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Tucano</t>
  </si>
  <si>
    <t>syco + charme corrigés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</si>
</sst>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29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0" fillId="0" borderId="7" xfId="0" applyFont="1" applyBorder="1" applyAlignment="1" applyProtection="1">
      <protection hidden="1"/>
    </xf>
    <xf numFmtId="0" fontId="30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0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150.87513847478246</c:v>
                </c:pt>
                <c:pt idx="22">
                  <c:v>164.05970215478601</c:v>
                </c:pt>
                <c:pt idx="23">
                  <c:v>177.21922452403726</c:v>
                </c:pt>
                <c:pt idx="24">
                  <c:v>190.35582818013089</c:v>
                </c:pt>
                <c:pt idx="25">
                  <c:v>203.47131846209797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244.88086471160261</c:v>
                </c:pt>
                <c:pt idx="32">
                  <c:v>264.43843589912387</c:v>
                </c:pt>
                <c:pt idx="33">
                  <c:v>283.96339386484857</c:v>
                </c:pt>
                <c:pt idx="34">
                  <c:v>303.45829588181323</c:v>
                </c:pt>
                <c:pt idx="35">
                  <c:v>322.92534379451848</c:v>
                </c:pt>
                <c:pt idx="36">
                  <c:v>241.98049682860949</c:v>
                </c:pt>
                <c:pt idx="37">
                  <c:v>262.26703366253639</c:v>
                </c:pt>
                <c:pt idx="38">
                  <c:v>282.51816051208368</c:v>
                </c:pt>
                <c:pt idx="39">
                  <c:v>302.73677181781744</c:v>
                </c:pt>
                <c:pt idx="40">
                  <c:v>322.92534379451837</c:v>
                </c:pt>
                <c:pt idx="41">
                  <c:v>343.44578806718232</c:v>
                </c:pt>
                <c:pt idx="42">
                  <c:v>363.93929728008408</c:v>
                </c:pt>
                <c:pt idx="43">
                  <c:v>384.40760067247987</c:v>
                </c:pt>
                <c:pt idx="44">
                  <c:v>404.85222837562537</c:v>
                </c:pt>
                <c:pt idx="45">
                  <c:v>425.27454344239982</c:v>
                </c:pt>
                <c:pt idx="46">
                  <c:v>344.52504925832596</c:v>
                </c:pt>
                <c:pt idx="47">
                  <c:v>364.29860280650684</c:v>
                </c:pt>
                <c:pt idx="48">
                  <c:v>384.04871588248375</c:v>
                </c:pt>
                <c:pt idx="49">
                  <c:v>403.77676289014676</c:v>
                </c:pt>
                <c:pt idx="50">
                  <c:v>423.48397302905897</c:v>
                </c:pt>
                <c:pt idx="51">
                  <c:v>441.74027828737439</c:v>
                </c:pt>
                <c:pt idx="52">
                  <c:v>459.98041834329564</c:v>
                </c:pt>
                <c:pt idx="53">
                  <c:v>478.20512408967215</c:v>
                </c:pt>
                <c:pt idx="54">
                  <c:v>496.4150661959215</c:v>
                </c:pt>
                <c:pt idx="55">
                  <c:v>514.61086214265561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514.25421410888737</c:v>
                </c:pt>
                <c:pt idx="62">
                  <c:v>529.94184508625551</c:v>
                </c:pt>
                <c:pt idx="63">
                  <c:v>545.61970516793383</c:v>
                </c:pt>
                <c:pt idx="64">
                  <c:v>561.28811451546585</c:v>
                </c:pt>
                <c:pt idx="65">
                  <c:v>576.94737396741846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563.77996485783649</c:v>
                </c:pt>
                <c:pt idx="72">
                  <c:v>577.3031621395595</c:v>
                </c:pt>
                <c:pt idx="73">
                  <c:v>590.81975093891435</c:v>
                </c:pt>
                <c:pt idx="74">
                  <c:v>604.32990368396679</c:v>
                </c:pt>
                <c:pt idx="75">
                  <c:v>617.83378446799861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594.0200993627401</c:v>
                </c:pt>
                <c:pt idx="82">
                  <c:v>605.75165740042189</c:v>
                </c:pt>
                <c:pt idx="83">
                  <c:v>617.47849820447721</c:v>
                </c:pt>
                <c:pt idx="84">
                  <c:v>629.200723961054</c:v>
                </c:pt>
                <c:pt idx="85">
                  <c:v>640.91843273956351</c:v>
                </c:pt>
                <c:pt idx="86">
                  <c:v>652.63171873234603</c:v>
                </c:pt>
                <c:pt idx="87">
                  <c:v>664.34067247624</c:v>
                </c:pt>
                <c:pt idx="88">
                  <c:v>676.0453810577319</c:v>
                </c:pt>
                <c:pt idx="89">
                  <c:v>687.74592830316158</c:v>
                </c:pt>
                <c:pt idx="90">
                  <c:v>699.44239495532099</c:v>
                </c:pt>
                <c:pt idx="91">
                  <c:v>560.45744633785171</c:v>
                </c:pt>
                <c:pt idx="92">
                  <c:v>570.66102489200023</c:v>
                </c:pt>
                <c:pt idx="93">
                  <c:v>580.86079271099584</c:v>
                </c:pt>
                <c:pt idx="94">
                  <c:v>591.05682613728538</c:v>
                </c:pt>
                <c:pt idx="95">
                  <c:v>601.24919866493292</c:v>
                </c:pt>
                <c:pt idx="96">
                  <c:v>611.43798109340685</c:v>
                </c:pt>
                <c:pt idx="97">
                  <c:v>621.62324167058375</c:v>
                </c:pt>
                <c:pt idx="98">
                  <c:v>631.80504622589672</c:v>
                </c:pt>
                <c:pt idx="99">
                  <c:v>641.98345829445577</c:v>
                </c:pt>
                <c:pt idx="100">
                  <c:v>652.15853923289148</c:v>
                </c:pt>
                <c:pt idx="101">
                  <c:v>662.33034832759347</c:v>
                </c:pt>
                <c:pt idx="102">
                  <c:v>672.49894289595886</c:v>
                </c:pt>
                <c:pt idx="103">
                  <c:v>682.66437838119873</c:v>
                </c:pt>
                <c:pt idx="104">
                  <c:v>692.82670844120821</c:v>
                </c:pt>
                <c:pt idx="105">
                  <c:v>702.98598503195183</c:v>
                </c:pt>
                <c:pt idx="106">
                  <c:v>567.45798988344734</c:v>
                </c:pt>
                <c:pt idx="107">
                  <c:v>575.76138030335051</c:v>
                </c:pt>
                <c:pt idx="108">
                  <c:v>584.06227162025186</c:v>
                </c:pt>
                <c:pt idx="109">
                  <c:v>592.36070436345358</c:v>
                </c:pt>
                <c:pt idx="110">
                  <c:v>600.65671783401956</c:v>
                </c:pt>
                <c:pt idx="111">
                  <c:v>608.95035015881274</c:v>
                </c:pt>
                <c:pt idx="112">
                  <c:v>617.24163834143474</c:v>
                </c:pt>
                <c:pt idx="113">
                  <c:v>625.53061831028811</c:v>
                </c:pt>
                <c:pt idx="114">
                  <c:v>633.81732496395682</c:v>
                </c:pt>
                <c:pt idx="115">
                  <c:v>642.10179221409271</c:v>
                </c:pt>
                <c:pt idx="116">
                  <c:v>650.38405302597164</c:v>
                </c:pt>
                <c:pt idx="117">
                  <c:v>658.66413945687884</c:v>
                </c:pt>
                <c:pt idx="118">
                  <c:v>666.94208269246371</c:v>
                </c:pt>
                <c:pt idx="119">
                  <c:v>675.21791308119418</c:v>
                </c:pt>
                <c:pt idx="120">
                  <c:v>683.4916601670385</c:v>
                </c:pt>
                <c:pt idx="121">
                  <c:v>562.83071576489954</c:v>
                </c:pt>
                <c:pt idx="122">
                  <c:v>570.06789866926044</c:v>
                </c:pt>
                <c:pt idx="123">
                  <c:v>577.30316213956087</c:v>
                </c:pt>
                <c:pt idx="124">
                  <c:v>584.53653362934028</c:v>
                </c:pt>
                <c:pt idx="125">
                  <c:v>591.76803985714446</c:v>
                </c:pt>
                <c:pt idx="126">
                  <c:v>598.99770683513896</c:v>
                </c:pt>
                <c:pt idx="127">
                  <c:v>606.22555989627097</c:v>
                </c:pt>
                <c:pt idx="128">
                  <c:v>613.45162372006473</c:v>
                </c:pt>
                <c:pt idx="129">
                  <c:v>620.67592235714312</c:v>
                </c:pt>
                <c:pt idx="130">
                  <c:v>627.89847925254423</c:v>
                </c:pt>
                <c:pt idx="131">
                  <c:v>635.11931726791272</c:v>
                </c:pt>
                <c:pt idx="132">
                  <c:v>642.33845870262587</c:v>
                </c:pt>
                <c:pt idx="133">
                  <c:v>649.5559253139246</c:v>
                </c:pt>
                <c:pt idx="134">
                  <c:v>656.7717383361005</c:v>
                </c:pt>
                <c:pt idx="135">
                  <c:v>663.98591849879642</c:v>
                </c:pt>
                <c:pt idx="136">
                  <c:v>554.87943328208121</c:v>
                </c:pt>
                <c:pt idx="137">
                  <c:v>561.2881145154671</c:v>
                </c:pt>
                <c:pt idx="138">
                  <c:v>567.69526466939499</c:v>
                </c:pt>
                <c:pt idx="139">
                  <c:v>574.10090346679954</c:v>
                </c:pt>
                <c:pt idx="140">
                  <c:v>580.50505015445992</c:v>
                </c:pt>
                <c:pt idx="141">
                  <c:v>586.90772351973453</c:v>
                </c:pt>
                <c:pt idx="142">
                  <c:v>593.30894190653044</c:v>
                </c:pt>
                <c:pt idx="143">
                  <c:v>599.70872323054607</c:v>
                </c:pt>
                <c:pt idx="144">
                  <c:v>606.10708499382952</c:v>
                </c:pt>
                <c:pt idx="145">
                  <c:v>612.50404429869093</c:v>
                </c:pt>
                <c:pt idx="146">
                  <c:v>618.8996178610023</c:v>
                </c:pt>
                <c:pt idx="147">
                  <c:v>625.29382202292015</c:v>
                </c:pt>
                <c:pt idx="148">
                  <c:v>631.68667276505914</c:v>
                </c:pt>
                <c:pt idx="149">
                  <c:v>638.0781857181488</c:v>
                </c:pt>
                <c:pt idx="150">
                  <c:v>644.46837617419885</c:v>
                </c:pt>
                <c:pt idx="151">
                  <c:v>1.9052088927456466E-11</c:v>
                </c:pt>
                <c:pt idx="152">
                  <c:v>1.9052088927456466E-11</c:v>
                </c:pt>
                <c:pt idx="153">
                  <c:v>1.9052088927456466E-11</c:v>
                </c:pt>
                <c:pt idx="154">
                  <c:v>1.9052088927456466E-11</c:v>
                </c:pt>
                <c:pt idx="155">
                  <c:v>1.9052088927456466E-11</c:v>
                </c:pt>
                <c:pt idx="156">
                  <c:v>1.9052088927456466E-11</c:v>
                </c:pt>
                <c:pt idx="157">
                  <c:v>1.9052088927456466E-11</c:v>
                </c:pt>
                <c:pt idx="158">
                  <c:v>1.9052088927456466E-11</c:v>
                </c:pt>
                <c:pt idx="159">
                  <c:v>1.9052088927456466E-11</c:v>
                </c:pt>
                <c:pt idx="160">
                  <c:v>1.9052088927456466E-11</c:v>
                </c:pt>
                <c:pt idx="161">
                  <c:v>1.9052088927456466E-11</c:v>
                </c:pt>
                <c:pt idx="162">
                  <c:v>1.9052088927456466E-11</c:v>
                </c:pt>
                <c:pt idx="163">
                  <c:v>1.9052088927456466E-11</c:v>
                </c:pt>
                <c:pt idx="164">
                  <c:v>1.9052088927456466E-11</c:v>
                </c:pt>
                <c:pt idx="165">
                  <c:v>1.9052088927456466E-11</c:v>
                </c:pt>
                <c:pt idx="166">
                  <c:v>1.9052088927456466E-11</c:v>
                </c:pt>
                <c:pt idx="167">
                  <c:v>1.9052088927456466E-11</c:v>
                </c:pt>
                <c:pt idx="168">
                  <c:v>1.9052088927456466E-11</c:v>
                </c:pt>
                <c:pt idx="169">
                  <c:v>1.9052088927456466E-11</c:v>
                </c:pt>
                <c:pt idx="170">
                  <c:v>1.9052088927456466E-11</c:v>
                </c:pt>
                <c:pt idx="171">
                  <c:v>1.9052088927456466E-11</c:v>
                </c:pt>
                <c:pt idx="172">
                  <c:v>1.9052088927456466E-11</c:v>
                </c:pt>
                <c:pt idx="173">
                  <c:v>1.9052088927456466E-11</c:v>
                </c:pt>
                <c:pt idx="174">
                  <c:v>1.9052088927456466E-11</c:v>
                </c:pt>
                <c:pt idx="175">
                  <c:v>1.9052088927456466E-11</c:v>
                </c:pt>
                <c:pt idx="176">
                  <c:v>1.9052088927456466E-11</c:v>
                </c:pt>
                <c:pt idx="177">
                  <c:v>1.9052088927456466E-11</c:v>
                </c:pt>
                <c:pt idx="178">
                  <c:v>1.9052088927456466E-11</c:v>
                </c:pt>
                <c:pt idx="179">
                  <c:v>1.9052088927456466E-11</c:v>
                </c:pt>
                <c:pt idx="180">
                  <c:v>1.9052088927456466E-11</c:v>
                </c:pt>
                <c:pt idx="181">
                  <c:v>1.9052088927456466E-11</c:v>
                </c:pt>
                <c:pt idx="182">
                  <c:v>1.9052088927456466E-11</c:v>
                </c:pt>
                <c:pt idx="183">
                  <c:v>1.9052088927456466E-11</c:v>
                </c:pt>
                <c:pt idx="184">
                  <c:v>1.9052088927456466E-11</c:v>
                </c:pt>
                <c:pt idx="185">
                  <c:v>1.9052088927456466E-11</c:v>
                </c:pt>
                <c:pt idx="186">
                  <c:v>1.9052088927456466E-11</c:v>
                </c:pt>
                <c:pt idx="187">
                  <c:v>1.9052088927456466E-11</c:v>
                </c:pt>
                <c:pt idx="188">
                  <c:v>1.9052088927456466E-11</c:v>
                </c:pt>
                <c:pt idx="189">
                  <c:v>1.9052088927456466E-11</c:v>
                </c:pt>
                <c:pt idx="190">
                  <c:v>1.9052088927456466E-11</c:v>
                </c:pt>
                <c:pt idx="191">
                  <c:v>1.9052088927456466E-11</c:v>
                </c:pt>
                <c:pt idx="192">
                  <c:v>1.9052088927456466E-11</c:v>
                </c:pt>
                <c:pt idx="193">
                  <c:v>1.9052088927456466E-11</c:v>
                </c:pt>
                <c:pt idx="194">
                  <c:v>1.9052088927456466E-11</c:v>
                </c:pt>
                <c:pt idx="195">
                  <c:v>1.9052088927456466E-11</c:v>
                </c:pt>
                <c:pt idx="196">
                  <c:v>1.9052088927456466E-11</c:v>
                </c:pt>
                <c:pt idx="197">
                  <c:v>1.9052088927456466E-11</c:v>
                </c:pt>
                <c:pt idx="198">
                  <c:v>1.9052088927456466E-11</c:v>
                </c:pt>
                <c:pt idx="199">
                  <c:v>1.9052088927456466E-11</c:v>
                </c:pt>
                <c:pt idx="200">
                  <c:v>1.9052088927456466E-11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0463312"/>
        <c:axId val="340461680"/>
      </c:scatterChart>
      <c:valAx>
        <c:axId val="340463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61680"/>
        <c:crosses val="autoZero"/>
        <c:crossBetween val="midCat"/>
      </c:valAx>
      <c:valAx>
        <c:axId val="34046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63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282496"/>
        <c:axId val="375000880"/>
      </c:scatterChart>
      <c:valAx>
        <c:axId val="143282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5000880"/>
        <c:crosses val="autoZero"/>
        <c:crossBetween val="midCat"/>
      </c:valAx>
      <c:valAx>
        <c:axId val="37500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282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27.345220255102358</c:v>
                </c:pt>
                <c:pt idx="12">
                  <c:v>37.432463952525062</c:v>
                </c:pt>
                <c:pt idx="13">
                  <c:v>47.445001472262504</c:v>
                </c:pt>
                <c:pt idx="14">
                  <c:v>57.400994138954132</c:v>
                </c:pt>
                <c:pt idx="15">
                  <c:v>67.311695544212839</c:v>
                </c:pt>
                <c:pt idx="16">
                  <c:v>84.712794136987995</c:v>
                </c:pt>
                <c:pt idx="17">
                  <c:v>102.02343949799173</c:v>
                </c:pt>
                <c:pt idx="18">
                  <c:v>119.26121337444529</c:v>
                </c:pt>
                <c:pt idx="19">
                  <c:v>136.43816057705777</c:v>
                </c:pt>
                <c:pt idx="20">
                  <c:v>153.56302988078727</c:v>
                </c:pt>
                <c:pt idx="21">
                  <c:v>145.8628199290761</c:v>
                </c:pt>
                <c:pt idx="22">
                  <c:v>159.54570617746938</c:v>
                </c:pt>
                <c:pt idx="23">
                  <c:v>173.2007820387752</c:v>
                </c:pt>
                <c:pt idx="24">
                  <c:v>186.83055031316962</c:v>
                </c:pt>
                <c:pt idx="25">
                  <c:v>200.43711831314485</c:v>
                </c:pt>
                <c:pt idx="26">
                  <c:v>212.89096465116634</c:v>
                </c:pt>
                <c:pt idx="27">
                  <c:v>225.32803014595461</c:v>
                </c:pt>
                <c:pt idx="28">
                  <c:v>237.74937198994965</c:v>
                </c:pt>
                <c:pt idx="29">
                  <c:v>250.15592780468808</c:v>
                </c:pt>
                <c:pt idx="30">
                  <c:v>262.54853455193677</c:v>
                </c:pt>
                <c:pt idx="31">
                  <c:v>212.60811330323997</c:v>
                </c:pt>
                <c:pt idx="32">
                  <c:v>224.76305761819128</c:v>
                </c:pt>
                <c:pt idx="33">
                  <c:v>236.90294203691141</c:v>
                </c:pt>
                <c:pt idx="34">
                  <c:v>249.0286474244198</c:v>
                </c:pt>
                <c:pt idx="35">
                  <c:v>261.14096179913935</c:v>
                </c:pt>
                <c:pt idx="36">
                  <c:v>272.11556422776465</c:v>
                </c:pt>
                <c:pt idx="37">
                  <c:v>283.08021534360483</c:v>
                </c:pt>
                <c:pt idx="38">
                  <c:v>294.03535513490755</c:v>
                </c:pt>
                <c:pt idx="39">
                  <c:v>304.98138810771269</c:v>
                </c:pt>
                <c:pt idx="40">
                  <c:v>315.9186873454837</c:v>
                </c:pt>
                <c:pt idx="41">
                  <c:v>256.07227305218686</c:v>
                </c:pt>
                <c:pt idx="42">
                  <c:v>266.48883532607005</c:v>
                </c:pt>
                <c:pt idx="43">
                  <c:v>276.89622424264081</c:v>
                </c:pt>
                <c:pt idx="44">
                  <c:v>287.29483341742718</c:v>
                </c:pt>
                <c:pt idx="45">
                  <c:v>297.68502562639242</c:v>
                </c:pt>
                <c:pt idx="46">
                  <c:v>306.94512587259828</c:v>
                </c:pt>
                <c:pt idx="47">
                  <c:v>316.19901919428327</c:v>
                </c:pt>
                <c:pt idx="48">
                  <c:v>325.44691298603851</c:v>
                </c:pt>
                <c:pt idx="49">
                  <c:v>334.68900188552061</c:v>
                </c:pt>
                <c:pt idx="50">
                  <c:v>343.92546889640727</c:v>
                </c:pt>
                <c:pt idx="51">
                  <c:v>290.94638285624404</c:v>
                </c:pt>
                <c:pt idx="52">
                  <c:v>298.24642451478059</c:v>
                </c:pt>
                <c:pt idx="53">
                  <c:v>305.54248465313009</c:v>
                </c:pt>
                <c:pt idx="54">
                  <c:v>312.83467185841931</c:v>
                </c:pt>
                <c:pt idx="55">
                  <c:v>320.12308923699317</c:v>
                </c:pt>
                <c:pt idx="56">
                  <c:v>328.24815038016749</c:v>
                </c:pt>
                <c:pt idx="57">
                  <c:v>336.3687724940782</c:v>
                </c:pt>
                <c:pt idx="58">
                  <c:v>344.48507794805352</c:v>
                </c:pt>
                <c:pt idx="59">
                  <c:v>352.59718287003483</c:v>
                </c:pt>
                <c:pt idx="60">
                  <c:v>360.70519760433916</c:v>
                </c:pt>
                <c:pt idx="61">
                  <c:v>304.98138810771269</c:v>
                </c:pt>
                <c:pt idx="62">
                  <c:v>312.27386950303747</c:v>
                </c:pt>
                <c:pt idx="63">
                  <c:v>319.56257332567822</c:v>
                </c:pt>
                <c:pt idx="64">
                  <c:v>326.84759797683063</c:v>
                </c:pt>
                <c:pt idx="65">
                  <c:v>334.12903710888446</c:v>
                </c:pt>
                <c:pt idx="66">
                  <c:v>340.84726036514814</c:v>
                </c:pt>
                <c:pt idx="67">
                  <c:v>347.56257164286967</c:v>
                </c:pt>
                <c:pt idx="68">
                  <c:v>354.27503519833516</c:v>
                </c:pt>
                <c:pt idx="69">
                  <c:v>360.98471265182519</c:v>
                </c:pt>
                <c:pt idx="70">
                  <c:v>367.69166314382898</c:v>
                </c:pt>
                <c:pt idx="71">
                  <c:v>325.16676002004442</c:v>
                </c:pt>
                <c:pt idx="72">
                  <c:v>330.20870222825306</c:v>
                </c:pt>
                <c:pt idx="73">
                  <c:v>335.24894601566797</c:v>
                </c:pt>
                <c:pt idx="74">
                  <c:v>340.28752055444653</c:v>
                </c:pt>
                <c:pt idx="75">
                  <c:v>345.32445408122294</c:v>
                </c:pt>
                <c:pt idx="76">
                  <c:v>351.19883890522436</c:v>
                </c:pt>
                <c:pt idx="77">
                  <c:v>357.07106927741569</c:v>
                </c:pt>
                <c:pt idx="78">
                  <c:v>362.9411856670547</c:v>
                </c:pt>
                <c:pt idx="79">
                  <c:v>368.80922712609168</c:v>
                </c:pt>
                <c:pt idx="80">
                  <c:v>374.67523136107451</c:v>
                </c:pt>
                <c:pt idx="81">
                  <c:v>332.44901850357911</c:v>
                </c:pt>
                <c:pt idx="82">
                  <c:v>337.76844015494413</c:v>
                </c:pt>
                <c:pt idx="83">
                  <c:v>343.08601778170441</c:v>
                </c:pt>
                <c:pt idx="84">
                  <c:v>348.4017840337396</c:v>
                </c:pt>
                <c:pt idx="85">
                  <c:v>353.71577048208866</c:v>
                </c:pt>
                <c:pt idx="86">
                  <c:v>358.74845936750717</c:v>
                </c:pt>
                <c:pt idx="87">
                  <c:v>363.77960344692701</c:v>
                </c:pt>
                <c:pt idx="88">
                  <c:v>368.8092271260918</c:v>
                </c:pt>
                <c:pt idx="89">
                  <c:v>373.83735408997171</c:v>
                </c:pt>
                <c:pt idx="90">
                  <c:v>378.86400733367782</c:v>
                </c:pt>
                <c:pt idx="91">
                  <c:v>2.1466615206600508E-12</c:v>
                </c:pt>
                <c:pt idx="92">
                  <c:v>2.1466615206600508E-12</c:v>
                </c:pt>
                <c:pt idx="93">
                  <c:v>2.1466615206600508E-12</c:v>
                </c:pt>
                <c:pt idx="94">
                  <c:v>2.1466615206600508E-12</c:v>
                </c:pt>
                <c:pt idx="95">
                  <c:v>2.1466615206600508E-12</c:v>
                </c:pt>
                <c:pt idx="96">
                  <c:v>2.1466615206600508E-12</c:v>
                </c:pt>
                <c:pt idx="97">
                  <c:v>2.1466615206600508E-12</c:v>
                </c:pt>
                <c:pt idx="98">
                  <c:v>2.1466615206600508E-12</c:v>
                </c:pt>
                <c:pt idx="99">
                  <c:v>2.1466615206600508E-12</c:v>
                </c:pt>
                <c:pt idx="100">
                  <c:v>2.1466615206600508E-12</c:v>
                </c:pt>
                <c:pt idx="101">
                  <c:v>2.1466615206600508E-12</c:v>
                </c:pt>
                <c:pt idx="102">
                  <c:v>2.1466615206600508E-12</c:v>
                </c:pt>
                <c:pt idx="103">
                  <c:v>2.1466615206600508E-12</c:v>
                </c:pt>
                <c:pt idx="104">
                  <c:v>2.1466615206600508E-12</c:v>
                </c:pt>
                <c:pt idx="105">
                  <c:v>2.1466615206600508E-12</c:v>
                </c:pt>
                <c:pt idx="106">
                  <c:v>2.1466615206600508E-12</c:v>
                </c:pt>
                <c:pt idx="107">
                  <c:v>2.1466615206600508E-12</c:v>
                </c:pt>
                <c:pt idx="108">
                  <c:v>2.1466615206600508E-12</c:v>
                </c:pt>
                <c:pt idx="109">
                  <c:v>2.1466615206600508E-12</c:v>
                </c:pt>
                <c:pt idx="110">
                  <c:v>2.1466615206600508E-12</c:v>
                </c:pt>
                <c:pt idx="111">
                  <c:v>2.1466615206600508E-12</c:v>
                </c:pt>
                <c:pt idx="112">
                  <c:v>2.1466615206600508E-12</c:v>
                </c:pt>
                <c:pt idx="113">
                  <c:v>2.1466615206600508E-12</c:v>
                </c:pt>
                <c:pt idx="114">
                  <c:v>2.1466615206600508E-12</c:v>
                </c:pt>
                <c:pt idx="115">
                  <c:v>2.1466615206600508E-12</c:v>
                </c:pt>
                <c:pt idx="116">
                  <c:v>2.1466615206600508E-12</c:v>
                </c:pt>
                <c:pt idx="117">
                  <c:v>2.1466615206600508E-12</c:v>
                </c:pt>
                <c:pt idx="118">
                  <c:v>2.1466615206600508E-12</c:v>
                </c:pt>
                <c:pt idx="119">
                  <c:v>2.1466615206600508E-12</c:v>
                </c:pt>
                <c:pt idx="120">
                  <c:v>2.1466615206600508E-12</c:v>
                </c:pt>
                <c:pt idx="121">
                  <c:v>2.1466615206600508E-12</c:v>
                </c:pt>
                <c:pt idx="122">
                  <c:v>2.1466615206600508E-12</c:v>
                </c:pt>
                <c:pt idx="123">
                  <c:v>2.1466615206600508E-12</c:v>
                </c:pt>
                <c:pt idx="124">
                  <c:v>2.1466615206600508E-12</c:v>
                </c:pt>
                <c:pt idx="125">
                  <c:v>2.1466615206600508E-12</c:v>
                </c:pt>
                <c:pt idx="126">
                  <c:v>2.1466615206600508E-12</c:v>
                </c:pt>
                <c:pt idx="127">
                  <c:v>2.1466615206600508E-12</c:v>
                </c:pt>
                <c:pt idx="128">
                  <c:v>2.1466615206600508E-12</c:v>
                </c:pt>
                <c:pt idx="129">
                  <c:v>2.1466615206600508E-12</c:v>
                </c:pt>
                <c:pt idx="130">
                  <c:v>2.1466615206600508E-12</c:v>
                </c:pt>
                <c:pt idx="131">
                  <c:v>2.1466615206600508E-12</c:v>
                </c:pt>
                <c:pt idx="132">
                  <c:v>2.1466615206600508E-12</c:v>
                </c:pt>
                <c:pt idx="133">
                  <c:v>2.1466615206600508E-12</c:v>
                </c:pt>
                <c:pt idx="134">
                  <c:v>2.1466615206600508E-12</c:v>
                </c:pt>
                <c:pt idx="135">
                  <c:v>2.1466615206600508E-12</c:v>
                </c:pt>
                <c:pt idx="136">
                  <c:v>2.1466615206600508E-12</c:v>
                </c:pt>
                <c:pt idx="137">
                  <c:v>2.1466615206600508E-12</c:v>
                </c:pt>
                <c:pt idx="138">
                  <c:v>2.1466615206600508E-12</c:v>
                </c:pt>
                <c:pt idx="139">
                  <c:v>2.1466615206600508E-12</c:v>
                </c:pt>
                <c:pt idx="140">
                  <c:v>2.1466615206600508E-12</c:v>
                </c:pt>
                <c:pt idx="141">
                  <c:v>2.1466615206600508E-12</c:v>
                </c:pt>
                <c:pt idx="142">
                  <c:v>2.1466615206600508E-12</c:v>
                </c:pt>
                <c:pt idx="143">
                  <c:v>2.1466615206600508E-12</c:v>
                </c:pt>
                <c:pt idx="144">
                  <c:v>2.1466615206600508E-12</c:v>
                </c:pt>
                <c:pt idx="145">
                  <c:v>2.1466615206600508E-12</c:v>
                </c:pt>
                <c:pt idx="146">
                  <c:v>2.1466615206600508E-12</c:v>
                </c:pt>
                <c:pt idx="147">
                  <c:v>2.1466615206600508E-12</c:v>
                </c:pt>
                <c:pt idx="148">
                  <c:v>2.1466615206600508E-12</c:v>
                </c:pt>
                <c:pt idx="149">
                  <c:v>2.1466615206600508E-12</c:v>
                </c:pt>
                <c:pt idx="150">
                  <c:v>2.1466615206600508E-12</c:v>
                </c:pt>
                <c:pt idx="151">
                  <c:v>2.1466615206600508E-12</c:v>
                </c:pt>
                <c:pt idx="152">
                  <c:v>2.1466615206600508E-12</c:v>
                </c:pt>
                <c:pt idx="153">
                  <c:v>2.1466615206600508E-12</c:v>
                </c:pt>
                <c:pt idx="154">
                  <c:v>2.1466615206600508E-12</c:v>
                </c:pt>
                <c:pt idx="155">
                  <c:v>2.1466615206600508E-12</c:v>
                </c:pt>
                <c:pt idx="156">
                  <c:v>2.1466615206600508E-12</c:v>
                </c:pt>
                <c:pt idx="157">
                  <c:v>2.1466615206600508E-12</c:v>
                </c:pt>
                <c:pt idx="158">
                  <c:v>2.1466615206600508E-12</c:v>
                </c:pt>
                <c:pt idx="159">
                  <c:v>2.1466615206600508E-12</c:v>
                </c:pt>
                <c:pt idx="160">
                  <c:v>2.1466615206600508E-12</c:v>
                </c:pt>
                <c:pt idx="161">
                  <c:v>2.1466615206600508E-12</c:v>
                </c:pt>
                <c:pt idx="162">
                  <c:v>2.1466615206600508E-12</c:v>
                </c:pt>
                <c:pt idx="163">
                  <c:v>2.1466615206600508E-12</c:v>
                </c:pt>
                <c:pt idx="164">
                  <c:v>2.1466615206600508E-12</c:v>
                </c:pt>
                <c:pt idx="165">
                  <c:v>2.1466615206600508E-12</c:v>
                </c:pt>
                <c:pt idx="166">
                  <c:v>2.1466615206600508E-12</c:v>
                </c:pt>
                <c:pt idx="167">
                  <c:v>2.1466615206600508E-12</c:v>
                </c:pt>
                <c:pt idx="168">
                  <c:v>2.1466615206600508E-12</c:v>
                </c:pt>
                <c:pt idx="169">
                  <c:v>2.1466615206600508E-12</c:v>
                </c:pt>
                <c:pt idx="170">
                  <c:v>2.1466615206600508E-12</c:v>
                </c:pt>
                <c:pt idx="171">
                  <c:v>2.1466615206600508E-12</c:v>
                </c:pt>
                <c:pt idx="172">
                  <c:v>2.1466615206600508E-12</c:v>
                </c:pt>
                <c:pt idx="173">
                  <c:v>2.1466615206600508E-12</c:v>
                </c:pt>
                <c:pt idx="174">
                  <c:v>2.1466615206600508E-12</c:v>
                </c:pt>
                <c:pt idx="175">
                  <c:v>2.1466615206600508E-12</c:v>
                </c:pt>
                <c:pt idx="176">
                  <c:v>2.1466615206600508E-12</c:v>
                </c:pt>
                <c:pt idx="177">
                  <c:v>2.1466615206600508E-12</c:v>
                </c:pt>
                <c:pt idx="178">
                  <c:v>2.1466615206600508E-12</c:v>
                </c:pt>
                <c:pt idx="179">
                  <c:v>2.1466615206600508E-12</c:v>
                </c:pt>
                <c:pt idx="180">
                  <c:v>2.1466615206600508E-12</c:v>
                </c:pt>
                <c:pt idx="181">
                  <c:v>2.1466615206600508E-12</c:v>
                </c:pt>
                <c:pt idx="182">
                  <c:v>2.1466615206600508E-12</c:v>
                </c:pt>
                <c:pt idx="183">
                  <c:v>2.1466615206600508E-12</c:v>
                </c:pt>
                <c:pt idx="184">
                  <c:v>2.1466615206600508E-12</c:v>
                </c:pt>
                <c:pt idx="185">
                  <c:v>2.1466615206600508E-12</c:v>
                </c:pt>
                <c:pt idx="186">
                  <c:v>2.1466615206600508E-12</c:v>
                </c:pt>
                <c:pt idx="187">
                  <c:v>2.1466615206600508E-12</c:v>
                </c:pt>
                <c:pt idx="188">
                  <c:v>2.1466615206600508E-12</c:v>
                </c:pt>
                <c:pt idx="189">
                  <c:v>2.1466615206600508E-12</c:v>
                </c:pt>
                <c:pt idx="190">
                  <c:v>2.1466615206600508E-12</c:v>
                </c:pt>
                <c:pt idx="191">
                  <c:v>2.1466615206600508E-12</c:v>
                </c:pt>
                <c:pt idx="192">
                  <c:v>2.1466615206600508E-12</c:v>
                </c:pt>
                <c:pt idx="193">
                  <c:v>2.1466615206600508E-12</c:v>
                </c:pt>
                <c:pt idx="194">
                  <c:v>2.1466615206600508E-12</c:v>
                </c:pt>
                <c:pt idx="195">
                  <c:v>2.1466615206600508E-12</c:v>
                </c:pt>
                <c:pt idx="196">
                  <c:v>2.1466615206600508E-12</c:v>
                </c:pt>
                <c:pt idx="197">
                  <c:v>2.1466615206600508E-12</c:v>
                </c:pt>
                <c:pt idx="198">
                  <c:v>2.1466615206600508E-12</c:v>
                </c:pt>
                <c:pt idx="199">
                  <c:v>2.1466615206600508E-12</c:v>
                </c:pt>
                <c:pt idx="200">
                  <c:v>2.1466615206600508E-12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0467120"/>
        <c:axId val="340462224"/>
      </c:scatterChart>
      <c:valAx>
        <c:axId val="340467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62224"/>
        <c:crosses val="autoZero"/>
        <c:crossBetween val="midCat"/>
      </c:valAx>
      <c:valAx>
        <c:axId val="34046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67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2.5758310508760247</c:v>
                </c:pt>
                <c:pt idx="2">
                  <c:v>3.2506177981838085</c:v>
                </c:pt>
                <c:pt idx="3">
                  <c:v>4.1028694549974993</c:v>
                </c:pt>
                <c:pt idx="4">
                  <c:v>5.1794297849161515</c:v>
                </c:pt>
                <c:pt idx="5">
                  <c:v>6.5395498248636885</c:v>
                </c:pt>
                <c:pt idx="6">
                  <c:v>8.2581845593100685</c:v>
                </c:pt>
                <c:pt idx="7">
                  <c:v>10.430168092530124</c:v>
                </c:pt>
                <c:pt idx="8">
                  <c:v>13.175502045684366</c:v>
                </c:pt>
                <c:pt idx="9">
                  <c:v>16.646054774598436</c:v>
                </c:pt>
                <c:pt idx="10">
                  <c:v>21.03404874902699</c:v>
                </c:pt>
                <c:pt idx="11">
                  <c:v>26.582814593823006</c:v>
                </c:pt>
                <c:pt idx="12">
                  <c:v>33.600418628656548</c:v>
                </c:pt>
                <c:pt idx="13">
                  <c:v>42.47693357058472</c:v>
                </c:pt>
                <c:pt idx="14">
                  <c:v>53.706328669924602</c:v>
                </c:pt>
                <c:pt idx="15">
                  <c:v>67.91421772633808</c:v>
                </c:pt>
                <c:pt idx="16">
                  <c:v>88.220699423350183</c:v>
                </c:pt>
                <c:pt idx="17">
                  <c:v>108.40917771920219</c:v>
                </c:pt>
                <c:pt idx="18">
                  <c:v>128.50485533746698</c:v>
                </c:pt>
                <c:pt idx="19">
                  <c:v>148.52433471994019</c:v>
                </c:pt>
                <c:pt idx="20">
                  <c:v>168.47935065397499</c:v>
                </c:pt>
                <c:pt idx="21">
                  <c:v>115.41913240124948</c:v>
                </c:pt>
                <c:pt idx="22">
                  <c:v>137.15268457380026</c:v>
                </c:pt>
                <c:pt idx="23">
                  <c:v>158.80325266334467</c:v>
                </c:pt>
                <c:pt idx="24">
                  <c:v>180.38376185573739</c:v>
                </c:pt>
                <c:pt idx="25">
                  <c:v>201.90378027857048</c:v>
                </c:pt>
                <c:pt idx="26">
                  <c:v>222.51293238584552</c:v>
                </c:pt>
                <c:pt idx="27">
                  <c:v>243.07829800614925</c:v>
                </c:pt>
                <c:pt idx="28">
                  <c:v>263.6041022697712</c:v>
                </c:pt>
                <c:pt idx="29">
                  <c:v>284.09385819771518</c:v>
                </c:pt>
                <c:pt idx="30">
                  <c:v>304.55053053479526</c:v>
                </c:pt>
                <c:pt idx="31">
                  <c:v>227.28097133258856</c:v>
                </c:pt>
                <c:pt idx="32">
                  <c:v>245.74880864653403</c:v>
                </c:pt>
                <c:pt idx="33">
                  <c:v>264.18512643427306</c:v>
                </c:pt>
                <c:pt idx="34">
                  <c:v>282.59243347925718</c:v>
                </c:pt>
                <c:pt idx="35">
                  <c:v>300.97288496089783</c:v>
                </c:pt>
                <c:pt idx="36">
                  <c:v>317.04799064259174</c:v>
                </c:pt>
                <c:pt idx="37">
                  <c:v>333.10504799226425</c:v>
                </c:pt>
                <c:pt idx="38">
                  <c:v>349.14504937992336</c:v>
                </c:pt>
                <c:pt idx="39">
                  <c:v>365.16888855697044</c:v>
                </c:pt>
                <c:pt idx="40">
                  <c:v>381.17737444442338</c:v>
                </c:pt>
                <c:pt idx="41">
                  <c:v>299.9505270524981</c:v>
                </c:pt>
                <c:pt idx="42">
                  <c:v>313.91615631143912</c:v>
                </c:pt>
                <c:pt idx="43">
                  <c:v>327.86801351508461</c:v>
                </c:pt>
                <c:pt idx="44">
                  <c:v>341.80676730382885</c:v>
                </c:pt>
                <c:pt idx="45">
                  <c:v>355.73302732578992</c:v>
                </c:pt>
                <c:pt idx="46">
                  <c:v>367.81539708823902</c:v>
                </c:pt>
                <c:pt idx="47">
                  <c:v>379.88910609362978</c:v>
                </c:pt>
                <c:pt idx="48">
                  <c:v>391.95446843800681</c:v>
                </c:pt>
                <c:pt idx="49">
                  <c:v>404.01177729891145</c:v>
                </c:pt>
                <c:pt idx="50">
                  <c:v>416.06130692450489</c:v>
                </c:pt>
                <c:pt idx="51">
                  <c:v>361.53773919326767</c:v>
                </c:pt>
                <c:pt idx="52">
                  <c:v>371.92005693853349</c:v>
                </c:pt>
                <c:pt idx="53">
                  <c:v>382.29605694916751</c:v>
                </c:pt>
                <c:pt idx="54">
                  <c:v>392.66593493295318</c:v>
                </c:pt>
                <c:pt idx="55">
                  <c:v>403.02987541370499</c:v>
                </c:pt>
                <c:pt idx="56">
                  <c:v>411.76361484520572</c:v>
                </c:pt>
                <c:pt idx="57">
                  <c:v>420.49335665189238</c:v>
                </c:pt>
                <c:pt idx="58">
                  <c:v>429.219195569997</c:v>
                </c:pt>
                <c:pt idx="59">
                  <c:v>437.94122216787235</c:v>
                </c:pt>
                <c:pt idx="60">
                  <c:v>446.65952311051416</c:v>
                </c:pt>
                <c:pt idx="61">
                  <c:v>411.39132838467918</c:v>
                </c:pt>
                <c:pt idx="62">
                  <c:v>418.73419083974755</c:v>
                </c:pt>
                <c:pt idx="63">
                  <c:v>426.07427910479754</c:v>
                </c:pt>
                <c:pt idx="64">
                  <c:v>433.4116477428741</c:v>
                </c:pt>
                <c:pt idx="65">
                  <c:v>440.7463493177375</c:v>
                </c:pt>
                <c:pt idx="66">
                  <c:v>447.09872026748832</c:v>
                </c:pt>
                <c:pt idx="67">
                  <c:v>453.44915929344944</c:v>
                </c:pt>
                <c:pt idx="68">
                  <c:v>459.79769728676183</c:v>
                </c:pt>
                <c:pt idx="69">
                  <c:v>466.14436421537175</c:v>
                </c:pt>
                <c:pt idx="70">
                  <c:v>472.48918916409275</c:v>
                </c:pt>
                <c:pt idx="71">
                  <c:v>442.94286825616172</c:v>
                </c:pt>
                <c:pt idx="72">
                  <c:v>448.68650991898113</c:v>
                </c:pt>
                <c:pt idx="73">
                  <c:v>454.42857829007625</c:v>
                </c:pt>
                <c:pt idx="74">
                  <c:v>460.16909606887612</c:v>
                </c:pt>
                <c:pt idx="75">
                  <c:v>465.90808534184816</c:v>
                </c:pt>
                <c:pt idx="76">
                  <c:v>470.93690066518553</c:v>
                </c:pt>
                <c:pt idx="77">
                  <c:v>475.96457242812079</c:v>
                </c:pt>
                <c:pt idx="78">
                  <c:v>480.99111442385987</c:v>
                </c:pt>
                <c:pt idx="79">
                  <c:v>486.01654013358376</c:v>
                </c:pt>
                <c:pt idx="80">
                  <c:v>491.0408627367317</c:v>
                </c:pt>
                <c:pt idx="81">
                  <c:v>17.224684950829481</c:v>
                </c:pt>
                <c:pt idx="82">
                  <c:v>17.224684950829481</c:v>
                </c:pt>
                <c:pt idx="83">
                  <c:v>17.224684950829481</c:v>
                </c:pt>
                <c:pt idx="84">
                  <c:v>17.224684950829481</c:v>
                </c:pt>
                <c:pt idx="85">
                  <c:v>17.224684950829481</c:v>
                </c:pt>
                <c:pt idx="86">
                  <c:v>17.224684950829481</c:v>
                </c:pt>
                <c:pt idx="87">
                  <c:v>17.224684950829481</c:v>
                </c:pt>
                <c:pt idx="88">
                  <c:v>17.224684950829481</c:v>
                </c:pt>
                <c:pt idx="89">
                  <c:v>17.224684950829481</c:v>
                </c:pt>
                <c:pt idx="90">
                  <c:v>17.224684950829481</c:v>
                </c:pt>
                <c:pt idx="91">
                  <c:v>17.224684950829481</c:v>
                </c:pt>
                <c:pt idx="92">
                  <c:v>17.224684950829481</c:v>
                </c:pt>
                <c:pt idx="93">
                  <c:v>17.224684950829481</c:v>
                </c:pt>
                <c:pt idx="94">
                  <c:v>17.224684950829481</c:v>
                </c:pt>
                <c:pt idx="95">
                  <c:v>17.224684950829481</c:v>
                </c:pt>
                <c:pt idx="96">
                  <c:v>17.224684950829481</c:v>
                </c:pt>
                <c:pt idx="97">
                  <c:v>17.224684950829481</c:v>
                </c:pt>
                <c:pt idx="98">
                  <c:v>17.224684950829481</c:v>
                </c:pt>
                <c:pt idx="99">
                  <c:v>17.224684950829481</c:v>
                </c:pt>
                <c:pt idx="100">
                  <c:v>17.224684950829481</c:v>
                </c:pt>
                <c:pt idx="101">
                  <c:v>17.224684950829481</c:v>
                </c:pt>
                <c:pt idx="102">
                  <c:v>17.224684950829481</c:v>
                </c:pt>
                <c:pt idx="103">
                  <c:v>17.224684950829481</c:v>
                </c:pt>
                <c:pt idx="104">
                  <c:v>17.224684950829481</c:v>
                </c:pt>
                <c:pt idx="105">
                  <c:v>17.224684950829481</c:v>
                </c:pt>
                <c:pt idx="106">
                  <c:v>17.224684950829481</c:v>
                </c:pt>
                <c:pt idx="107">
                  <c:v>17.224684950829481</c:v>
                </c:pt>
                <c:pt idx="108">
                  <c:v>17.224684950829481</c:v>
                </c:pt>
                <c:pt idx="109">
                  <c:v>17.224684950829481</c:v>
                </c:pt>
                <c:pt idx="110">
                  <c:v>17.224684950829481</c:v>
                </c:pt>
                <c:pt idx="111">
                  <c:v>17.224684950829481</c:v>
                </c:pt>
                <c:pt idx="112">
                  <c:v>17.224684950829481</c:v>
                </c:pt>
                <c:pt idx="113">
                  <c:v>17.224684950829481</c:v>
                </c:pt>
                <c:pt idx="114">
                  <c:v>17.224684950829481</c:v>
                </c:pt>
                <c:pt idx="115">
                  <c:v>17.224684950829481</c:v>
                </c:pt>
                <c:pt idx="116">
                  <c:v>17.224684950829481</c:v>
                </c:pt>
                <c:pt idx="117">
                  <c:v>17.224684950829481</c:v>
                </c:pt>
                <c:pt idx="118">
                  <c:v>17.224684950829481</c:v>
                </c:pt>
                <c:pt idx="119">
                  <c:v>17.224684950829481</c:v>
                </c:pt>
                <c:pt idx="120">
                  <c:v>17.224684950829481</c:v>
                </c:pt>
                <c:pt idx="121">
                  <c:v>17.224684950829481</c:v>
                </c:pt>
                <c:pt idx="122">
                  <c:v>17.224684950829481</c:v>
                </c:pt>
                <c:pt idx="123">
                  <c:v>17.224684950829481</c:v>
                </c:pt>
                <c:pt idx="124">
                  <c:v>17.224684950829481</c:v>
                </c:pt>
                <c:pt idx="125">
                  <c:v>17.224684950829481</c:v>
                </c:pt>
                <c:pt idx="126">
                  <c:v>17.224684950829481</c:v>
                </c:pt>
                <c:pt idx="127">
                  <c:v>17.224684950829481</c:v>
                </c:pt>
                <c:pt idx="128">
                  <c:v>17.224684950829481</c:v>
                </c:pt>
                <c:pt idx="129">
                  <c:v>17.224684950829481</c:v>
                </c:pt>
                <c:pt idx="130">
                  <c:v>17.224684950829481</c:v>
                </c:pt>
                <c:pt idx="131">
                  <c:v>17.224684950829481</c:v>
                </c:pt>
                <c:pt idx="132">
                  <c:v>17.224684950829481</c:v>
                </c:pt>
                <c:pt idx="133">
                  <c:v>17.224684950829481</c:v>
                </c:pt>
                <c:pt idx="134">
                  <c:v>17.224684950829481</c:v>
                </c:pt>
                <c:pt idx="135">
                  <c:v>17.224684950829481</c:v>
                </c:pt>
                <c:pt idx="136">
                  <c:v>17.224684950829481</c:v>
                </c:pt>
                <c:pt idx="137">
                  <c:v>17.224684950829481</c:v>
                </c:pt>
                <c:pt idx="138">
                  <c:v>17.224684950829481</c:v>
                </c:pt>
                <c:pt idx="139">
                  <c:v>17.224684950829481</c:v>
                </c:pt>
                <c:pt idx="140">
                  <c:v>17.224684950829481</c:v>
                </c:pt>
                <c:pt idx="141">
                  <c:v>17.224684950829481</c:v>
                </c:pt>
                <c:pt idx="142">
                  <c:v>17.224684950829481</c:v>
                </c:pt>
                <c:pt idx="143">
                  <c:v>17.224684950829481</c:v>
                </c:pt>
                <c:pt idx="144">
                  <c:v>17.224684950829481</c:v>
                </c:pt>
                <c:pt idx="145">
                  <c:v>17.224684950829481</c:v>
                </c:pt>
                <c:pt idx="146">
                  <c:v>17.224684950829481</c:v>
                </c:pt>
                <c:pt idx="147">
                  <c:v>17.224684950829481</c:v>
                </c:pt>
                <c:pt idx="148">
                  <c:v>17.224684950829481</c:v>
                </c:pt>
                <c:pt idx="149">
                  <c:v>17.224684950829481</c:v>
                </c:pt>
                <c:pt idx="150">
                  <c:v>17.224684950829481</c:v>
                </c:pt>
                <c:pt idx="151">
                  <c:v>17.224684950829481</c:v>
                </c:pt>
                <c:pt idx="152">
                  <c:v>17.224684950829481</c:v>
                </c:pt>
                <c:pt idx="153">
                  <c:v>17.224684950829481</c:v>
                </c:pt>
                <c:pt idx="154">
                  <c:v>17.224684950829481</c:v>
                </c:pt>
                <c:pt idx="155">
                  <c:v>17.224684950829481</c:v>
                </c:pt>
                <c:pt idx="156">
                  <c:v>17.224684950829481</c:v>
                </c:pt>
                <c:pt idx="157">
                  <c:v>17.224684950829481</c:v>
                </c:pt>
                <c:pt idx="158">
                  <c:v>17.224684950829481</c:v>
                </c:pt>
                <c:pt idx="159">
                  <c:v>17.224684950829481</c:v>
                </c:pt>
                <c:pt idx="160">
                  <c:v>17.224684950829481</c:v>
                </c:pt>
                <c:pt idx="161">
                  <c:v>17.224684950829481</c:v>
                </c:pt>
                <c:pt idx="162">
                  <c:v>17.224684950829481</c:v>
                </c:pt>
                <c:pt idx="163">
                  <c:v>17.224684950829481</c:v>
                </c:pt>
                <c:pt idx="164">
                  <c:v>17.224684950829481</c:v>
                </c:pt>
                <c:pt idx="165">
                  <c:v>17.224684950829481</c:v>
                </c:pt>
                <c:pt idx="166">
                  <c:v>17.224684950829481</c:v>
                </c:pt>
                <c:pt idx="167">
                  <c:v>17.224684950829481</c:v>
                </c:pt>
                <c:pt idx="168">
                  <c:v>17.224684950829481</c:v>
                </c:pt>
                <c:pt idx="169">
                  <c:v>17.224684950829481</c:v>
                </c:pt>
                <c:pt idx="170">
                  <c:v>17.224684950829481</c:v>
                </c:pt>
                <c:pt idx="171">
                  <c:v>17.224684950829481</c:v>
                </c:pt>
                <c:pt idx="172">
                  <c:v>17.224684950829481</c:v>
                </c:pt>
                <c:pt idx="173">
                  <c:v>17.224684950829481</c:v>
                </c:pt>
                <c:pt idx="174">
                  <c:v>17.224684950829481</c:v>
                </c:pt>
                <c:pt idx="175">
                  <c:v>17.224684950829481</c:v>
                </c:pt>
                <c:pt idx="176">
                  <c:v>17.224684950829481</c:v>
                </c:pt>
                <c:pt idx="177">
                  <c:v>17.224684950829481</c:v>
                </c:pt>
                <c:pt idx="178">
                  <c:v>17.224684950829481</c:v>
                </c:pt>
                <c:pt idx="179">
                  <c:v>17.224684950829481</c:v>
                </c:pt>
                <c:pt idx="180">
                  <c:v>17.224684950829481</c:v>
                </c:pt>
                <c:pt idx="181">
                  <c:v>17.224684950829481</c:v>
                </c:pt>
                <c:pt idx="182">
                  <c:v>17.224684950829481</c:v>
                </c:pt>
                <c:pt idx="183">
                  <c:v>17.224684950829481</c:v>
                </c:pt>
                <c:pt idx="184">
                  <c:v>17.224684950829481</c:v>
                </c:pt>
                <c:pt idx="185">
                  <c:v>17.224684950829481</c:v>
                </c:pt>
                <c:pt idx="186">
                  <c:v>17.224684950829481</c:v>
                </c:pt>
                <c:pt idx="187">
                  <c:v>17.224684950829481</c:v>
                </c:pt>
                <c:pt idx="188">
                  <c:v>17.224684950829481</c:v>
                </c:pt>
                <c:pt idx="189">
                  <c:v>17.224684950829481</c:v>
                </c:pt>
                <c:pt idx="190">
                  <c:v>17.224684950829481</c:v>
                </c:pt>
                <c:pt idx="191">
                  <c:v>17.224684950829481</c:v>
                </c:pt>
                <c:pt idx="192">
                  <c:v>17.224684950829481</c:v>
                </c:pt>
                <c:pt idx="193">
                  <c:v>17.224684950829481</c:v>
                </c:pt>
                <c:pt idx="194">
                  <c:v>17.224684950829481</c:v>
                </c:pt>
                <c:pt idx="195">
                  <c:v>17.224684950829481</c:v>
                </c:pt>
                <c:pt idx="196">
                  <c:v>17.224684950829481</c:v>
                </c:pt>
                <c:pt idx="197">
                  <c:v>17.224684950829481</c:v>
                </c:pt>
                <c:pt idx="198">
                  <c:v>17.224684950829481</c:v>
                </c:pt>
                <c:pt idx="199">
                  <c:v>17.224684950829481</c:v>
                </c:pt>
                <c:pt idx="200">
                  <c:v>17.224684950829481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0462768"/>
        <c:axId val="340464400"/>
      </c:scatterChart>
      <c:valAx>
        <c:axId val="340462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64400"/>
        <c:crosses val="autoZero"/>
        <c:crossBetween val="midCat"/>
      </c:valAx>
      <c:valAx>
        <c:axId val="34046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62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2.6440945048587046</c:v>
                </c:pt>
                <c:pt idx="2">
                  <c:v>3.3617991197827322</c:v>
                </c:pt>
                <c:pt idx="3">
                  <c:v>4.2750819709549202</c:v>
                </c:pt>
                <c:pt idx="4">
                  <c:v>5.4374360196681799</c:v>
                </c:pt>
                <c:pt idx="5">
                  <c:v>6.9170355362679921</c:v>
                </c:pt>
                <c:pt idx="6">
                  <c:v>8.8007782609728427</c:v>
                </c:pt>
                <c:pt idx="7">
                  <c:v>11.199443738733841</c:v>
                </c:pt>
                <c:pt idx="8">
                  <c:v>14.254276865335017</c:v>
                </c:pt>
                <c:pt idx="9">
                  <c:v>18.145391453793806</c:v>
                </c:pt>
                <c:pt idx="10">
                  <c:v>23.102498259960139</c:v>
                </c:pt>
                <c:pt idx="11">
                  <c:v>29.418602043435424</c:v>
                </c:pt>
                <c:pt idx="12">
                  <c:v>37.46749139048039</c:v>
                </c:pt>
                <c:pt idx="13">
                  <c:v>47.72607407110582</c:v>
                </c:pt>
                <c:pt idx="14">
                  <c:v>60.802903564976283</c:v>
                </c:pt>
                <c:pt idx="15">
                  <c:v>77.474616883044959</c:v>
                </c:pt>
                <c:pt idx="16">
                  <c:v>87.149505162569383</c:v>
                </c:pt>
                <c:pt idx="17">
                  <c:v>96.797385318575991</c:v>
                </c:pt>
                <c:pt idx="18">
                  <c:v>106.42133409341606</c:v>
                </c:pt>
                <c:pt idx="19">
                  <c:v>116.0238244858856</c:v>
                </c:pt>
                <c:pt idx="20">
                  <c:v>125.60688557852342</c:v>
                </c:pt>
                <c:pt idx="21">
                  <c:v>109.26865471136909</c:v>
                </c:pt>
                <c:pt idx="22">
                  <c:v>119.57527521091727</c:v>
                </c:pt>
                <c:pt idx="23">
                  <c:v>129.860240322946</c:v>
                </c:pt>
                <c:pt idx="24">
                  <c:v>140.12550916282296</c:v>
                </c:pt>
                <c:pt idx="25">
                  <c:v>150.37272976362615</c:v>
                </c:pt>
                <c:pt idx="26">
                  <c:v>160.95580359158961</c:v>
                </c:pt>
                <c:pt idx="27">
                  <c:v>171.52240247513092</c:v>
                </c:pt>
                <c:pt idx="28">
                  <c:v>182.07368538348692</c:v>
                </c:pt>
                <c:pt idx="29">
                  <c:v>192.61066580735996</c:v>
                </c:pt>
                <c:pt idx="30">
                  <c:v>203.13423715529461</c:v>
                </c:pt>
                <c:pt idx="31">
                  <c:v>176.44817575735124</c:v>
                </c:pt>
                <c:pt idx="32">
                  <c:v>186.64141133895666</c:v>
                </c:pt>
                <c:pt idx="33">
                  <c:v>196.82165695831426</c:v>
                </c:pt>
                <c:pt idx="34">
                  <c:v>206.98967982954616</c:v>
                </c:pt>
                <c:pt idx="35">
                  <c:v>217.14616554866117</c:v>
                </c:pt>
                <c:pt idx="36">
                  <c:v>227.64138943591354</c:v>
                </c:pt>
                <c:pt idx="37">
                  <c:v>238.12554101232834</c:v>
                </c:pt>
                <c:pt idx="38">
                  <c:v>248.59917684690132</c:v>
                </c:pt>
                <c:pt idx="39">
                  <c:v>259.06280274212457</c:v>
                </c:pt>
                <c:pt idx="40">
                  <c:v>269.51688027254562</c:v>
                </c:pt>
                <c:pt idx="41">
                  <c:v>233.5837311632458</c:v>
                </c:pt>
                <c:pt idx="42">
                  <c:v>244.7600317103846</c:v>
                </c:pt>
                <c:pt idx="43">
                  <c:v>255.92473775915414</c:v>
                </c:pt>
                <c:pt idx="44">
                  <c:v>267.07842670720612</c:v>
                </c:pt>
                <c:pt idx="45">
                  <c:v>278.22162375497288</c:v>
                </c:pt>
                <c:pt idx="46">
                  <c:v>288.31148567604208</c:v>
                </c:pt>
                <c:pt idx="47">
                  <c:v>298.39345366223563</c:v>
                </c:pt>
                <c:pt idx="48">
                  <c:v>308.46783220083091</c:v>
                </c:pt>
                <c:pt idx="49">
                  <c:v>318.53490425391578</c:v>
                </c:pt>
                <c:pt idx="50">
                  <c:v>328.59493342700102</c:v>
                </c:pt>
                <c:pt idx="51">
                  <c:v>289.35480857103533</c:v>
                </c:pt>
                <c:pt idx="52">
                  <c:v>298.7409706836865</c:v>
                </c:pt>
                <c:pt idx="53">
                  <c:v>308.12056303476038</c:v>
                </c:pt>
                <c:pt idx="54">
                  <c:v>317.49381395809911</c:v>
                </c:pt>
                <c:pt idx="55">
                  <c:v>326.86093719547284</c:v>
                </c:pt>
                <c:pt idx="56">
                  <c:v>336.22213322966519</c:v>
                </c:pt>
                <c:pt idx="57">
                  <c:v>345.57759046125392</c:v>
                </c:pt>
                <c:pt idx="58">
                  <c:v>354.92748625123812</c:v>
                </c:pt>
                <c:pt idx="59">
                  <c:v>364.27198784801112</c:v>
                </c:pt>
                <c:pt idx="60">
                  <c:v>373.61125321420695</c:v>
                </c:pt>
                <c:pt idx="61">
                  <c:v>333.79571492319104</c:v>
                </c:pt>
                <c:pt idx="62">
                  <c:v>342.45973119739205</c:v>
                </c:pt>
                <c:pt idx="63">
                  <c:v>351.11892985232788</c:v>
                </c:pt>
                <c:pt idx="64">
                  <c:v>359.77344653568503</c:v>
                </c:pt>
                <c:pt idx="65">
                  <c:v>368.42340983207094</c:v>
                </c:pt>
                <c:pt idx="66">
                  <c:v>376.72320412097594</c:v>
                </c:pt>
                <c:pt idx="67">
                  <c:v>385.01901724916075</c:v>
                </c:pt>
                <c:pt idx="68">
                  <c:v>393.31094714884671</c:v>
                </c:pt>
                <c:pt idx="69">
                  <c:v>401.5990872835086</c:v>
                </c:pt>
                <c:pt idx="70">
                  <c:v>409.88352694182072</c:v>
                </c:pt>
                <c:pt idx="71">
                  <c:v>369.46110530100697</c:v>
                </c:pt>
                <c:pt idx="72">
                  <c:v>377.41467255842139</c:v>
                </c:pt>
                <c:pt idx="73">
                  <c:v>385.36459119538364</c:v>
                </c:pt>
                <c:pt idx="74">
                  <c:v>393.31094714884671</c:v>
                </c:pt>
                <c:pt idx="75">
                  <c:v>401.25382259763978</c:v>
                </c:pt>
                <c:pt idx="76">
                  <c:v>408.50304030623056</c:v>
                </c:pt>
                <c:pt idx="77">
                  <c:v>415.74947956836513</c:v>
                </c:pt>
                <c:pt idx="78">
                  <c:v>422.99319567578368</c:v>
                </c:pt>
                <c:pt idx="79">
                  <c:v>430.23424187074437</c:v>
                </c:pt>
                <c:pt idx="80">
                  <c:v>437.47266945596539</c:v>
                </c:pt>
                <c:pt idx="81">
                  <c:v>397.80082102983096</c:v>
                </c:pt>
                <c:pt idx="82">
                  <c:v>404.70618113638216</c:v>
                </c:pt>
                <c:pt idx="83">
                  <c:v>411.60899407848507</c:v>
                </c:pt>
                <c:pt idx="84">
                  <c:v>418.50930863032568</c:v>
                </c:pt>
                <c:pt idx="85">
                  <c:v>425.40717182534803</c:v>
                </c:pt>
                <c:pt idx="86">
                  <c:v>431.61319033230438</c:v>
                </c:pt>
                <c:pt idx="87">
                  <c:v>437.81729201638319</c:v>
                </c:pt>
                <c:pt idx="88">
                  <c:v>444.01950789221627</c:v>
                </c:pt>
                <c:pt idx="89">
                  <c:v>450.21986803667045</c:v>
                </c:pt>
                <c:pt idx="90">
                  <c:v>456.41840163001308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0464944"/>
        <c:axId val="340466576"/>
      </c:scatterChart>
      <c:valAx>
        <c:axId val="340464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66576"/>
        <c:crosses val="autoZero"/>
        <c:crossBetween val="midCat"/>
      </c:valAx>
      <c:valAx>
        <c:axId val="34046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64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2.9721830838011396</c:v>
                </c:pt>
                <c:pt idx="2">
                  <c:v>3.6424350700597508</c:v>
                </c:pt>
                <c:pt idx="3">
                  <c:v>4.4644061506149253</c:v>
                </c:pt>
                <c:pt idx="4">
                  <c:v>5.4725616310335843</c:v>
                </c:pt>
                <c:pt idx="5">
                  <c:v>6.7092220636320823</c:v>
                </c:pt>
                <c:pt idx="6">
                  <c:v>8.2263590872278787</c:v>
                </c:pt>
                <c:pt idx="7">
                  <c:v>10.087802984924588</c:v>
                </c:pt>
                <c:pt idx="8">
                  <c:v>12.37195659525865</c:v>
                </c:pt>
                <c:pt idx="9">
                  <c:v>15.175132015614098</c:v>
                </c:pt>
                <c:pt idx="10">
                  <c:v>18.615653374560527</c:v>
                </c:pt>
                <c:pt idx="11">
                  <c:v>22.838901986251884</c:v>
                </c:pt>
                <c:pt idx="12">
                  <c:v>28.023520869672993</c:v>
                </c:pt>
                <c:pt idx="13">
                  <c:v>34.389045685268606</c:v>
                </c:pt>
                <c:pt idx="14">
                  <c:v>42.205290787963385</c:v>
                </c:pt>
                <c:pt idx="15">
                  <c:v>51.803895000232238</c:v>
                </c:pt>
                <c:pt idx="16">
                  <c:v>63.592525175249442</c:v>
                </c:pt>
                <c:pt idx="17">
                  <c:v>78.072350718377976</c:v>
                </c:pt>
                <c:pt idx="18">
                  <c:v>95.859543980269066</c:v>
                </c:pt>
                <c:pt idx="19">
                  <c:v>117.71173600588777</c:v>
                </c:pt>
                <c:pt idx="20">
                  <c:v>144.56057213518991</c:v>
                </c:pt>
                <c:pt idx="21">
                  <c:v>125.5286408533514</c:v>
                </c:pt>
                <c:pt idx="22">
                  <c:v>141.10495358708783</c:v>
                </c:pt>
                <c:pt idx="23">
                  <c:v>156.64000874421183</c:v>
                </c:pt>
                <c:pt idx="24">
                  <c:v>172.13847772194222</c:v>
                </c:pt>
                <c:pt idx="25">
                  <c:v>187.60412034100304</c:v>
                </c:pt>
                <c:pt idx="26">
                  <c:v>203.04002493666971</c:v>
                </c:pt>
                <c:pt idx="27">
                  <c:v>218.44877135951518</c:v>
                </c:pt>
                <c:pt idx="28">
                  <c:v>233.83254544891068</c:v>
                </c:pt>
                <c:pt idx="29">
                  <c:v>249.19322173683801</c:v>
                </c:pt>
                <c:pt idx="30">
                  <c:v>264.53242465514205</c:v>
                </c:pt>
                <c:pt idx="31">
                  <c:v>205.41231020128509</c:v>
                </c:pt>
                <c:pt idx="32">
                  <c:v>218.58035954454417</c:v>
                </c:pt>
                <c:pt idx="33">
                  <c:v>231.73018391404943</c:v>
                </c:pt>
                <c:pt idx="34">
                  <c:v>244.86296361177938</c:v>
                </c:pt>
                <c:pt idx="35">
                  <c:v>257.97974191077316</c:v>
                </c:pt>
                <c:pt idx="36">
                  <c:v>270.03384538640671</c:v>
                </c:pt>
                <c:pt idx="37">
                  <c:v>282.07584211332164</c:v>
                </c:pt>
                <c:pt idx="38">
                  <c:v>294.10632197650165</c:v>
                </c:pt>
                <c:pt idx="39">
                  <c:v>306.12582263909667</c:v>
                </c:pt>
                <c:pt idx="40">
                  <c:v>318.13483607832239</c:v>
                </c:pt>
                <c:pt idx="41">
                  <c:v>271.08144727175642</c:v>
                </c:pt>
                <c:pt idx="42">
                  <c:v>282.86078360632649</c:v>
                </c:pt>
                <c:pt idx="43">
                  <c:v>294.62913355147111</c:v>
                </c:pt>
                <c:pt idx="44">
                  <c:v>306.3869979576524</c:v>
                </c:pt>
                <c:pt idx="45">
                  <c:v>318.13483607832245</c:v>
                </c:pt>
                <c:pt idx="46">
                  <c:v>329.35156958294141</c:v>
                </c:pt>
                <c:pt idx="47">
                  <c:v>340.55987511500985</c:v>
                </c:pt>
                <c:pt idx="48">
                  <c:v>351.76006924925832</c:v>
                </c:pt>
                <c:pt idx="49">
                  <c:v>362.95244674780406</c:v>
                </c:pt>
                <c:pt idx="50">
                  <c:v>374.13728270377402</c:v>
                </c:pt>
                <c:pt idx="51">
                  <c:v>322.30950996229876</c:v>
                </c:pt>
                <c:pt idx="52">
                  <c:v>333.00169481114159</c:v>
                </c:pt>
                <c:pt idx="53">
                  <c:v>343.68631362725654</c:v>
                </c:pt>
                <c:pt idx="54">
                  <c:v>354.36363488362491</c:v>
                </c:pt>
                <c:pt idx="55">
                  <c:v>365.03390954723886</c:v>
                </c:pt>
                <c:pt idx="56">
                  <c:v>374.91734538946031</c:v>
                </c:pt>
                <c:pt idx="57">
                  <c:v>384.79510627137751</c:v>
                </c:pt>
                <c:pt idx="58">
                  <c:v>394.66735847110516</c:v>
                </c:pt>
                <c:pt idx="59">
                  <c:v>404.5342592660088</c:v>
                </c:pt>
                <c:pt idx="60">
                  <c:v>414.39595763230813</c:v>
                </c:pt>
                <c:pt idx="61">
                  <c:v>363.99321066425381</c:v>
                </c:pt>
                <c:pt idx="62">
                  <c:v>373.35718456856483</c:v>
                </c:pt>
                <c:pt idx="63">
                  <c:v>382.71604088568387</c:v>
                </c:pt>
                <c:pt idx="64">
                  <c:v>392.0699224681141</c:v>
                </c:pt>
                <c:pt idx="65">
                  <c:v>401.4189647926537</c:v>
                </c:pt>
                <c:pt idx="66">
                  <c:v>410.2442884418852</c:v>
                </c:pt>
                <c:pt idx="67">
                  <c:v>419.0655135735251</c:v>
                </c:pt>
                <c:pt idx="68">
                  <c:v>427.8827386661892</c:v>
                </c:pt>
                <c:pt idx="69">
                  <c:v>436.69605780694877</c:v>
                </c:pt>
                <c:pt idx="70">
                  <c:v>445.50556097376784</c:v>
                </c:pt>
                <c:pt idx="71">
                  <c:v>395.70622896203434</c:v>
                </c:pt>
                <c:pt idx="72">
                  <c:v>404.27467126938308</c:v>
                </c:pt>
                <c:pt idx="73">
                  <c:v>412.83918737669751</c:v>
                </c:pt>
                <c:pt idx="74">
                  <c:v>421.39987026288964</c:v>
                </c:pt>
                <c:pt idx="75">
                  <c:v>429.95680881908919</c:v>
                </c:pt>
                <c:pt idx="76">
                  <c:v>437.99181019525372</c:v>
                </c:pt>
                <c:pt idx="77">
                  <c:v>446.02365006516737</c:v>
                </c:pt>
                <c:pt idx="78">
                  <c:v>454.05239341686462</c:v>
                </c:pt>
                <c:pt idx="79">
                  <c:v>462.0781027515323</c:v>
                </c:pt>
                <c:pt idx="80">
                  <c:v>470.1008382211549</c:v>
                </c:pt>
                <c:pt idx="81">
                  <c:v>422.17792718748893</c:v>
                </c:pt>
                <c:pt idx="82">
                  <c:v>429.95680881908919</c:v>
                </c:pt>
                <c:pt idx="83">
                  <c:v>437.73266630566582</c:v>
                </c:pt>
                <c:pt idx="84">
                  <c:v>445.50556097376779</c:v>
                </c:pt>
                <c:pt idx="85">
                  <c:v>453.27555183427711</c:v>
                </c:pt>
                <c:pt idx="86">
                  <c:v>460.52497358173349</c:v>
                </c:pt>
                <c:pt idx="87">
                  <c:v>467.77195987462483</c:v>
                </c:pt>
                <c:pt idx="88">
                  <c:v>475.01655378575668</c:v>
                </c:pt>
                <c:pt idx="89">
                  <c:v>482.25879696627726</c:v>
                </c:pt>
                <c:pt idx="90">
                  <c:v>489.49872971371423</c:v>
                </c:pt>
                <c:pt idx="91">
                  <c:v>444.98745897736353</c:v>
                </c:pt>
                <c:pt idx="92">
                  <c:v>452.23971876405511</c:v>
                </c:pt>
                <c:pt idx="93">
                  <c:v>459.489492035924</c:v>
                </c:pt>
                <c:pt idx="94">
                  <c:v>466.73682357974229</c:v>
                </c:pt>
                <c:pt idx="95">
                  <c:v>473.98175667722558</c:v>
                </c:pt>
                <c:pt idx="96">
                  <c:v>480.70708356712709</c:v>
                </c:pt>
                <c:pt idx="97">
                  <c:v>487.4304109605867</c:v>
                </c:pt>
                <c:pt idx="98">
                  <c:v>494.15177034208205</c:v>
                </c:pt>
                <c:pt idx="99">
                  <c:v>500.87119226930128</c:v>
                </c:pt>
                <c:pt idx="100">
                  <c:v>507.58870641276644</c:v>
                </c:pt>
                <c:pt idx="101">
                  <c:v>465.96043924488595</c:v>
                </c:pt>
                <c:pt idx="102">
                  <c:v>472.17074594472138</c:v>
                </c:pt>
                <c:pt idx="103">
                  <c:v>478.37931369911365</c:v>
                </c:pt>
                <c:pt idx="104">
                  <c:v>484.58616827417546</c:v>
                </c:pt>
                <c:pt idx="105">
                  <c:v>490.79133472172845</c:v>
                </c:pt>
                <c:pt idx="106">
                  <c:v>496.99483740808409</c:v>
                </c:pt>
                <c:pt idx="107">
                  <c:v>503.19670004131416</c:v>
                </c:pt>
                <c:pt idx="108">
                  <c:v>509.39694569710463</c:v>
                </c:pt>
                <c:pt idx="109">
                  <c:v>515.59559684328599</c:v>
                </c:pt>
                <c:pt idx="110">
                  <c:v>521.79267536312102</c:v>
                </c:pt>
                <c:pt idx="111">
                  <c:v>482.51740554163007</c:v>
                </c:pt>
                <c:pt idx="112">
                  <c:v>488.46459357000981</c:v>
                </c:pt>
                <c:pt idx="113">
                  <c:v>494.41024528003305</c:v>
                </c:pt>
                <c:pt idx="114">
                  <c:v>500.35438176432416</c:v>
                </c:pt>
                <c:pt idx="115">
                  <c:v>506.29702357318212</c:v>
                </c:pt>
                <c:pt idx="116">
                  <c:v>511.97990951635296</c:v>
                </c:pt>
                <c:pt idx="117">
                  <c:v>517.66146335524525</c:v>
                </c:pt>
                <c:pt idx="118">
                  <c:v>523.34170178080024</c:v>
                </c:pt>
                <c:pt idx="119">
                  <c:v>529.02064109188984</c:v>
                </c:pt>
                <c:pt idx="120">
                  <c:v>534.69829720872895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0473104"/>
        <c:axId val="340466032"/>
      </c:scatterChart>
      <c:valAx>
        <c:axId val="3404731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66032"/>
        <c:crosses val="autoZero"/>
        <c:crossBetween val="midCat"/>
      </c:valAx>
      <c:valAx>
        <c:axId val="34046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73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0473648"/>
        <c:axId val="340470384"/>
      </c:scatterChart>
      <c:valAx>
        <c:axId val="340473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70384"/>
        <c:crosses val="autoZero"/>
        <c:crossBetween val="midCat"/>
      </c:valAx>
      <c:valAx>
        <c:axId val="34047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73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0472560"/>
        <c:axId val="340471472"/>
      </c:scatterChart>
      <c:valAx>
        <c:axId val="340472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71472"/>
        <c:crosses val="autoZero"/>
        <c:crossBetween val="midCat"/>
      </c:valAx>
      <c:valAx>
        <c:axId val="34047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72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0458416"/>
        <c:axId val="340468208"/>
      </c:scatterChart>
      <c:valAx>
        <c:axId val="340458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68208"/>
        <c:crosses val="autoZero"/>
        <c:crossBetween val="midCat"/>
      </c:valAx>
      <c:valAx>
        <c:axId val="34046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58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0469296"/>
        <c:axId val="143291200"/>
      </c:scatterChart>
      <c:valAx>
        <c:axId val="340469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291200"/>
        <c:crosses val="autoZero"/>
        <c:crossBetween val="midCat"/>
      </c:valAx>
      <c:valAx>
        <c:axId val="14329120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469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3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6" t="s">
        <v>291</v>
      </c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</row>
    <row r="13" spans="2:13" ht="15" customHeight="1" x14ac:dyDescent="0.3"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</row>
    <row r="14" spans="2:13" ht="15" customHeight="1" x14ac:dyDescent="0.3"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</row>
    <row r="15" spans="2:13" ht="18.75" customHeight="1" x14ac:dyDescent="0.3"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</row>
    <row r="16" spans="2:13" ht="18.75" customHeight="1" x14ac:dyDescent="0.3"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</row>
    <row r="18" spans="2:13" ht="12" customHeight="1" x14ac:dyDescent="0.3">
      <c r="B18" s="286" t="s">
        <v>292</v>
      </c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</row>
    <row r="19" spans="2:13" ht="12" customHeight="1" x14ac:dyDescent="0.3"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</row>
    <row r="20" spans="2:13" ht="12" customHeight="1" x14ac:dyDescent="0.3">
      <c r="B20" s="286"/>
      <c r="C20" s="286"/>
      <c r="D20" s="286"/>
      <c r="E20" s="286"/>
      <c r="F20" s="286"/>
      <c r="G20" s="286"/>
      <c r="H20" s="286"/>
      <c r="I20" s="286"/>
      <c r="J20" s="286"/>
      <c r="K20" s="286"/>
      <c r="L20" s="286"/>
      <c r="M20" s="286"/>
    </row>
    <row r="21" spans="2:13" ht="12" customHeight="1" x14ac:dyDescent="0.3"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</row>
    <row r="22" spans="2:13" ht="12" customHeight="1" x14ac:dyDescent="0.3">
      <c r="B22" s="286"/>
      <c r="C22" s="286"/>
      <c r="D22" s="286"/>
      <c r="E22" s="286"/>
      <c r="F22" s="286"/>
      <c r="G22" s="286"/>
      <c r="H22" s="286"/>
      <c r="I22" s="286"/>
      <c r="J22" s="286"/>
      <c r="K22" s="286"/>
      <c r="L22" s="286"/>
      <c r="M22" s="286"/>
    </row>
    <row r="23" spans="2:13" ht="12" customHeight="1" x14ac:dyDescent="0.3">
      <c r="B23" s="286"/>
      <c r="C23" s="286"/>
      <c r="D23" s="286"/>
      <c r="E23" s="286"/>
      <c r="F23" s="286"/>
      <c r="G23" s="286"/>
      <c r="H23" s="286"/>
      <c r="I23" s="286"/>
      <c r="J23" s="286"/>
      <c r="K23" s="286"/>
      <c r="L23" s="286"/>
      <c r="M23" s="286"/>
    </row>
    <row r="24" spans="2:13" ht="12" customHeight="1" x14ac:dyDescent="0.3">
      <c r="B24" s="286"/>
      <c r="C24" s="286"/>
      <c r="D24" s="286"/>
      <c r="E24" s="286"/>
      <c r="F24" s="286"/>
      <c r="G24" s="286"/>
      <c r="H24" s="286"/>
      <c r="I24" s="286"/>
      <c r="J24" s="286"/>
      <c r="K24" s="286"/>
      <c r="L24" s="286"/>
      <c r="M24" s="286"/>
    </row>
    <row r="25" spans="2:13" ht="12" customHeight="1" x14ac:dyDescent="0.3">
      <c r="B25" s="286"/>
      <c r="C25" s="286"/>
      <c r="D25" s="286"/>
      <c r="E25" s="286"/>
      <c r="F25" s="286"/>
      <c r="G25" s="286"/>
      <c r="H25" s="286"/>
      <c r="I25" s="286"/>
      <c r="J25" s="286"/>
      <c r="K25" s="286"/>
      <c r="L25" s="286"/>
      <c r="M25" s="286"/>
    </row>
    <row r="26" spans="2:13" ht="12" customHeight="1" x14ac:dyDescent="0.3"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</row>
    <row r="27" spans="2:13" ht="12" customHeight="1" x14ac:dyDescent="0.3">
      <c r="B27" s="286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</row>
    <row r="28" spans="2:13" ht="12" customHeight="1" x14ac:dyDescent="0.3"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</row>
    <row r="29" spans="2:13" ht="12" customHeight="1" x14ac:dyDescent="0.3"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</row>
    <row r="30" spans="2:13" ht="12" customHeight="1" x14ac:dyDescent="0.3">
      <c r="B30" s="286"/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</row>
    <row r="31" spans="2:13" ht="12" customHeight="1" x14ac:dyDescent="0.3">
      <c r="B31" s="286"/>
      <c r="C31" s="286"/>
      <c r="D31" s="286"/>
      <c r="E31" s="286"/>
      <c r="F31" s="286"/>
      <c r="G31" s="286"/>
      <c r="H31" s="286"/>
      <c r="I31" s="286"/>
      <c r="J31" s="286"/>
      <c r="K31" s="286"/>
      <c r="L31" s="286"/>
      <c r="M31" s="28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74" zoomScaleNormal="100" workbookViewId="0">
      <selection activeCell="B102" sqref="B10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19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2" t="s">
        <v>192</v>
      </c>
      <c r="C3" s="293"/>
      <c r="D3" s="293"/>
      <c r="E3" s="293"/>
      <c r="F3" s="294"/>
      <c r="G3" s="87"/>
      <c r="I3" s="219" t="s">
        <v>304</v>
      </c>
      <c r="J3" s="8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89"/>
      <c r="B4" s="89"/>
      <c r="C4" s="89"/>
      <c r="D4" s="89"/>
      <c r="E4" s="89"/>
      <c r="F4" s="89"/>
      <c r="G4" s="229"/>
      <c r="I4" s="219" t="s">
        <v>305</v>
      </c>
      <c r="J4" s="8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98" t="s">
        <v>231</v>
      </c>
      <c r="B5" s="298"/>
      <c r="C5" s="26">
        <v>6.3</v>
      </c>
      <c r="D5" s="299" t="s">
        <v>229</v>
      </c>
      <c r="E5" s="300"/>
      <c r="F5" s="89"/>
      <c r="G5" s="229"/>
      <c r="H5" s="230"/>
      <c r="I5" s="230"/>
      <c r="J5" s="23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0"/>
      <c r="B6" s="90"/>
      <c r="C6" s="91"/>
      <c r="D6" s="85"/>
      <c r="E6" s="85"/>
      <c r="F6" s="29"/>
      <c r="G6" s="231"/>
      <c r="H6" s="232"/>
      <c r="I6" s="232"/>
      <c r="J6" s="239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 spans="1:38" ht="25.8" x14ac:dyDescent="0.3">
      <c r="A7" s="296" t="s">
        <v>226</v>
      </c>
      <c r="B7" s="296"/>
      <c r="C7" s="89"/>
      <c r="D7" s="89"/>
      <c r="E7" s="5"/>
      <c r="F7" s="89"/>
      <c r="G7" s="229"/>
      <c r="H7" s="230"/>
      <c r="I7" s="230"/>
      <c r="J7" s="238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4"/>
      <c r="J8" s="238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</v>
      </c>
      <c r="C9" s="35">
        <v>0.55000000000000004</v>
      </c>
      <c r="D9" s="36">
        <f t="shared" ref="D9:D18" si="0">C9*$C$5</f>
        <v>3.4650000000000003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49" t="s">
        <v>306</v>
      </c>
      <c r="I9" s="245"/>
      <c r="J9" s="238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4</v>
      </c>
      <c r="C10" s="35">
        <v>0.15</v>
      </c>
      <c r="D10" s="36">
        <f t="shared" si="0"/>
        <v>0.94499999999999995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45"/>
      <c r="J10" s="238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23</v>
      </c>
      <c r="C11" s="35">
        <v>0.15</v>
      </c>
      <c r="D11" s="36">
        <f t="shared" si="0"/>
        <v>0.94499999999999995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2"/>
      <c r="I11" s="245"/>
      <c r="J11" s="238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5</v>
      </c>
      <c r="C12" s="35">
        <v>0.1</v>
      </c>
      <c r="D12" s="36">
        <f t="shared" si="0"/>
        <v>0.63</v>
      </c>
      <c r="E12" s="37">
        <v>90</v>
      </c>
      <c r="F12" s="38" t="str">
        <f t="array" ref="F12">IF(E12="","",IF(INDEX(A:A,MAX(IF(ISNUMBER($A$114:$A$133),ROW($A$114:$A$133),"")))&lt;&gt;E12,"Corrigez : révolution incorrecte","OK"))</f>
        <v>OK</v>
      </c>
      <c r="H12" s="222"/>
      <c r="I12" s="245"/>
      <c r="J12" s="238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6</v>
      </c>
      <c r="C13" s="35">
        <v>0.05</v>
      </c>
      <c r="D13" s="36">
        <f t="shared" si="0"/>
        <v>0.315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22"/>
      <c r="I13" s="245"/>
      <c r="J13" s="238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2"/>
      <c r="I14" s="245"/>
      <c r="J14" s="238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2"/>
      <c r="I15" s="245"/>
      <c r="J15" s="238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2"/>
      <c r="I16" s="245"/>
      <c r="J16" s="238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2"/>
      <c r="I17" s="245"/>
      <c r="J17" s="238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2"/>
      <c r="I18" s="245"/>
      <c r="J18" s="238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2"/>
      <c r="B19" s="39" t="s">
        <v>175</v>
      </c>
      <c r="C19" s="40">
        <f>SUM(C9:C18)</f>
        <v>1</v>
      </c>
      <c r="D19" s="41">
        <f>SUM(D9:D18)</f>
        <v>6.3000000000000007</v>
      </c>
      <c r="E19" s="5"/>
      <c r="F19" s="93"/>
      <c r="G19" s="233"/>
      <c r="H19" s="234"/>
      <c r="I19" s="233"/>
      <c r="J19" s="238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2"/>
      <c r="B20" s="42" t="s">
        <v>230</v>
      </c>
      <c r="C20" s="43" t="str">
        <f>IF(C19&gt;100%,"Erreur : corrigez","OK")</f>
        <v>OK</v>
      </c>
      <c r="D20" s="240"/>
      <c r="F20" s="232"/>
      <c r="G20" s="232"/>
      <c r="H20" s="234"/>
      <c r="I20" s="233"/>
      <c r="J20" s="238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35"/>
      <c r="I21" s="246"/>
      <c r="J21" s="238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5" t="s">
        <v>232</v>
      </c>
      <c r="B22" s="295"/>
      <c r="C22" s="91"/>
      <c r="H22" s="221"/>
      <c r="I22" s="239"/>
      <c r="J22" s="239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</row>
    <row r="23" spans="1:45" x14ac:dyDescent="0.3">
      <c r="A23" s="5"/>
      <c r="B23" s="5"/>
      <c r="C23" s="5"/>
      <c r="H23" s="212"/>
      <c r="I23" s="238"/>
      <c r="J23" s="238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94"/>
      <c r="F24" s="94"/>
      <c r="G24" s="236"/>
      <c r="H24" s="222"/>
      <c r="I24" s="236"/>
      <c r="J24" s="237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95"/>
      <c r="E25" s="5"/>
      <c r="F25" s="95"/>
      <c r="G25" s="237"/>
      <c r="H25" s="222"/>
      <c r="I25" s="237"/>
      <c r="J25" s="237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94"/>
      <c r="F26" s="94"/>
      <c r="G26" s="236"/>
      <c r="I26" s="236"/>
      <c r="J26" s="236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94"/>
      <c r="F27" s="94"/>
      <c r="G27" s="236"/>
      <c r="I27" s="236"/>
      <c r="J27" s="236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38"/>
      <c r="I28" s="238"/>
      <c r="J28" s="238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38"/>
      <c r="I29" s="238"/>
      <c r="J29" s="238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7" t="s">
        <v>227</v>
      </c>
      <c r="B30" s="297"/>
      <c r="D30" s="241"/>
      <c r="H30" s="239"/>
      <c r="I30" s="239"/>
      <c r="J30" s="239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</row>
    <row r="31" spans="1:45" x14ac:dyDescent="0.3">
      <c r="A31" s="5"/>
      <c r="B31" s="5"/>
      <c r="H31" s="238"/>
      <c r="I31" s="238"/>
      <c r="J31" s="238"/>
      <c r="K31" s="241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pédonculé</v>
      </c>
      <c r="D32" s="250" t="s">
        <v>307</v>
      </c>
      <c r="K32" s="241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1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4" t="s">
        <v>185</v>
      </c>
      <c r="C34" s="287" t="s">
        <v>186</v>
      </c>
      <c r="D34" s="287"/>
      <c r="E34" s="288" t="s">
        <v>187</v>
      </c>
      <c r="F34" s="289"/>
      <c r="G34" s="289"/>
      <c r="H34" s="290"/>
      <c r="I34" s="96"/>
      <c r="J34" s="242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3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59">
        <f>67+6</f>
        <v>73</v>
      </c>
      <c r="C36" s="59"/>
      <c r="D36" s="59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59">
        <f>75+6+28</f>
        <v>109</v>
      </c>
      <c r="C37" s="59">
        <v>1</v>
      </c>
      <c r="D37" s="59">
        <f>6+28</f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59">
        <f>93+28</f>
        <v>121</v>
      </c>
      <c r="C38" s="59"/>
      <c r="D38" s="59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59">
        <f>119+28+28</f>
        <v>175</v>
      </c>
      <c r="C39" s="59">
        <v>2</v>
      </c>
      <c r="D39" s="59">
        <f>28+28</f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59">
        <f>147+28</f>
        <v>175</v>
      </c>
      <c r="C40" s="59"/>
      <c r="D40" s="59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59">
        <f>176+28+28</f>
        <v>232</v>
      </c>
      <c r="C41" s="59">
        <v>3</v>
      </c>
      <c r="D41" s="59">
        <f>28+28</f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59">
        <f>203+28</f>
        <v>231</v>
      </c>
      <c r="C42" s="59"/>
      <c r="D42" s="59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74">
        <v>55</v>
      </c>
      <c r="B43" s="59">
        <f>226+28+28</f>
        <v>282</v>
      </c>
      <c r="C43" s="59">
        <v>4</v>
      </c>
      <c r="D43" s="59">
        <f>28+28</f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74">
        <v>60</v>
      </c>
      <c r="B44" s="59">
        <f>245+28</f>
        <v>273</v>
      </c>
      <c r="C44" s="59"/>
      <c r="D44" s="59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74">
        <v>65</v>
      </c>
      <c r="B45" s="59">
        <f>261+28+28</f>
        <v>317</v>
      </c>
      <c r="C45" s="59">
        <v>5</v>
      </c>
      <c r="D45" s="59">
        <f>28+28</f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74">
        <v>70</v>
      </c>
      <c r="B46" s="59">
        <f>274+28</f>
        <v>302</v>
      </c>
      <c r="C46" s="59"/>
      <c r="D46" s="59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74">
        <v>75</v>
      </c>
      <c r="B47" s="59">
        <f>284+28+28</f>
        <v>340</v>
      </c>
      <c r="C47" s="59">
        <v>6</v>
      </c>
      <c r="D47" s="59">
        <f>28+28</f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74">
        <v>80</v>
      </c>
      <c r="B48" s="59">
        <f>292+28</f>
        <v>320</v>
      </c>
      <c r="C48" s="59"/>
      <c r="D48" s="59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74">
        <v>90</v>
      </c>
      <c r="B49" s="59">
        <f>302+28+28+28</f>
        <v>386</v>
      </c>
      <c r="C49" s="59">
        <v>7</v>
      </c>
      <c r="D49" s="59">
        <f>28+28+28</f>
        <v>84</v>
      </c>
      <c r="E49" s="54"/>
      <c r="F49" s="54"/>
      <c r="G49" s="54"/>
      <c r="H49" s="54"/>
      <c r="I49" s="52">
        <f t="shared" si="1"/>
        <v>6.6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74">
        <v>105</v>
      </c>
      <c r="B50" s="59">
        <f>307+26+27+28</f>
        <v>388</v>
      </c>
      <c r="C50" s="53">
        <v>8</v>
      </c>
      <c r="D50" s="59">
        <f>26+27+28</f>
        <v>81</v>
      </c>
      <c r="E50" s="54"/>
      <c r="F50" s="54"/>
      <c r="G50" s="54"/>
      <c r="H50" s="54"/>
      <c r="I50" s="52">
        <f t="shared" si="1"/>
        <v>5.7333333333333334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74">
        <v>120</v>
      </c>
      <c r="B51" s="59">
        <f>305+23+24+25</f>
        <v>377</v>
      </c>
      <c r="C51" s="53">
        <v>9</v>
      </c>
      <c r="D51" s="59">
        <f>23+24+25</f>
        <v>72</v>
      </c>
      <c r="E51" s="54"/>
      <c r="F51" s="54"/>
      <c r="G51" s="54"/>
      <c r="H51" s="54"/>
      <c r="I51" s="52">
        <f t="shared" si="1"/>
        <v>4.666666666666667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74">
        <v>135</v>
      </c>
      <c r="B52" s="59">
        <f>301+21+22+22</f>
        <v>366</v>
      </c>
      <c r="C52" s="53">
        <v>10</v>
      </c>
      <c r="D52" s="59">
        <f>21+22+22</f>
        <v>65</v>
      </c>
      <c r="E52" s="54"/>
      <c r="F52" s="54"/>
      <c r="G52" s="54"/>
      <c r="H52" s="54"/>
      <c r="I52" s="52">
        <f t="shared" si="1"/>
        <v>4.0666666666666664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74">
        <v>150</v>
      </c>
      <c r="B53" s="59">
        <f>298+18+19+20</f>
        <v>355</v>
      </c>
      <c r="C53" s="53">
        <v>11</v>
      </c>
      <c r="D53" s="59">
        <f>B53</f>
        <v>355</v>
      </c>
      <c r="E53" s="54"/>
      <c r="F53" s="54"/>
      <c r="G53" s="54"/>
      <c r="H53" s="54"/>
      <c r="I53" s="52">
        <f t="shared" si="1"/>
        <v>3.6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74"/>
      <c r="B54" s="59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74"/>
      <c r="B55" s="59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Aulne glutineux</v>
      </c>
      <c r="C58" s="25" t="s">
        <v>324</v>
      </c>
      <c r="D58" s="250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97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4" t="s">
        <v>185</v>
      </c>
      <c r="C60" s="287" t="s">
        <v>186</v>
      </c>
      <c r="D60" s="287"/>
      <c r="E60" s="288" t="s">
        <v>187</v>
      </c>
      <c r="F60" s="289"/>
      <c r="G60" s="289"/>
      <c r="H60" s="290"/>
      <c r="I60" s="96"/>
      <c r="J60" s="242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3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10</v>
      </c>
      <c r="B62" s="59">
        <f>(10+1)</f>
        <v>11</v>
      </c>
      <c r="C62" s="59"/>
      <c r="D62" s="59"/>
      <c r="E62" s="54"/>
      <c r="F62" s="54"/>
      <c r="G62" s="54"/>
      <c r="H62" s="54"/>
      <c r="I62" s="56">
        <f>IFERROR(B62/A62,"")</f>
        <v>1.1000000000000001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15</v>
      </c>
      <c r="B63" s="59">
        <f>40+4+1</f>
        <v>45</v>
      </c>
      <c r="C63" s="59"/>
      <c r="D63" s="59"/>
      <c r="E63" s="54"/>
      <c r="F63" s="54"/>
      <c r="G63" s="54"/>
      <c r="H63" s="54"/>
      <c r="I63" s="52">
        <f>IF(A63&lt;&gt;0,(B63-(B62-D62))/(A63-A62),"")</f>
        <v>6.8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20</v>
      </c>
      <c r="B64" s="59">
        <f>90+10+4+1</f>
        <v>105</v>
      </c>
      <c r="C64" s="59">
        <v>1</v>
      </c>
      <c r="D64" s="59">
        <f>10+4+1</f>
        <v>15</v>
      </c>
      <c r="E64" s="54"/>
      <c r="F64" s="54"/>
      <c r="G64" s="54"/>
      <c r="H64" s="54">
        <v>1</v>
      </c>
      <c r="I64" s="52">
        <f>IF(A64&lt;&gt;0,(B64-(B63-D63))/(A64-A63),"")</f>
        <v>12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25</v>
      </c>
      <c r="B65" s="59">
        <f>117+21</f>
        <v>138</v>
      </c>
      <c r="C65" s="59"/>
      <c r="D65" s="59"/>
      <c r="E65" s="54"/>
      <c r="F65" s="54"/>
      <c r="G65" s="54"/>
      <c r="H65" s="54"/>
      <c r="I65" s="52">
        <f>IF(A65&lt;&gt;0,(B65-(B64-D64))/(A65-A64),"")</f>
        <v>9.6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30</v>
      </c>
      <c r="B66" s="59">
        <f>138+23+21</f>
        <v>182</v>
      </c>
      <c r="C66" s="59">
        <v>2</v>
      </c>
      <c r="D66" s="59">
        <f>23+21</f>
        <v>44</v>
      </c>
      <c r="E66" s="54"/>
      <c r="F66" s="54">
        <v>0.2</v>
      </c>
      <c r="G66" s="54"/>
      <c r="H66" s="54">
        <v>0.8</v>
      </c>
      <c r="I66" s="52">
        <f t="shared" ref="I66:I81" si="2">IF(A66&lt;&gt;0,(B66-(B65-D65))/(A66-A65),"")</f>
        <v>8.8000000000000007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35</v>
      </c>
      <c r="B67" s="59">
        <f>156+25</f>
        <v>181</v>
      </c>
      <c r="C67" s="59"/>
      <c r="D67" s="59"/>
      <c r="E67" s="54"/>
      <c r="F67" s="54"/>
      <c r="G67" s="54"/>
      <c r="H67" s="54"/>
      <c r="I67" s="52">
        <f t="shared" si="2"/>
        <v>8.6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40</v>
      </c>
      <c r="B68" s="59">
        <f>170+25+25</f>
        <v>220</v>
      </c>
      <c r="C68" s="59">
        <v>3</v>
      </c>
      <c r="D68" s="59">
        <f>25+25</f>
        <v>50</v>
      </c>
      <c r="E68" s="54"/>
      <c r="F68" s="54"/>
      <c r="G68" s="54"/>
      <c r="H68" s="54"/>
      <c r="I68" s="52">
        <f t="shared" si="2"/>
        <v>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274">
        <v>45</v>
      </c>
      <c r="B69" s="59">
        <f>182+25</f>
        <v>207</v>
      </c>
      <c r="C69" s="59"/>
      <c r="D69" s="59"/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274">
        <v>50</v>
      </c>
      <c r="B70" s="59">
        <f>191+24+25</f>
        <v>240</v>
      </c>
      <c r="C70" s="59">
        <v>4</v>
      </c>
      <c r="D70" s="59">
        <f>21+22</f>
        <v>43</v>
      </c>
      <c r="E70" s="54"/>
      <c r="F70" s="54"/>
      <c r="G70" s="54"/>
      <c r="H70" s="54"/>
      <c r="I70" s="52">
        <f t="shared" si="2"/>
        <v>6.6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274">
        <v>55</v>
      </c>
      <c r="B71" s="59">
        <f>200+23</f>
        <v>223</v>
      </c>
      <c r="C71" s="59"/>
      <c r="D71" s="59"/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274">
        <v>60</v>
      </c>
      <c r="B72" s="59">
        <f>207+22+23</f>
        <v>252</v>
      </c>
      <c r="C72" s="59">
        <v>5</v>
      </c>
      <c r="D72" s="59">
        <f>22+23</f>
        <v>45</v>
      </c>
      <c r="E72" s="54"/>
      <c r="F72" s="54"/>
      <c r="G72" s="54"/>
      <c r="H72" s="54"/>
      <c r="I72" s="52">
        <f t="shared" si="2"/>
        <v>5.8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74">
        <v>65</v>
      </c>
      <c r="B73" s="59">
        <f>213+20</f>
        <v>233</v>
      </c>
      <c r="C73" s="59"/>
      <c r="D73" s="59"/>
      <c r="E73" s="54"/>
      <c r="F73" s="54"/>
      <c r="G73" s="54"/>
      <c r="H73" s="54"/>
      <c r="I73" s="52">
        <f t="shared" si="2"/>
        <v>5.2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274">
        <v>70</v>
      </c>
      <c r="B74" s="59">
        <f>218+19+20</f>
        <v>257</v>
      </c>
      <c r="C74" s="59">
        <v>6</v>
      </c>
      <c r="D74" s="59">
        <f>16+18</f>
        <v>34</v>
      </c>
      <c r="E74" s="54"/>
      <c r="F74" s="54"/>
      <c r="G74" s="54"/>
      <c r="H74" s="54"/>
      <c r="I74" s="52">
        <f t="shared" si="2"/>
        <v>4.8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274">
        <v>75</v>
      </c>
      <c r="B75" s="59">
        <f>223+18</f>
        <v>241</v>
      </c>
      <c r="C75" s="59"/>
      <c r="D75" s="59"/>
      <c r="E75" s="54"/>
      <c r="F75" s="54"/>
      <c r="G75" s="54"/>
      <c r="H75" s="54"/>
      <c r="I75" s="52">
        <f t="shared" si="2"/>
        <v>3.6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274">
        <v>80</v>
      </c>
      <c r="B76" s="59">
        <f>228+16+18</f>
        <v>262</v>
      </c>
      <c r="C76" s="53">
        <v>7</v>
      </c>
      <c r="D76" s="59">
        <f>16+18</f>
        <v>34</v>
      </c>
      <c r="E76" s="54"/>
      <c r="F76" s="54"/>
      <c r="G76" s="54"/>
      <c r="H76" s="54"/>
      <c r="I76" s="52">
        <f t="shared" si="2"/>
        <v>4.2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274">
        <v>85</v>
      </c>
      <c r="B77" s="59">
        <f>232+15</f>
        <v>247</v>
      </c>
      <c r="C77" s="53"/>
      <c r="D77" s="59"/>
      <c r="E77" s="54"/>
      <c r="F77" s="54"/>
      <c r="G77" s="54"/>
      <c r="H77" s="54"/>
      <c r="I77" s="52">
        <f t="shared" si="2"/>
        <v>3.8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274">
        <v>90</v>
      </c>
      <c r="B78" s="59">
        <f>236+14+15</f>
        <v>265</v>
      </c>
      <c r="C78" s="53">
        <v>8</v>
      </c>
      <c r="D78" s="59">
        <f>B78</f>
        <v>265</v>
      </c>
      <c r="E78" s="54"/>
      <c r="F78" s="54"/>
      <c r="G78" s="54"/>
      <c r="H78" s="54"/>
      <c r="I78" s="52">
        <f t="shared" si="2"/>
        <v>3.6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274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284"/>
      <c r="F80" s="284"/>
      <c r="G80" s="284"/>
      <c r="H80" s="28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Erable sycomore</v>
      </c>
      <c r="D84" s="250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97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4" t="s">
        <v>185</v>
      </c>
      <c r="C86" s="287" t="s">
        <v>186</v>
      </c>
      <c r="D86" s="287"/>
      <c r="E86" s="288" t="s">
        <v>187</v>
      </c>
      <c r="F86" s="289"/>
      <c r="G86" s="289"/>
      <c r="H86" s="290"/>
      <c r="I86" s="96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59">
        <f>(22.3+15.1)</f>
        <v>37.4</v>
      </c>
      <c r="C88" s="59"/>
      <c r="D88" s="59"/>
      <c r="E88" s="54"/>
      <c r="F88" s="54"/>
      <c r="G88" s="54"/>
      <c r="H88" s="86"/>
      <c r="I88" s="56">
        <f>IFERROR(B88/A88,"")</f>
        <v>2.4933333333333332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59">
        <f>(52+28+15.1)</f>
        <v>95.1</v>
      </c>
      <c r="C89" s="59">
        <v>1</v>
      </c>
      <c r="D89" s="59">
        <f>28+15.1</f>
        <v>43.1</v>
      </c>
      <c r="E89" s="54"/>
      <c r="F89" s="54"/>
      <c r="G89" s="54"/>
      <c r="H89" s="86">
        <v>1</v>
      </c>
      <c r="I89" s="56">
        <f t="shared" ref="I89:I107" si="3">IF(A89&lt;&gt;0,(B89-(B88-D88))/(A89-A88),"")</f>
        <v>11.54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59">
        <f>(86.5+28)</f>
        <v>114.5</v>
      </c>
      <c r="C90" s="59"/>
      <c r="D90" s="59"/>
      <c r="E90" s="86"/>
      <c r="F90" s="86"/>
      <c r="G90" s="86"/>
      <c r="H90" s="86"/>
      <c r="I90" s="56">
        <f t="shared" si="3"/>
        <v>12.500000000000002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59">
        <f>(118.5+28+28)</f>
        <v>174.5</v>
      </c>
      <c r="C91" s="59">
        <v>2</v>
      </c>
      <c r="D91" s="59">
        <f>28+28</f>
        <v>56</v>
      </c>
      <c r="E91" s="86"/>
      <c r="F91" s="86">
        <v>0.2</v>
      </c>
      <c r="G91" s="86"/>
      <c r="H91" s="86">
        <v>0.8</v>
      </c>
      <c r="I91" s="56">
        <f t="shared" si="3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59">
        <f>(144.4+28)</f>
        <v>172.4</v>
      </c>
      <c r="C92" s="59"/>
      <c r="D92" s="59"/>
      <c r="E92" s="86"/>
      <c r="F92" s="86"/>
      <c r="G92" s="86"/>
      <c r="H92" s="86"/>
      <c r="I92" s="56">
        <f t="shared" si="3"/>
        <v>10.780000000000001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59">
        <f>(163.6+28+28)</f>
        <v>219.6</v>
      </c>
      <c r="C93" s="59">
        <v>3</v>
      </c>
      <c r="D93" s="59">
        <f>28+28</f>
        <v>56</v>
      </c>
      <c r="E93" s="86"/>
      <c r="F93" s="86"/>
      <c r="G93" s="86"/>
      <c r="H93" s="86"/>
      <c r="I93" s="56">
        <f t="shared" si="3"/>
        <v>9.4399999999999977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9">
        <v>45</v>
      </c>
      <c r="B94" s="59">
        <f>(182.8+21.8)</f>
        <v>204.60000000000002</v>
      </c>
      <c r="C94" s="59"/>
      <c r="D94" s="59"/>
      <c r="E94" s="86"/>
      <c r="F94" s="86"/>
      <c r="G94" s="86"/>
      <c r="H94" s="86"/>
      <c r="I94" s="56">
        <f t="shared" si="3"/>
        <v>8.2000000000000064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9">
        <v>50</v>
      </c>
      <c r="B95" s="59">
        <f>(201.9+16.5+21.8)</f>
        <v>240.20000000000002</v>
      </c>
      <c r="C95" s="59">
        <v>4</v>
      </c>
      <c r="D95" s="59">
        <f>16.5+21.8</f>
        <v>38.299999999999997</v>
      </c>
      <c r="E95" s="54"/>
      <c r="F95" s="54"/>
      <c r="G95" s="54"/>
      <c r="H95" s="54"/>
      <c r="I95" s="56">
        <f t="shared" si="3"/>
        <v>7.1199999999999992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9">
        <v>55</v>
      </c>
      <c r="B96" s="59">
        <f>(219.1+13.4)</f>
        <v>232.5</v>
      </c>
      <c r="C96" s="59"/>
      <c r="D96" s="59"/>
      <c r="E96" s="54"/>
      <c r="F96" s="54"/>
      <c r="G96" s="54"/>
      <c r="H96" s="54"/>
      <c r="I96" s="56">
        <f t="shared" si="3"/>
        <v>6.119999999999993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9">
        <v>60</v>
      </c>
      <c r="B97" s="59">
        <f>(233.1+11.8+13.4)</f>
        <v>258.3</v>
      </c>
      <c r="C97" s="59">
        <v>5</v>
      </c>
      <c r="D97" s="59">
        <f>11.8+13.4</f>
        <v>25.200000000000003</v>
      </c>
      <c r="E97" s="54"/>
      <c r="F97" s="54"/>
      <c r="G97" s="54"/>
      <c r="H97" s="54"/>
      <c r="I97" s="56">
        <f t="shared" si="3"/>
        <v>5.1600000000000019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9">
        <v>65</v>
      </c>
      <c r="B98" s="59">
        <f>(243.9+10.9)</f>
        <v>254.8</v>
      </c>
      <c r="C98" s="59"/>
      <c r="D98" s="59"/>
      <c r="E98" s="54"/>
      <c r="F98" s="54"/>
      <c r="G98" s="54"/>
      <c r="H98" s="54"/>
      <c r="I98" s="56">
        <f t="shared" si="3"/>
        <v>4.3399999999999981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9">
        <v>70</v>
      </c>
      <c r="B99" s="59">
        <f>(252.7+10+10.9)</f>
        <v>273.59999999999997</v>
      </c>
      <c r="C99" s="59">
        <v>6</v>
      </c>
      <c r="D99" s="59">
        <f>10+10.9</f>
        <v>20.9</v>
      </c>
      <c r="E99" s="54"/>
      <c r="F99" s="54"/>
      <c r="G99" s="54"/>
      <c r="H99" s="54"/>
      <c r="I99" s="56">
        <f t="shared" si="3"/>
        <v>3.7599999999999909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9">
        <v>75</v>
      </c>
      <c r="B100" s="59">
        <f>(260.6+9.1)</f>
        <v>269.70000000000005</v>
      </c>
      <c r="C100" s="59"/>
      <c r="D100" s="59"/>
      <c r="E100" s="54"/>
      <c r="F100" s="54"/>
      <c r="G100" s="54"/>
      <c r="H100" s="54"/>
      <c r="I100" s="56">
        <f t="shared" si="3"/>
        <v>3.4000000000000172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9">
        <v>80</v>
      </c>
      <c r="B101" s="59">
        <f>(267.3+8.2+9.1)</f>
        <v>284.60000000000002</v>
      </c>
      <c r="C101" s="59">
        <v>7</v>
      </c>
      <c r="D101" s="59">
        <f>(267.3+8.2)</f>
        <v>275.5</v>
      </c>
      <c r="E101" s="54"/>
      <c r="F101" s="54"/>
      <c r="G101" s="54"/>
      <c r="H101" s="54"/>
      <c r="I101" s="56">
        <f t="shared" si="3"/>
        <v>2.9799999999999955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9"/>
      <c r="B102" s="59"/>
      <c r="C102" s="59"/>
      <c r="D102" s="59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9"/>
      <c r="B103" s="59"/>
      <c r="C103" s="59"/>
      <c r="D103" s="59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74"/>
      <c r="B104" s="59"/>
      <c r="C104" s="59"/>
      <c r="D104" s="59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74"/>
      <c r="B105" s="59"/>
      <c r="C105" s="59"/>
      <c r="D105" s="59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74"/>
      <c r="B106" s="59"/>
      <c r="C106" s="59"/>
      <c r="D106" s="59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274"/>
      <c r="B107" s="59"/>
      <c r="C107" s="59"/>
      <c r="D107" s="59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Bouleau verruqueux</v>
      </c>
      <c r="D110" s="250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97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4" t="s">
        <v>185</v>
      </c>
      <c r="C112" s="287" t="s">
        <v>186</v>
      </c>
      <c r="D112" s="287"/>
      <c r="E112" s="288" t="s">
        <v>187</v>
      </c>
      <c r="F112" s="289"/>
      <c r="G112" s="289"/>
      <c r="H112" s="290"/>
      <c r="I112" s="96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59">
        <f>42</f>
        <v>42</v>
      </c>
      <c r="C114" s="59"/>
      <c r="D114" s="59"/>
      <c r="E114" s="54"/>
      <c r="F114" s="54"/>
      <c r="G114" s="54"/>
      <c r="H114" s="54"/>
      <c r="I114" s="56">
        <f>IFERROR(B114/A114,"")</f>
        <v>2.8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59">
        <f>54+15</f>
        <v>69</v>
      </c>
      <c r="C115" s="59">
        <v>1</v>
      </c>
      <c r="D115" s="59">
        <f>15</f>
        <v>15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5.4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59">
        <f>73+10</f>
        <v>83</v>
      </c>
      <c r="C116" s="59"/>
      <c r="D116" s="59"/>
      <c r="E116" s="54"/>
      <c r="F116" s="54"/>
      <c r="G116" s="54"/>
      <c r="H116" s="54"/>
      <c r="I116" s="56">
        <f t="shared" si="4"/>
        <v>5.8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59">
        <f>92+11+10</f>
        <v>113</v>
      </c>
      <c r="C117" s="59">
        <v>2</v>
      </c>
      <c r="D117" s="59">
        <f>11+10</f>
        <v>21</v>
      </c>
      <c r="E117" s="54"/>
      <c r="F117" s="54"/>
      <c r="G117" s="54"/>
      <c r="H117" s="54">
        <v>1</v>
      </c>
      <c r="I117" s="56">
        <f t="shared" si="4"/>
        <v>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59">
        <f>109+12</f>
        <v>121</v>
      </c>
      <c r="C118" s="59"/>
      <c r="D118" s="59"/>
      <c r="E118" s="54"/>
      <c r="F118" s="54"/>
      <c r="G118" s="54"/>
      <c r="H118" s="54"/>
      <c r="I118" s="56">
        <f t="shared" si="4"/>
        <v>5.8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59">
        <f>126+13+12</f>
        <v>151</v>
      </c>
      <c r="C119" s="59">
        <v>3</v>
      </c>
      <c r="D119" s="59">
        <f>14+13</f>
        <v>27</v>
      </c>
      <c r="E119" s="54"/>
      <c r="F119" s="54"/>
      <c r="G119" s="54"/>
      <c r="H119" s="54"/>
      <c r="I119" s="56">
        <f t="shared" si="4"/>
        <v>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45</v>
      </c>
      <c r="B120" s="59">
        <f>142+14</f>
        <v>156</v>
      </c>
      <c r="C120" s="59"/>
      <c r="D120" s="59"/>
      <c r="E120" s="54"/>
      <c r="F120" s="54"/>
      <c r="G120" s="54"/>
      <c r="H120" s="54"/>
      <c r="I120" s="56">
        <f t="shared" si="4"/>
        <v>6.4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50</v>
      </c>
      <c r="B121" s="59">
        <f>157+14+14</f>
        <v>185</v>
      </c>
      <c r="C121" s="59">
        <v>4</v>
      </c>
      <c r="D121" s="59">
        <f>14+14</f>
        <v>28</v>
      </c>
      <c r="E121" s="54"/>
      <c r="F121" s="54"/>
      <c r="G121" s="54"/>
      <c r="H121" s="54"/>
      <c r="I121" s="56">
        <f t="shared" si="4"/>
        <v>5.8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55</v>
      </c>
      <c r="B122" s="59">
        <f>170+14</f>
        <v>184</v>
      </c>
      <c r="C122" s="59"/>
      <c r="D122" s="59"/>
      <c r="E122" s="54"/>
      <c r="F122" s="54"/>
      <c r="G122" s="54"/>
      <c r="H122" s="54"/>
      <c r="I122" s="56">
        <f t="shared" si="4"/>
        <v>5.4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60</v>
      </c>
      <c r="B123" s="59">
        <f>183+14+14</f>
        <v>211</v>
      </c>
      <c r="C123" s="59">
        <v>5</v>
      </c>
      <c r="D123" s="59">
        <f>14+14</f>
        <v>28</v>
      </c>
      <c r="E123" s="54"/>
      <c r="F123" s="54"/>
      <c r="G123" s="54"/>
      <c r="H123" s="54"/>
      <c r="I123" s="56">
        <f t="shared" si="4"/>
        <v>5.4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65</v>
      </c>
      <c r="B124" s="59">
        <f>194+14</f>
        <v>208</v>
      </c>
      <c r="C124" s="59"/>
      <c r="D124" s="59"/>
      <c r="E124" s="54"/>
      <c r="F124" s="54"/>
      <c r="G124" s="54"/>
      <c r="H124" s="54"/>
      <c r="I124" s="56">
        <f t="shared" si="4"/>
        <v>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70</v>
      </c>
      <c r="B125" s="59">
        <f>204+14+14</f>
        <v>232</v>
      </c>
      <c r="C125" s="59">
        <v>6</v>
      </c>
      <c r="D125" s="59">
        <f>14+14</f>
        <v>28</v>
      </c>
      <c r="E125" s="54"/>
      <c r="F125" s="54"/>
      <c r="G125" s="54"/>
      <c r="H125" s="54"/>
      <c r="I125" s="56">
        <f t="shared" si="4"/>
        <v>4.8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75</v>
      </c>
      <c r="B126" s="59">
        <f>213+14</f>
        <v>227</v>
      </c>
      <c r="C126" s="59"/>
      <c r="D126" s="59"/>
      <c r="E126" s="54"/>
      <c r="F126" s="54"/>
      <c r="G126" s="54"/>
      <c r="H126" s="54"/>
      <c r="I126" s="56">
        <f t="shared" si="4"/>
        <v>4.5999999999999996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80</v>
      </c>
      <c r="B127" s="59">
        <f>221+13+14</f>
        <v>248</v>
      </c>
      <c r="C127" s="59">
        <v>7</v>
      </c>
      <c r="D127" s="59">
        <f>13+14</f>
        <v>27</v>
      </c>
      <c r="E127" s="54"/>
      <c r="F127" s="54"/>
      <c r="G127" s="54"/>
      <c r="H127" s="54"/>
      <c r="I127" s="56">
        <f t="shared" si="4"/>
        <v>4.2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85</v>
      </c>
      <c r="B128" s="59">
        <f>228+13</f>
        <v>241</v>
      </c>
      <c r="C128" s="59"/>
      <c r="D128" s="59"/>
      <c r="E128" s="284"/>
      <c r="F128" s="284"/>
      <c r="G128" s="284"/>
      <c r="H128" s="284"/>
      <c r="I128" s="56">
        <f t="shared" si="4"/>
        <v>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90</v>
      </c>
      <c r="B129" s="59">
        <f>234+12+13</f>
        <v>259</v>
      </c>
      <c r="C129" s="59">
        <v>8</v>
      </c>
      <c r="D129" s="59">
        <f>B129</f>
        <v>259</v>
      </c>
      <c r="E129" s="284"/>
      <c r="F129" s="284"/>
      <c r="G129" s="284"/>
      <c r="H129" s="284"/>
      <c r="I129" s="56">
        <f t="shared" si="4"/>
        <v>3.6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284"/>
      <c r="F130" s="284"/>
      <c r="G130" s="284"/>
      <c r="H130" s="28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284"/>
      <c r="F131" s="284"/>
      <c r="G131" s="284"/>
      <c r="H131" s="28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284"/>
      <c r="F132" s="284"/>
      <c r="G132" s="284"/>
      <c r="H132" s="28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284"/>
      <c r="F133" s="284"/>
      <c r="G133" s="284"/>
      <c r="H133" s="28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Charme</v>
      </c>
      <c r="D136" s="250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97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4" t="s">
        <v>185</v>
      </c>
      <c r="C138" s="287" t="s">
        <v>186</v>
      </c>
      <c r="D138" s="287"/>
      <c r="E138" s="288" t="s">
        <v>187</v>
      </c>
      <c r="F138" s="289"/>
      <c r="G138" s="289"/>
      <c r="H138" s="290"/>
      <c r="I138" s="96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59">
        <f>(95+11)/1.56</f>
        <v>67.948717948717942</v>
      </c>
      <c r="C140" s="59">
        <v>1</v>
      </c>
      <c r="D140" s="59">
        <f>(15+11)/1.56</f>
        <v>16.666666666666668</v>
      </c>
      <c r="E140" s="54"/>
      <c r="F140" s="54"/>
      <c r="G140" s="54"/>
      <c r="H140" s="86">
        <v>1</v>
      </c>
      <c r="I140" s="57">
        <f>IFERROR(B140/A140,"")</f>
        <v>3.3974358974358969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30</v>
      </c>
      <c r="B141" s="59">
        <f>(163+19+15)/1.56</f>
        <v>126.28205128205128</v>
      </c>
      <c r="C141" s="59">
        <v>2</v>
      </c>
      <c r="D141" s="59">
        <f>(21+19+15)/1.56</f>
        <v>35.256410256410255</v>
      </c>
      <c r="E141" s="54"/>
      <c r="F141" s="54">
        <v>0.2</v>
      </c>
      <c r="G141" s="54"/>
      <c r="H141" s="86">
        <v>0.8</v>
      </c>
      <c r="I141" s="57">
        <f t="shared" ref="I141:I159" si="5">IF(A141&lt;&gt;0,(B141-(B140-D140))/(A141-A140),"")</f>
        <v>7.5000000000000018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35</v>
      </c>
      <c r="B142" s="59">
        <f>(192)/1.56</f>
        <v>123.07692307692307</v>
      </c>
      <c r="C142" s="59"/>
      <c r="D142" s="59"/>
      <c r="E142" s="86"/>
      <c r="F142" s="86"/>
      <c r="G142" s="86"/>
      <c r="H142" s="86"/>
      <c r="I142" s="57">
        <f t="shared" si="5"/>
        <v>6.4102564102564088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40</v>
      </c>
      <c r="B143" s="59">
        <f>(216+22)/1.56</f>
        <v>152.56410256410257</v>
      </c>
      <c r="C143" s="59">
        <v>3</v>
      </c>
      <c r="D143" s="59">
        <f>(23+22)/1.56</f>
        <v>28.846153846153847</v>
      </c>
      <c r="E143" s="86"/>
      <c r="F143" s="86"/>
      <c r="G143" s="86"/>
      <c r="H143" s="86"/>
      <c r="I143" s="57">
        <f t="shared" si="5"/>
        <v>5.8974358974359005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45</v>
      </c>
      <c r="B144" s="59">
        <f>(238)/1.56</f>
        <v>152.56410256410257</v>
      </c>
      <c r="C144" s="59"/>
      <c r="D144" s="59"/>
      <c r="E144" s="86"/>
      <c r="F144" s="86"/>
      <c r="G144" s="86"/>
      <c r="H144" s="86"/>
      <c r="I144" s="57">
        <f t="shared" si="5"/>
        <v>5.7692307692307683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50</v>
      </c>
      <c r="B145" s="59">
        <f>(257+24)/1.56</f>
        <v>180.12820512820511</v>
      </c>
      <c r="C145" s="59">
        <v>4</v>
      </c>
      <c r="D145" s="59">
        <f>(24+24)/1.56</f>
        <v>30.769230769230766</v>
      </c>
      <c r="E145" s="86"/>
      <c r="F145" s="86"/>
      <c r="G145" s="86"/>
      <c r="H145" s="86"/>
      <c r="I145" s="57">
        <f t="shared" si="5"/>
        <v>5.5128205128205083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55</v>
      </c>
      <c r="B146" s="59">
        <f>(274)/1.56</f>
        <v>175.64102564102564</v>
      </c>
      <c r="C146" s="59"/>
      <c r="D146" s="59"/>
      <c r="E146" s="86"/>
      <c r="F146" s="86"/>
      <c r="G146" s="86"/>
      <c r="H146" s="86"/>
      <c r="I146" s="57">
        <f t="shared" si="5"/>
        <v>5.2564102564102599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9">
        <v>60</v>
      </c>
      <c r="B147" s="59">
        <f>(289+23)/1.56</f>
        <v>200</v>
      </c>
      <c r="C147" s="59">
        <v>5</v>
      </c>
      <c r="D147" s="59">
        <f>(23+23)/1.56</f>
        <v>29.487179487179485</v>
      </c>
      <c r="E147" s="86"/>
      <c r="F147" s="86"/>
      <c r="G147" s="86"/>
      <c r="H147" s="86"/>
      <c r="I147" s="57">
        <f>IF(A147&lt;&gt;0,(B147-(B146-D146))/(A147-A146),"")</f>
        <v>4.8717948717948731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9">
        <v>65</v>
      </c>
      <c r="B148" s="59">
        <f>(302)/1.56</f>
        <v>193.58974358974359</v>
      </c>
      <c r="C148" s="59"/>
      <c r="D148" s="59"/>
      <c r="E148" s="86"/>
      <c r="F148" s="86"/>
      <c r="G148" s="86"/>
      <c r="H148" s="86"/>
      <c r="I148" s="57">
        <f t="shared" si="5"/>
        <v>4.6153846153846132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9">
        <v>70</v>
      </c>
      <c r="B149" s="59">
        <f>(313+23)/1.56</f>
        <v>215.38461538461539</v>
      </c>
      <c r="C149" s="59">
        <v>6</v>
      </c>
      <c r="D149" s="59">
        <f>(22+23)/1.56</f>
        <v>28.846153846153847</v>
      </c>
      <c r="E149" s="86"/>
      <c r="F149" s="86"/>
      <c r="G149" s="86"/>
      <c r="H149" s="86"/>
      <c r="I149" s="57">
        <f t="shared" si="5"/>
        <v>4.3589743589743595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9">
        <v>75</v>
      </c>
      <c r="B150" s="59">
        <f>(324)/1.56</f>
        <v>207.69230769230768</v>
      </c>
      <c r="C150" s="59"/>
      <c r="D150" s="59"/>
      <c r="E150" s="86"/>
      <c r="F150" s="86"/>
      <c r="G150" s="86"/>
      <c r="H150" s="86"/>
      <c r="I150" s="57">
        <f t="shared" si="5"/>
        <v>4.2307692307692264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9">
        <v>80</v>
      </c>
      <c r="B151" s="59">
        <f>(333+22)/1.56</f>
        <v>227.56410256410257</v>
      </c>
      <c r="C151" s="59">
        <v>7</v>
      </c>
      <c r="D151" s="59">
        <f>(21+22)/1.56</f>
        <v>27.564102564102562</v>
      </c>
      <c r="E151" s="86"/>
      <c r="F151" s="86"/>
      <c r="G151" s="86"/>
      <c r="H151" s="86"/>
      <c r="I151" s="57">
        <f t="shared" si="5"/>
        <v>3.974358974358978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9">
        <v>85</v>
      </c>
      <c r="B152" s="59">
        <f>(342)/1.56</f>
        <v>219.23076923076923</v>
      </c>
      <c r="C152" s="59"/>
      <c r="D152" s="59"/>
      <c r="E152" s="285"/>
      <c r="F152" s="285"/>
      <c r="G152" s="285"/>
      <c r="H152" s="285"/>
      <c r="I152" s="57">
        <f t="shared" si="5"/>
        <v>3.8461538461538454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9">
        <v>90</v>
      </c>
      <c r="B153" s="59">
        <f>(350+20)/1.56</f>
        <v>237.17948717948718</v>
      </c>
      <c r="C153" s="59">
        <v>8</v>
      </c>
      <c r="D153" s="59">
        <f>(20+20)/1.56</f>
        <v>25.641025641025639</v>
      </c>
      <c r="E153" s="285"/>
      <c r="F153" s="285"/>
      <c r="G153" s="285"/>
      <c r="H153" s="285"/>
      <c r="I153" s="57">
        <f t="shared" si="5"/>
        <v>3.5897435897435912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9">
        <v>95</v>
      </c>
      <c r="B154" s="59">
        <f>(358)/1.56</f>
        <v>229.48717948717947</v>
      </c>
      <c r="C154" s="59"/>
      <c r="D154" s="59"/>
      <c r="E154" s="284"/>
      <c r="F154" s="284"/>
      <c r="G154" s="284"/>
      <c r="H154" s="284"/>
      <c r="I154" s="57">
        <f t="shared" si="5"/>
        <v>3.5897435897435854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274">
        <v>100</v>
      </c>
      <c r="B155" s="59">
        <f>(365+19)/1.56</f>
        <v>246.15384615384613</v>
      </c>
      <c r="C155" s="53">
        <v>9</v>
      </c>
      <c r="D155" s="59">
        <f>(18+19)/1.56</f>
        <v>23.717948717948715</v>
      </c>
      <c r="E155" s="54"/>
      <c r="F155" s="54"/>
      <c r="G155" s="54"/>
      <c r="H155" s="54"/>
      <c r="I155" s="57">
        <f t="shared" si="5"/>
        <v>3.3333333333333313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274">
        <v>105</v>
      </c>
      <c r="B156" s="59">
        <f>(371)/1.56</f>
        <v>237.82051282051282</v>
      </c>
      <c r="C156" s="53"/>
      <c r="D156" s="59"/>
      <c r="E156" s="54"/>
      <c r="F156" s="54"/>
      <c r="G156" s="54"/>
      <c r="H156" s="54"/>
      <c r="I156" s="57">
        <f t="shared" si="5"/>
        <v>3.0769230769230829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274">
        <v>110</v>
      </c>
      <c r="B157" s="59">
        <f>(377+18)/1.56</f>
        <v>253.2051282051282</v>
      </c>
      <c r="C157" s="53">
        <v>10</v>
      </c>
      <c r="D157" s="59">
        <f>(17+18)/1.56</f>
        <v>22.435897435897434</v>
      </c>
      <c r="E157" s="54"/>
      <c r="F157" s="54"/>
      <c r="G157" s="54"/>
      <c r="H157" s="54"/>
      <c r="I157" s="57">
        <f t="shared" si="5"/>
        <v>3.0769230769230775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274">
        <v>115</v>
      </c>
      <c r="B158" s="59">
        <f>(383)/1.56</f>
        <v>245.5128205128205</v>
      </c>
      <c r="C158" s="53"/>
      <c r="D158" s="59"/>
      <c r="E158" s="54"/>
      <c r="F158" s="54"/>
      <c r="G158" s="54"/>
      <c r="H158" s="54"/>
      <c r="I158" s="57">
        <f t="shared" si="5"/>
        <v>2.9487179487179445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274">
        <v>120</v>
      </c>
      <c r="B159" s="59">
        <f>(388+17)/1.56</f>
        <v>259.61538461538458</v>
      </c>
      <c r="C159" s="53">
        <v>11</v>
      </c>
      <c r="D159" s="59">
        <f>B159</f>
        <v>259.61538461538458</v>
      </c>
      <c r="E159" s="54"/>
      <c r="F159" s="54"/>
      <c r="G159" s="54"/>
      <c r="H159" s="54"/>
      <c r="I159" s="57">
        <f t="shared" si="5"/>
        <v>2.8205128205128176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0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97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4" t="s">
        <v>185</v>
      </c>
      <c r="C164" s="287" t="s">
        <v>186</v>
      </c>
      <c r="D164" s="287"/>
      <c r="E164" s="288" t="s">
        <v>187</v>
      </c>
      <c r="F164" s="289"/>
      <c r="G164" s="289"/>
      <c r="H164" s="290"/>
      <c r="I164" s="96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59"/>
      <c r="C166" s="53"/>
      <c r="D166" s="59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59"/>
      <c r="C167" s="53"/>
      <c r="D167" s="59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283"/>
      <c r="B168" s="59"/>
      <c r="C168" s="53"/>
      <c r="D168" s="59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59"/>
      <c r="C169" s="53"/>
      <c r="D169" s="59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59"/>
      <c r="C170" s="53"/>
      <c r="D170" s="59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283"/>
      <c r="B171" s="59"/>
      <c r="C171" s="53"/>
      <c r="D171" s="59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59"/>
      <c r="C172" s="53"/>
      <c r="D172" s="59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9"/>
      <c r="C173" s="53"/>
      <c r="D173" s="59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283"/>
      <c r="B174" s="59"/>
      <c r="C174" s="53"/>
      <c r="D174" s="59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9"/>
      <c r="C175" s="53"/>
      <c r="D175" s="59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9"/>
      <c r="C176" s="53"/>
      <c r="D176" s="59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283"/>
      <c r="B177" s="59"/>
      <c r="C177" s="53"/>
      <c r="D177" s="59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9"/>
      <c r="C178" s="53"/>
      <c r="D178" s="59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9"/>
      <c r="C179" s="53"/>
      <c r="D179" s="59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9"/>
      <c r="C180" s="53"/>
      <c r="D180" s="59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9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0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97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4" t="s">
        <v>185</v>
      </c>
      <c r="C190" s="287" t="s">
        <v>186</v>
      </c>
      <c r="D190" s="287"/>
      <c r="E190" s="288" t="s">
        <v>187</v>
      </c>
      <c r="F190" s="289"/>
      <c r="G190" s="289"/>
      <c r="H190" s="290"/>
      <c r="I190" s="96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9"/>
      <c r="C192" s="59"/>
      <c r="D192" s="59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9"/>
      <c r="C193" s="59"/>
      <c r="D193" s="59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9"/>
      <c r="C194" s="59"/>
      <c r="D194" s="59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9"/>
      <c r="C195" s="59"/>
      <c r="D195" s="59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9"/>
      <c r="C196" s="59"/>
      <c r="D196" s="59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9"/>
      <c r="C197" s="59"/>
      <c r="D197" s="59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9"/>
      <c r="C198" s="59"/>
      <c r="D198" s="59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9"/>
      <c r="C199" s="59"/>
      <c r="D199" s="59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9"/>
      <c r="C200" s="59"/>
      <c r="D200" s="59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9"/>
      <c r="C201" s="59"/>
      <c r="D201" s="59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9"/>
      <c r="C202" s="59"/>
      <c r="D202" s="59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9"/>
      <c r="C203" s="59"/>
      <c r="D203" s="59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9"/>
      <c r="C204" s="59"/>
      <c r="D204" s="59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9"/>
      <c r="C205" s="59"/>
      <c r="D205" s="59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9"/>
      <c r="C206" s="59"/>
      <c r="D206" s="59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9"/>
      <c r="C207" s="59"/>
      <c r="D207" s="59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9"/>
      <c r="C208" s="59"/>
      <c r="D208" s="59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9"/>
      <c r="C209" s="59"/>
      <c r="D209" s="59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9"/>
      <c r="C210" s="59"/>
      <c r="D210" s="59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9"/>
      <c r="C211" s="59"/>
      <c r="D211" s="59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0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97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4" t="s">
        <v>185</v>
      </c>
      <c r="C216" s="287" t="s">
        <v>186</v>
      </c>
      <c r="D216" s="287"/>
      <c r="E216" s="288" t="s">
        <v>187</v>
      </c>
      <c r="F216" s="289"/>
      <c r="G216" s="289"/>
      <c r="H216" s="290"/>
      <c r="I216" s="96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59"/>
      <c r="C218" s="59"/>
      <c r="D218" s="59"/>
      <c r="E218" s="54"/>
      <c r="F218" s="54"/>
      <c r="G218" s="54"/>
      <c r="H218" s="5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59"/>
      <c r="C219" s="59"/>
      <c r="D219" s="59"/>
      <c r="E219" s="54"/>
      <c r="F219" s="54"/>
      <c r="G219" s="54"/>
      <c r="H219" s="5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59"/>
      <c r="C220" s="59"/>
      <c r="D220" s="59"/>
      <c r="E220" s="54"/>
      <c r="F220" s="54"/>
      <c r="G220" s="54"/>
      <c r="H220" s="5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/>
      <c r="B221" s="59"/>
      <c r="C221" s="59"/>
      <c r="D221" s="59"/>
      <c r="E221" s="54"/>
      <c r="F221" s="54"/>
      <c r="G221" s="54"/>
      <c r="H221" s="5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/>
      <c r="B222" s="59"/>
      <c r="C222" s="59"/>
      <c r="D222" s="59"/>
      <c r="E222" s="54"/>
      <c r="F222" s="54"/>
      <c r="G222" s="54"/>
      <c r="H222" s="5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/>
      <c r="B223" s="59"/>
      <c r="C223" s="59"/>
      <c r="D223" s="59"/>
      <c r="E223" s="54"/>
      <c r="F223" s="54"/>
      <c r="G223" s="54"/>
      <c r="H223" s="5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/>
      <c r="B224" s="59"/>
      <c r="C224" s="59"/>
      <c r="D224" s="59"/>
      <c r="E224" s="54"/>
      <c r="F224" s="54"/>
      <c r="G224" s="54"/>
      <c r="H224" s="5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274"/>
      <c r="B225" s="59"/>
      <c r="C225" s="59"/>
      <c r="D225" s="59"/>
      <c r="E225" s="54"/>
      <c r="F225" s="54"/>
      <c r="G225" s="54"/>
      <c r="H225" s="5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274"/>
      <c r="B226" s="59"/>
      <c r="C226" s="59"/>
      <c r="D226" s="59"/>
      <c r="E226" s="54"/>
      <c r="F226" s="54"/>
      <c r="G226" s="54"/>
      <c r="H226" s="5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274"/>
      <c r="B227" s="59"/>
      <c r="C227" s="59"/>
      <c r="D227" s="59"/>
      <c r="E227" s="54"/>
      <c r="F227" s="54"/>
      <c r="G227" s="54"/>
      <c r="H227" s="5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274"/>
      <c r="B228" s="59"/>
      <c r="C228" s="59"/>
      <c r="D228" s="59"/>
      <c r="E228" s="54"/>
      <c r="F228" s="54"/>
      <c r="G228" s="54"/>
      <c r="H228" s="5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274"/>
      <c r="B229" s="59"/>
      <c r="C229" s="59"/>
      <c r="D229" s="59"/>
      <c r="E229" s="54"/>
      <c r="F229" s="54"/>
      <c r="G229" s="54"/>
      <c r="H229" s="5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274"/>
      <c r="B230" s="59"/>
      <c r="C230" s="59"/>
      <c r="D230" s="59"/>
      <c r="E230" s="54"/>
      <c r="F230" s="54"/>
      <c r="G230" s="54"/>
      <c r="H230" s="54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274"/>
      <c r="B231" s="59"/>
      <c r="C231" s="59"/>
      <c r="D231" s="59"/>
      <c r="E231" s="54"/>
      <c r="F231" s="54"/>
      <c r="G231" s="54"/>
      <c r="H231" s="54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274"/>
      <c r="B232" s="59"/>
      <c r="C232" s="53"/>
      <c r="D232" s="59"/>
      <c r="E232" s="54"/>
      <c r="F232" s="54"/>
      <c r="G232" s="54"/>
      <c r="H232" s="54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274"/>
      <c r="B233" s="59"/>
      <c r="C233" s="53"/>
      <c r="D233" s="59"/>
      <c r="E233" s="54"/>
      <c r="F233" s="54"/>
      <c r="G233" s="54"/>
      <c r="H233" s="54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274"/>
      <c r="B234" s="59"/>
      <c r="C234" s="53"/>
      <c r="D234" s="59"/>
      <c r="E234" s="54"/>
      <c r="F234" s="54"/>
      <c r="G234" s="54"/>
      <c r="H234" s="54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274"/>
      <c r="B235" s="53"/>
      <c r="C235" s="53"/>
      <c r="D235" s="53"/>
      <c r="E235" s="54"/>
      <c r="F235" s="54"/>
      <c r="G235" s="54"/>
      <c r="H235" s="54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274"/>
      <c r="B236" s="53"/>
      <c r="C236" s="53"/>
      <c r="D236" s="53"/>
      <c r="E236" s="54"/>
      <c r="F236" s="54"/>
      <c r="G236" s="54"/>
      <c r="H236" s="54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274"/>
      <c r="B237" s="53"/>
      <c r="C237" s="53"/>
      <c r="D237" s="53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0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97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4" t="s">
        <v>185</v>
      </c>
      <c r="C242" s="287" t="s">
        <v>186</v>
      </c>
      <c r="D242" s="287"/>
      <c r="E242" s="288" t="s">
        <v>187</v>
      </c>
      <c r="F242" s="289"/>
      <c r="G242" s="289"/>
      <c r="H242" s="290"/>
      <c r="I242" s="96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59"/>
      <c r="C244" s="59"/>
      <c r="D244" s="59"/>
      <c r="E244" s="54"/>
      <c r="F244" s="54"/>
      <c r="G244" s="54"/>
      <c r="H244" s="5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59"/>
      <c r="C245" s="59"/>
      <c r="D245" s="59"/>
      <c r="E245" s="59"/>
      <c r="F245" s="54"/>
      <c r="G245" s="54"/>
      <c r="H245" s="5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59"/>
      <c r="C246" s="59"/>
      <c r="D246" s="59"/>
      <c r="E246" s="59"/>
      <c r="F246" s="54"/>
      <c r="G246" s="54"/>
      <c r="H246" s="5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59"/>
      <c r="C247" s="59"/>
      <c r="D247" s="59"/>
      <c r="E247" s="59"/>
      <c r="F247" s="54"/>
      <c r="G247" s="54"/>
      <c r="H247" s="5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59"/>
      <c r="C248" s="59"/>
      <c r="D248" s="59"/>
      <c r="E248" s="59"/>
      <c r="F248" s="54"/>
      <c r="G248" s="54"/>
      <c r="H248" s="5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59"/>
      <c r="C249" s="59"/>
      <c r="D249" s="59"/>
      <c r="E249" s="59"/>
      <c r="F249" s="54"/>
      <c r="G249" s="54"/>
      <c r="H249" s="5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59"/>
      <c r="C250" s="59"/>
      <c r="D250" s="59"/>
      <c r="E250" s="59"/>
      <c r="F250" s="54"/>
      <c r="G250" s="54"/>
      <c r="H250" s="5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3"/>
      <c r="B251" s="59"/>
      <c r="C251" s="59"/>
      <c r="D251" s="59"/>
      <c r="E251" s="59"/>
      <c r="F251" s="54"/>
      <c r="G251" s="54"/>
      <c r="H251" s="5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3"/>
      <c r="B252" s="59"/>
      <c r="C252" s="59"/>
      <c r="D252" s="59"/>
      <c r="E252" s="59"/>
      <c r="F252" s="54"/>
      <c r="G252" s="54"/>
      <c r="H252" s="5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3"/>
      <c r="B253" s="59"/>
      <c r="C253" s="59"/>
      <c r="D253" s="59"/>
      <c r="E253" s="59"/>
      <c r="F253" s="54"/>
      <c r="G253" s="54"/>
      <c r="H253" s="5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3"/>
      <c r="B254" s="59"/>
      <c r="C254" s="59"/>
      <c r="D254" s="59"/>
      <c r="E254" s="59"/>
      <c r="F254" s="54"/>
      <c r="G254" s="54"/>
      <c r="H254" s="5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3"/>
      <c r="B255" s="59"/>
      <c r="C255" s="59"/>
      <c r="D255" s="59"/>
      <c r="E255" s="59"/>
      <c r="F255" s="54"/>
      <c r="G255" s="54"/>
      <c r="H255" s="5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3"/>
      <c r="B256" s="59"/>
      <c r="C256" s="59"/>
      <c r="D256" s="59"/>
      <c r="E256" s="59"/>
      <c r="F256" s="54"/>
      <c r="G256" s="54"/>
      <c r="H256" s="54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53"/>
      <c r="B257" s="59"/>
      <c r="C257" s="59"/>
      <c r="D257" s="59"/>
      <c r="E257" s="59"/>
      <c r="F257" s="54"/>
      <c r="G257" s="54"/>
      <c r="H257" s="54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9"/>
      <c r="C258" s="59"/>
      <c r="D258" s="59"/>
      <c r="E258" s="59"/>
      <c r="F258" s="54"/>
      <c r="G258" s="54"/>
      <c r="H258" s="54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9"/>
      <c r="C259" s="59"/>
      <c r="D259" s="59"/>
      <c r="E259" s="59"/>
      <c r="F259" s="54"/>
      <c r="G259" s="54"/>
      <c r="H259" s="54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9"/>
      <c r="C260" s="59"/>
      <c r="D260" s="59"/>
      <c r="E260" s="59"/>
      <c r="F260" s="54"/>
      <c r="G260" s="54"/>
      <c r="H260" s="54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9"/>
      <c r="C261" s="59"/>
      <c r="D261" s="59"/>
      <c r="E261" s="59"/>
      <c r="F261" s="54"/>
      <c r="G261" s="54"/>
      <c r="H261" s="54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9"/>
      <c r="C262" s="59"/>
      <c r="D262" s="59"/>
      <c r="E262" s="59"/>
      <c r="F262" s="54"/>
      <c r="G262" s="54"/>
      <c r="H262" s="54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9"/>
      <c r="C263" s="59"/>
      <c r="D263" s="59"/>
      <c r="E263" s="59"/>
      <c r="F263" s="54"/>
      <c r="G263" s="54"/>
      <c r="H263" s="54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0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97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4" t="s">
        <v>185</v>
      </c>
      <c r="C268" s="287" t="s">
        <v>186</v>
      </c>
      <c r="D268" s="287"/>
      <c r="E268" s="288" t="s">
        <v>187</v>
      </c>
      <c r="F268" s="289"/>
      <c r="G268" s="289"/>
      <c r="H268" s="290"/>
      <c r="I268" s="96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59"/>
      <c r="C270" s="59"/>
      <c r="D270" s="59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59"/>
      <c r="C271" s="59"/>
      <c r="D271" s="59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59"/>
      <c r="C272" s="59"/>
      <c r="D272" s="59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59"/>
      <c r="C273" s="59"/>
      <c r="D273" s="59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59"/>
      <c r="C274" s="59"/>
      <c r="D274" s="59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59"/>
      <c r="C275" s="59"/>
      <c r="D275" s="59"/>
      <c r="E275" s="54"/>
      <c r="F275" s="54"/>
      <c r="G275" s="54"/>
      <c r="H275" s="5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59"/>
      <c r="C276" s="59"/>
      <c r="D276" s="59"/>
      <c r="E276" s="54"/>
      <c r="F276" s="54"/>
      <c r="G276" s="54"/>
      <c r="H276" s="5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274"/>
      <c r="B277" s="59"/>
      <c r="C277" s="59"/>
      <c r="D277" s="59"/>
      <c r="E277" s="54"/>
      <c r="F277" s="54"/>
      <c r="G277" s="54"/>
      <c r="H277" s="5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274"/>
      <c r="B278" s="59"/>
      <c r="C278" s="59"/>
      <c r="D278" s="59"/>
      <c r="E278" s="54"/>
      <c r="F278" s="54"/>
      <c r="G278" s="54"/>
      <c r="H278" s="5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274"/>
      <c r="B279" s="59"/>
      <c r="C279" s="59"/>
      <c r="D279" s="59"/>
      <c r="E279" s="54"/>
      <c r="F279" s="54"/>
      <c r="G279" s="54"/>
      <c r="H279" s="5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274"/>
      <c r="B280" s="59"/>
      <c r="C280" s="59"/>
      <c r="D280" s="59"/>
      <c r="E280" s="54"/>
      <c r="F280" s="54"/>
      <c r="G280" s="54"/>
      <c r="H280" s="5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274"/>
      <c r="B281" s="59"/>
      <c r="C281" s="59"/>
      <c r="D281" s="59"/>
      <c r="E281" s="54"/>
      <c r="F281" s="54"/>
      <c r="G281" s="54"/>
      <c r="H281" s="5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274"/>
      <c r="B282" s="59"/>
      <c r="C282" s="59"/>
      <c r="D282" s="59"/>
      <c r="E282" s="54"/>
      <c r="F282" s="54"/>
      <c r="G282" s="54"/>
      <c r="H282" s="54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274"/>
      <c r="B283" s="59"/>
      <c r="C283" s="59"/>
      <c r="D283" s="59"/>
      <c r="E283" s="54"/>
      <c r="F283" s="54"/>
      <c r="G283" s="54"/>
      <c r="H283" s="54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274"/>
      <c r="B284" s="59"/>
      <c r="C284" s="53"/>
      <c r="D284" s="59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274"/>
      <c r="B285" s="59"/>
      <c r="C285" s="53"/>
      <c r="D285" s="59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274"/>
      <c r="B286" s="59"/>
      <c r="C286" s="53"/>
      <c r="D286" s="59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274"/>
      <c r="B287" s="59"/>
      <c r="C287" s="53"/>
      <c r="D287" s="59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274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274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14" sqref="C1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98"/>
      <c r="K1" s="98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2" t="s">
        <v>191</v>
      </c>
      <c r="C2" s="303"/>
      <c r="D2" s="303"/>
      <c r="E2" s="303"/>
      <c r="F2" s="303"/>
      <c r="G2" s="304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1"/>
      <c r="C4" s="301"/>
      <c r="D4" s="301"/>
      <c r="E4" s="301"/>
      <c r="F4" s="301"/>
      <c r="G4" s="301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99" t="s">
        <v>296</v>
      </c>
      <c r="C5" s="99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28"/>
      <c r="C6" s="228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0"/>
      <c r="B7" s="29" t="s">
        <v>295</v>
      </c>
      <c r="C7" s="101" t="s">
        <v>214</v>
      </c>
      <c r="D7" s="226"/>
      <c r="E7" s="102"/>
      <c r="F7" s="29" t="s">
        <v>295</v>
      </c>
      <c r="G7" s="101" t="s">
        <v>215</v>
      </c>
      <c r="H7" s="227"/>
      <c r="I7" s="227"/>
      <c r="J7" s="227"/>
      <c r="K7" s="227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</row>
    <row r="8" spans="1:38" ht="17.25" customHeight="1" x14ac:dyDescent="0.3">
      <c r="A8" s="106">
        <v>1</v>
      </c>
      <c r="B8" s="60">
        <v>1</v>
      </c>
      <c r="C8" s="52" t="s">
        <v>177</v>
      </c>
      <c r="D8" s="25"/>
      <c r="E8" s="106">
        <v>4</v>
      </c>
      <c r="F8" s="60">
        <v>0</v>
      </c>
      <c r="G8" s="103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06">
        <v>2</v>
      </c>
      <c r="B9" s="60">
        <v>0</v>
      </c>
      <c r="C9" s="109" t="s">
        <v>216</v>
      </c>
      <c r="D9" s="25"/>
      <c r="E9" s="106">
        <v>5</v>
      </c>
      <c r="F9" s="60">
        <v>0</v>
      </c>
      <c r="G9" s="104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06">
        <v>3</v>
      </c>
      <c r="B10" s="60">
        <v>0</v>
      </c>
      <c r="C10" s="110" t="s">
        <v>217</v>
      </c>
      <c r="D10" s="25"/>
      <c r="E10" s="5"/>
      <c r="F10" s="107">
        <f>SUM(F7:F9)</f>
        <v>0</v>
      </c>
      <c r="G10" s="105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07">
        <v>0</v>
      </c>
      <c r="C11" s="105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27"/>
      <c r="B13" s="108"/>
      <c r="C13" s="99" t="s">
        <v>273</v>
      </c>
      <c r="D13" s="227"/>
      <c r="E13" s="100"/>
      <c r="F13" s="108"/>
      <c r="G13" s="99" t="s">
        <v>301</v>
      </c>
      <c r="H13" s="227"/>
      <c r="I13" s="227"/>
      <c r="J13" s="227"/>
      <c r="K13" s="227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</row>
    <row r="14" spans="1:38" s="4" customFormat="1" ht="21" customHeight="1" x14ac:dyDescent="0.3">
      <c r="A14" s="227"/>
      <c r="B14" s="108"/>
      <c r="C14" s="99" t="s">
        <v>309</v>
      </c>
      <c r="D14" s="227"/>
      <c r="E14" s="100"/>
      <c r="F14" s="108"/>
      <c r="G14" s="99" t="s">
        <v>294</v>
      </c>
      <c r="H14" s="227"/>
      <c r="I14" s="227"/>
      <c r="J14" s="227"/>
      <c r="K14" s="227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0">
        <v>1</v>
      </c>
      <c r="C16" s="111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0">
        <v>0</v>
      </c>
      <c r="C17" s="111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0">
        <v>0</v>
      </c>
      <c r="C18" s="111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07">
        <f>SUM(B16:B18)</f>
        <v>1</v>
      </c>
      <c r="C19" s="105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1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4" bestFit="1" customWidth="1"/>
    <col min="2" max="4" width="11.44140625" style="64"/>
    <col min="5" max="5" width="9.5546875" style="64" customWidth="1"/>
    <col min="6" max="7" width="11.44140625" style="64"/>
    <col min="8" max="8" width="10.6640625" style="64" customWidth="1"/>
    <col min="9" max="9" width="9.44140625" style="64" customWidth="1"/>
    <col min="10" max="11" width="10.5546875" style="64" bestFit="1" customWidth="1"/>
    <col min="12" max="12" width="14" style="64" bestFit="1" customWidth="1"/>
    <col min="13" max="13" width="14" style="64" customWidth="1"/>
    <col min="14" max="23" width="11.44140625" style="64"/>
    <col min="24" max="24" width="11.6640625" style="64" bestFit="1" customWidth="1"/>
    <col min="25" max="25" width="14.5546875" style="64" bestFit="1" customWidth="1"/>
    <col min="26" max="26" width="12.44140625" style="64" bestFit="1" customWidth="1"/>
    <col min="27" max="27" width="9.6640625" style="64" bestFit="1" customWidth="1"/>
    <col min="28" max="28" width="11" style="64" bestFit="1" customWidth="1"/>
    <col min="29" max="29" width="9.44140625" style="64" bestFit="1" customWidth="1"/>
    <col min="30" max="31" width="9.44140625" style="64" customWidth="1"/>
    <col min="32" max="32" width="11.44140625" style="64"/>
    <col min="33" max="34" width="14" style="64" bestFit="1" customWidth="1"/>
    <col min="35" max="35" width="10.5546875" style="64" bestFit="1" customWidth="1"/>
    <col min="36" max="36" width="9.44140625" style="64" bestFit="1" customWidth="1"/>
    <col min="37" max="38" width="10.5546875" style="64" bestFit="1" customWidth="1"/>
    <col min="39" max="41" width="10.5546875" style="64" customWidth="1"/>
    <col min="42" max="42" width="9" style="64" bestFit="1" customWidth="1"/>
    <col min="43" max="43" width="10.5546875" style="64" bestFit="1" customWidth="1"/>
    <col min="44" max="44" width="9.33203125" style="64" bestFit="1" customWidth="1"/>
    <col min="45" max="45" width="11.6640625" style="64" bestFit="1" customWidth="1"/>
    <col min="46" max="46" width="8.44140625" style="64" bestFit="1" customWidth="1"/>
    <col min="47" max="47" width="9.44140625" style="64" bestFit="1" customWidth="1"/>
    <col min="48" max="48" width="9.6640625" style="64" bestFit="1" customWidth="1"/>
    <col min="49" max="49" width="11" style="64" bestFit="1" customWidth="1"/>
    <col min="50" max="50" width="9.44140625" style="64" bestFit="1" customWidth="1"/>
    <col min="51" max="52" width="9.44140625" style="64" customWidth="1"/>
    <col min="53" max="53" width="10.5546875" style="64" bestFit="1" customWidth="1"/>
    <col min="54" max="54" width="14.33203125" style="64" customWidth="1"/>
    <col min="55" max="55" width="14" style="64" customWidth="1"/>
    <col min="56" max="56" width="10.5546875" style="64" bestFit="1" customWidth="1"/>
    <col min="57" max="57" width="9.44140625" style="64" bestFit="1" customWidth="1"/>
    <col min="58" max="59" width="10.5546875" style="64" bestFit="1" customWidth="1"/>
    <col min="60" max="62" width="10.5546875" style="64" customWidth="1"/>
    <col min="63" max="63" width="9" style="64" bestFit="1" customWidth="1"/>
    <col min="64" max="64" width="10.5546875" style="64" bestFit="1" customWidth="1"/>
    <col min="65" max="65" width="9.33203125" style="64" bestFit="1" customWidth="1"/>
    <col min="66" max="66" width="11.6640625" style="64" bestFit="1" customWidth="1"/>
    <col min="67" max="67" width="8.44140625" style="64" bestFit="1" customWidth="1"/>
    <col min="68" max="68" width="9.44140625" style="64" bestFit="1" customWidth="1"/>
    <col min="69" max="69" width="9.6640625" style="64" bestFit="1" customWidth="1"/>
    <col min="70" max="70" width="11" style="64" bestFit="1" customWidth="1"/>
    <col min="71" max="71" width="9.44140625" style="64" bestFit="1" customWidth="1"/>
    <col min="72" max="73" width="9.44140625" style="64" customWidth="1"/>
    <col min="74" max="74" width="10.5546875" style="64" bestFit="1" customWidth="1"/>
    <col min="75" max="75" width="14" style="64" bestFit="1" customWidth="1"/>
    <col min="76" max="76" width="13.88671875" style="64" customWidth="1"/>
    <col min="77" max="77" width="10.5546875" style="64" bestFit="1" customWidth="1"/>
    <col min="78" max="78" width="9.44140625" style="64" bestFit="1" customWidth="1"/>
    <col min="79" max="80" width="10.5546875" style="64" bestFit="1" customWidth="1"/>
    <col min="81" max="83" width="10.5546875" style="64" customWidth="1"/>
    <col min="84" max="84" width="11.44140625" style="64"/>
    <col min="85" max="85" width="10.5546875" style="64" bestFit="1" customWidth="1"/>
    <col min="86" max="86" width="9.33203125" style="64" bestFit="1" customWidth="1"/>
    <col min="87" max="87" width="11.6640625" style="64" bestFit="1" customWidth="1"/>
    <col min="88" max="88" width="8.44140625" style="64" bestFit="1" customWidth="1"/>
    <col min="89" max="89" width="9.44140625" style="64" bestFit="1" customWidth="1"/>
    <col min="90" max="90" width="9.6640625" style="64" bestFit="1" customWidth="1"/>
    <col min="91" max="91" width="11" style="64" bestFit="1" customWidth="1"/>
    <col min="92" max="92" width="9.44140625" style="64" bestFit="1" customWidth="1"/>
    <col min="93" max="94" width="9.44140625" style="64" customWidth="1"/>
    <col min="95" max="95" width="11.44140625" style="64"/>
    <col min="96" max="97" width="14" style="64" customWidth="1"/>
    <col min="98" max="98" width="10.5546875" style="64" bestFit="1" customWidth="1"/>
    <col min="99" max="99" width="9.44140625" style="64" bestFit="1" customWidth="1"/>
    <col min="100" max="101" width="10.5546875" style="64" bestFit="1" customWidth="1"/>
    <col min="102" max="104" width="10.5546875" style="64" customWidth="1"/>
    <col min="105" max="105" width="9" style="64" bestFit="1" customWidth="1"/>
    <col min="106" max="106" width="10.5546875" style="64" bestFit="1" customWidth="1"/>
    <col min="107" max="107" width="9.33203125" style="64" bestFit="1" customWidth="1"/>
    <col min="108" max="108" width="11.6640625" style="64" bestFit="1" customWidth="1"/>
    <col min="109" max="109" width="8.44140625" style="64" bestFit="1" customWidth="1"/>
    <col min="110" max="110" width="9.44140625" style="64" bestFit="1" customWidth="1"/>
    <col min="111" max="111" width="9.6640625" style="64" bestFit="1" customWidth="1"/>
    <col min="112" max="112" width="11" style="64" bestFit="1" customWidth="1"/>
    <col min="113" max="113" width="9.44140625" style="64" bestFit="1" customWidth="1"/>
    <col min="114" max="115" width="9.44140625" style="64" customWidth="1"/>
    <col min="116" max="116" width="10.5546875" style="64" bestFit="1" customWidth="1"/>
    <col min="117" max="117" width="14.33203125" style="64" customWidth="1"/>
    <col min="118" max="118" width="14" style="64" bestFit="1" customWidth="1"/>
    <col min="119" max="119" width="10.5546875" style="64" bestFit="1" customWidth="1"/>
    <col min="120" max="120" width="9.44140625" style="64" bestFit="1" customWidth="1"/>
    <col min="121" max="122" width="10.5546875" style="64" bestFit="1" customWidth="1"/>
    <col min="123" max="125" width="10.5546875" style="64" customWidth="1"/>
    <col min="126" max="126" width="9" style="64" bestFit="1" customWidth="1"/>
    <col min="127" max="127" width="10.5546875" style="64" bestFit="1" customWidth="1"/>
    <col min="128" max="128" width="9.33203125" style="64" bestFit="1" customWidth="1"/>
    <col min="129" max="129" width="11.6640625" style="64" bestFit="1" customWidth="1"/>
    <col min="130" max="130" width="8.44140625" style="64" bestFit="1" customWidth="1"/>
    <col min="131" max="131" width="9.44140625" style="64" bestFit="1" customWidth="1"/>
    <col min="132" max="132" width="9.6640625" style="64" bestFit="1" customWidth="1"/>
    <col min="133" max="133" width="11" style="64" bestFit="1" customWidth="1"/>
    <col min="134" max="134" width="9.44140625" style="64" bestFit="1" customWidth="1"/>
    <col min="135" max="136" width="9.44140625" style="64" customWidth="1"/>
    <col min="137" max="137" width="10.5546875" style="64" bestFit="1" customWidth="1"/>
    <col min="138" max="139" width="14" style="64" customWidth="1"/>
    <col min="140" max="140" width="10.5546875" style="64" bestFit="1" customWidth="1"/>
    <col min="141" max="141" width="9.44140625" style="64" bestFit="1" customWidth="1"/>
    <col min="142" max="143" width="10.5546875" style="64" bestFit="1" customWidth="1"/>
    <col min="144" max="146" width="10.5546875" style="64" customWidth="1"/>
    <col min="147" max="147" width="9" style="64" bestFit="1" customWidth="1"/>
    <col min="148" max="148" width="10.5546875" style="64" bestFit="1" customWidth="1"/>
    <col min="149" max="149" width="9.33203125" style="64" bestFit="1" customWidth="1"/>
    <col min="150" max="150" width="11.6640625" style="64" bestFit="1" customWidth="1"/>
    <col min="151" max="151" width="8.44140625" style="64" bestFit="1" customWidth="1"/>
    <col min="152" max="152" width="9.44140625" style="64" bestFit="1" customWidth="1"/>
    <col min="153" max="153" width="9.6640625" style="64" bestFit="1" customWidth="1"/>
    <col min="154" max="154" width="11" style="64" bestFit="1" customWidth="1"/>
    <col min="155" max="155" width="9.44140625" style="64" bestFit="1" customWidth="1"/>
    <col min="156" max="157" width="9.44140625" style="64" customWidth="1"/>
    <col min="158" max="158" width="11.44140625" style="64"/>
    <col min="159" max="160" width="14" style="64" bestFit="1" customWidth="1"/>
    <col min="161" max="161" width="10.5546875" style="64" bestFit="1" customWidth="1"/>
    <col min="162" max="162" width="9.44140625" style="64" bestFit="1" customWidth="1"/>
    <col min="163" max="164" width="10.5546875" style="64" bestFit="1" customWidth="1"/>
    <col min="165" max="167" width="10.5546875" style="64" customWidth="1"/>
    <col min="168" max="168" width="9" style="64" bestFit="1" customWidth="1"/>
    <col min="169" max="169" width="10.5546875" style="64" bestFit="1" customWidth="1"/>
    <col min="170" max="170" width="9.33203125" style="64" bestFit="1" customWidth="1"/>
    <col min="171" max="171" width="11.6640625" style="64" bestFit="1" customWidth="1"/>
    <col min="172" max="172" width="8.109375" style="64" bestFit="1" customWidth="1"/>
    <col min="173" max="173" width="9.44140625" style="64" bestFit="1" customWidth="1"/>
    <col min="174" max="174" width="9.6640625" style="64" bestFit="1" customWidth="1"/>
    <col min="175" max="175" width="11" style="64" bestFit="1" customWidth="1"/>
    <col min="176" max="176" width="9.44140625" style="64" bestFit="1" customWidth="1"/>
    <col min="177" max="178" width="9.44140625" style="64" customWidth="1"/>
    <col min="179" max="179" width="10.5546875" style="64" bestFit="1" customWidth="1"/>
    <col min="180" max="181" width="14" style="64" bestFit="1" customWidth="1"/>
    <col min="182" max="182" width="10.5546875" style="64" bestFit="1" customWidth="1"/>
    <col min="183" max="183" width="9.44140625" style="64" bestFit="1" customWidth="1"/>
    <col min="184" max="185" width="10.5546875" style="64" bestFit="1" customWidth="1"/>
    <col min="186" max="188" width="10.5546875" style="64" customWidth="1"/>
    <col min="189" max="189" width="9" style="64" bestFit="1" customWidth="1"/>
    <col min="190" max="190" width="10.5546875" style="64" bestFit="1" customWidth="1"/>
    <col min="191" max="191" width="9.33203125" style="64" bestFit="1" customWidth="1"/>
    <col min="192" max="192" width="11.44140625" style="64"/>
    <col min="193" max="193" width="8.44140625" style="64" bestFit="1" customWidth="1"/>
    <col min="194" max="194" width="9.44140625" style="64" bestFit="1" customWidth="1"/>
    <col min="195" max="195" width="9.6640625" style="64" bestFit="1" customWidth="1"/>
    <col min="196" max="196" width="11" style="64" bestFit="1" customWidth="1"/>
    <col min="197" max="197" width="9.44140625" style="64" bestFit="1" customWidth="1"/>
    <col min="198" max="199" width="9.44140625" style="64" customWidth="1"/>
    <col min="200" max="200" width="10.5546875" style="64" bestFit="1" customWidth="1"/>
    <col min="201" max="201" width="14" style="64" customWidth="1"/>
    <col min="202" max="202" width="14.33203125" style="64" customWidth="1"/>
    <col min="203" max="203" width="10.5546875" style="64" bestFit="1" customWidth="1"/>
    <col min="204" max="204" width="9.44140625" style="64" bestFit="1" customWidth="1"/>
    <col min="205" max="206" width="10.5546875" style="64" bestFit="1" customWidth="1"/>
    <col min="207" max="209" width="10.5546875" style="64" customWidth="1"/>
    <col min="210" max="210" width="9" style="64" bestFit="1" customWidth="1"/>
    <col min="211" max="211" width="10.5546875" style="64" bestFit="1" customWidth="1"/>
    <col min="212" max="212" width="9.33203125" style="64" bestFit="1" customWidth="1"/>
    <col min="213" max="213" width="11.6640625" style="64" bestFit="1" customWidth="1"/>
    <col min="214" max="214" width="8.44140625" style="64" bestFit="1" customWidth="1"/>
    <col min="215" max="215" width="9.44140625" style="64" bestFit="1" customWidth="1"/>
    <col min="216" max="216" width="9.6640625" style="64" bestFit="1" customWidth="1"/>
    <col min="217" max="217" width="11" style="64" bestFit="1" customWidth="1"/>
    <col min="218" max="218" width="9.44140625" style="64" bestFit="1" customWidth="1"/>
    <col min="219" max="16384" width="11.44140625" style="64"/>
  </cols>
  <sheetData>
    <row r="1" spans="1:218" s="5" customFormat="1" ht="26.4" thickBot="1" x14ac:dyDescent="0.55000000000000004">
      <c r="B1" s="308" t="s">
        <v>176</v>
      </c>
      <c r="C1" s="309"/>
      <c r="D1" s="309"/>
      <c r="E1" s="309"/>
      <c r="F1" s="309"/>
      <c r="G1" s="309"/>
      <c r="H1" s="310"/>
      <c r="I1" s="305" t="str">
        <f>IF('Données projet'!$B$9="","",'Données projet'!$B$9)</f>
        <v>Chêne pédonculé</v>
      </c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7"/>
      <c r="AD1" s="306" t="str">
        <f>IF('Données projet'!$B$10="","",'Données projet'!$B$10)</f>
        <v>Aulne glutineux</v>
      </c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7"/>
      <c r="AY1" s="305" t="str">
        <f>IF('Données projet'!$B$11="","",'Données projet'!$B$11)</f>
        <v>Erable sycomore</v>
      </c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7"/>
      <c r="BT1" s="305" t="str">
        <f>IF('Données projet'!$B$12="","",'Données projet'!$B$12)</f>
        <v>Bouleau verruqueux</v>
      </c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7"/>
      <c r="CO1" s="305" t="str">
        <f>IF('Données projet'!$B$13="","",'Données projet'!$B$13)</f>
        <v>Charme</v>
      </c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7"/>
      <c r="DJ1" s="305" t="str">
        <f>IF('Données projet'!$B$14="","",'Données projet'!$B$14)</f>
        <v/>
      </c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6"/>
      <c r="DZ1" s="306"/>
      <c r="EA1" s="306"/>
      <c r="EB1" s="306"/>
      <c r="EC1" s="306"/>
      <c r="ED1" s="307"/>
      <c r="EE1" s="305" t="str">
        <f>IF('Données projet'!$B$15="","",'Données projet'!$B$15)</f>
        <v/>
      </c>
      <c r="EF1" s="306"/>
      <c r="EG1" s="306"/>
      <c r="EH1" s="306"/>
      <c r="EI1" s="306"/>
      <c r="EJ1" s="306"/>
      <c r="EK1" s="306"/>
      <c r="EL1" s="306"/>
      <c r="EM1" s="306"/>
      <c r="EN1" s="306"/>
      <c r="EO1" s="306"/>
      <c r="EP1" s="306"/>
      <c r="EQ1" s="306"/>
      <c r="ER1" s="306"/>
      <c r="ES1" s="306"/>
      <c r="ET1" s="306"/>
      <c r="EU1" s="306"/>
      <c r="EV1" s="306"/>
      <c r="EW1" s="306"/>
      <c r="EX1" s="306"/>
      <c r="EY1" s="307"/>
      <c r="EZ1" s="305" t="str">
        <f>IF('Données projet'!$B$16="","",'Données projet'!$B$16)</f>
        <v/>
      </c>
      <c r="FA1" s="306"/>
      <c r="FB1" s="306"/>
      <c r="FC1" s="306"/>
      <c r="FD1" s="306"/>
      <c r="FE1" s="306"/>
      <c r="FF1" s="306"/>
      <c r="FG1" s="306"/>
      <c r="FH1" s="306"/>
      <c r="FI1" s="306"/>
      <c r="FJ1" s="306"/>
      <c r="FK1" s="306"/>
      <c r="FL1" s="306"/>
      <c r="FM1" s="306"/>
      <c r="FN1" s="306"/>
      <c r="FO1" s="306"/>
      <c r="FP1" s="306"/>
      <c r="FQ1" s="306"/>
      <c r="FR1" s="306"/>
      <c r="FS1" s="306"/>
      <c r="FT1" s="307"/>
      <c r="FU1" s="305" t="str">
        <f>IF('Données projet'!$B$17="","",'Données projet'!$B$17)</f>
        <v/>
      </c>
      <c r="FV1" s="306"/>
      <c r="FW1" s="306"/>
      <c r="FX1" s="306"/>
      <c r="FY1" s="306"/>
      <c r="FZ1" s="306"/>
      <c r="GA1" s="306"/>
      <c r="GB1" s="306"/>
      <c r="GC1" s="306"/>
      <c r="GD1" s="306"/>
      <c r="GE1" s="306"/>
      <c r="GF1" s="306"/>
      <c r="GG1" s="306"/>
      <c r="GH1" s="306"/>
      <c r="GI1" s="306"/>
      <c r="GJ1" s="306"/>
      <c r="GK1" s="306"/>
      <c r="GL1" s="306"/>
      <c r="GM1" s="306"/>
      <c r="GN1" s="306"/>
      <c r="GO1" s="307"/>
      <c r="GP1" s="305" t="str">
        <f>IF('Données projet'!$B$18="","",'Données projet'!$B$18)</f>
        <v/>
      </c>
      <c r="GQ1" s="306"/>
      <c r="GR1" s="306"/>
      <c r="GS1" s="306"/>
      <c r="GT1" s="306"/>
      <c r="GU1" s="306"/>
      <c r="GV1" s="306"/>
      <c r="GW1" s="306"/>
      <c r="GX1" s="306"/>
      <c r="GY1" s="306"/>
      <c r="GZ1" s="306"/>
      <c r="HA1" s="306"/>
      <c r="HB1" s="306"/>
      <c r="HC1" s="306"/>
      <c r="HD1" s="306"/>
      <c r="HE1" s="306"/>
      <c r="HF1" s="306"/>
      <c r="HG1" s="306"/>
      <c r="HH1" s="306"/>
      <c r="HI1" s="306"/>
      <c r="HJ1" s="307"/>
    </row>
    <row r="2" spans="1:218" s="5" customFormat="1" ht="58.2" thickBot="1" x14ac:dyDescent="0.35">
      <c r="A2" s="68" t="s">
        <v>178</v>
      </c>
      <c r="B2" s="69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2" t="s">
        <v>299</v>
      </c>
      <c r="I2" s="65" t="s">
        <v>298</v>
      </c>
      <c r="J2" s="66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66" t="s">
        <v>298</v>
      </c>
      <c r="AE2" s="66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5" t="s">
        <v>298</v>
      </c>
      <c r="AZ2" s="66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5" t="s">
        <v>298</v>
      </c>
      <c r="BU2" s="66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5" t="s">
        <v>298</v>
      </c>
      <c r="CP2" s="66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5" t="s">
        <v>298</v>
      </c>
      <c r="DK2" s="66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5" t="s">
        <v>298</v>
      </c>
      <c r="EF2" s="66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5" t="s">
        <v>298</v>
      </c>
      <c r="FA2" s="66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5" t="s">
        <v>298</v>
      </c>
      <c r="FV2" s="66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5" t="s">
        <v>298</v>
      </c>
      <c r="GQ2" s="66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0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3">
        <f>(B3+E3+F3)*44/12+(C3+D3)*0.475*44/12</f>
        <v>183.33333333333334</v>
      </c>
      <c r="I3" s="6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58">
        <f t="shared" ref="R3:R66" si="0">Q3+(I3+J3)*44/12</f>
        <v>165</v>
      </c>
      <c r="S3" s="58">
        <f ca="1">AVERAGE(OFFSET($R$3,0,0,'Données projet'!$E$9+1,1))-AVERAGE(OFFSET($H$3,0,0,'Données projet'!$E$9+1,1))</f>
        <v>527.70171871461309</v>
      </c>
      <c r="T3" s="58">
        <f>IF('Données projet'!E9&gt;30,$R$33-$H$33,LOOKUP('Données projet'!$E$9,$A$3:$A$203,R3:R203)-LOOKUP('Données projet'!$E$9,$A$3:$A$203,$H$3:$H$203))</f>
        <v>281.06176764290592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58">
        <f>AL3+(AD3+AE3)*44/12</f>
        <v>165</v>
      </c>
      <c r="AN3" s="58">
        <f ca="1">AVERAGE(OFFSET($AM$3,0,0,'Données projet'!$E$10+1,1))-AVERAGE(OFFSET($H$3,0,0,'Données projet'!$E$10+1,1))</f>
        <v>302.53318056366777</v>
      </c>
      <c r="AO3" s="58">
        <f>IF('Données projet'!E10&gt;30,$AM$33-$H$33,LOOKUP('Données projet'!$E$10,$A$3:$A$203,AM3:AM203)-LOOKUP('Données projet'!$E$10,$A$3:$A$203,$H$3:$H$203))</f>
        <v>318.32262615164541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58">
        <f>BG3+(AY3+AZ3)*44/12</f>
        <v>165</v>
      </c>
      <c r="BI3" s="58">
        <f ca="1">AVERAGE(OFFSET($BH$3,0,0,'Données projet'!$E$11+1,1))-AVERAGE(OFFSET($H$3,0,0,'Données projet'!$E$11+1,1))</f>
        <v>336.25341821407534</v>
      </c>
      <c r="BJ3" s="58">
        <f>IF('Données projet'!E11&gt;30,$BH$33-$H$33,LOOKUP('Données projet'!$E$11,$A$3:$A$203,BH3:BH203)-LOOKUP('Données projet'!$E$11,$A$3:$A$203,$H$3:$H$203))</f>
        <v>360.3246221345039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58">
        <f>CB3+(BT3+BU3)*44/12</f>
        <v>165</v>
      </c>
      <c r="CD3" s="58">
        <f ca="1">AVERAGE(OFFSET($CC$3,0,0,'Données projet'!$E$12+1,1))-AVERAGE(OFFSET($H$3,0,0,'Données projet'!$E$12+1,1))</f>
        <v>308.58270639204238</v>
      </c>
      <c r="CE3" s="58">
        <f>IF('Données projet'!E12&gt;30,$CC$33-$H$33,LOOKUP('Données projet'!$E$12,$A$3:$A$203,CC3:CC203)-LOOKUP('Données projet'!$E$12,$A$3:$A$203,$H$3:$H$203))</f>
        <v>258.90832875500325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58">
        <f>CW3+(CO3+CP3)*44/12</f>
        <v>165</v>
      </c>
      <c r="CY3" s="58">
        <f ca="1">AVERAGE(OFFSET($CX$3,0,0,'Données projet'!$E$13+1,1))-AVERAGE(OFFSET($H$3,0,0,'Données projet'!$E$13+1,1))</f>
        <v>397.61813291201469</v>
      </c>
      <c r="CZ3" s="58">
        <f>IF('Données projet'!E13&gt;30,$CX$33-$H$33,LOOKUP('Données projet'!$E$13,$A$3:$A$203,CX3:CX203)-LOOKUP('Données projet'!$E$13,$A$3:$A$203,$H$3:$H$203))</f>
        <v>320.30651625485064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58" t="e">
        <f>DR3+(DJ3+DK3)*44/12</f>
        <v>#N/A</v>
      </c>
      <c r="DT3" s="58" t="e">
        <f ca="1">AVERAGE(OFFSET($DS$3,0,0,'Données projet'!$E$14+1,1))-AVERAGE(OFFSET($H$3,0,0,'Données projet'!$E$14+1,1))</f>
        <v>#N/A</v>
      </c>
      <c r="DU3" s="58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58" t="e">
        <f>EM3+(EE3+EF3)*44/12</f>
        <v>#N/A</v>
      </c>
      <c r="EO3" s="58" t="e">
        <f ca="1">AVERAGE(OFFSET($EN$3,0,0,'Données projet'!$E$15+1,1))-AVERAGE(OFFSET($H$3,0,0,'Données projet'!$E$15+1,1))</f>
        <v>#N/A</v>
      </c>
      <c r="EP3" s="58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58" t="e">
        <f>FH3+(EZ3+FA3)*44/12</f>
        <v>#N/A</v>
      </c>
      <c r="FJ3" s="58" t="e">
        <f ca="1">AVERAGE(OFFSET($FI$3,0,0,'Données projet'!$E$16+1,1))-AVERAGE(OFFSET($H$3,0,0,'Données projet'!$E$16+1,1))</f>
        <v>#N/A</v>
      </c>
      <c r="FK3" s="58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58" t="e">
        <f>GC3+(FU3+FV3)*44/12</f>
        <v>#N/A</v>
      </c>
      <c r="GE3" s="58" t="e">
        <f ca="1">AVERAGE(OFFSET($GD$3,0,0,'Données projet'!$E$17+1,1))-AVERAGE(OFFSET($H$3,0,0,'Données projet'!$E$17+1,1))</f>
        <v>#N/A</v>
      </c>
      <c r="GF3" s="58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58" t="e">
        <f>GX3+(GP3+GQ3)*44/12</f>
        <v>#N/A</v>
      </c>
      <c r="GZ3" s="58" t="e">
        <f ca="1">AVERAGE(OFFSET($GY$3,0,0,'Données projet'!$E$18+1,1))-AVERAGE(OFFSET($H$3,0,0,'Données projet'!$E$18+1,1))</f>
        <v>#N/A</v>
      </c>
      <c r="HA3" s="58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0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3">
        <f t="shared" ref="H4:H67" si="1">(B4+E4+F4)*44/12+(C4+D4)*0.475*44/12</f>
        <v>183.33333333333334</v>
      </c>
      <c r="I4" s="6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1.0439615443779955</v>
      </c>
      <c r="P4" s="14">
        <f>EXP(-1.0587+0.8836*LN(O4)+0.284)</f>
        <v>0.478698084995758</v>
      </c>
      <c r="Q4" s="22">
        <f t="shared" ref="Q4:Q34" si="2">(O4+P4)*0.475*44/12</f>
        <v>2.6519655211592874</v>
      </c>
      <c r="R4" s="58">
        <f t="shared" si="0"/>
        <v>170.46439947408314</v>
      </c>
      <c r="S4" s="58">
        <f ca="1">AVERAGE(OFFSET($R$3,0,0,'Données projet'!$E$9+1,1))-AVERAGE(OFFSET($H$3,0,0,'Données projet'!$E$9+1,1))</f>
        <v>527.70171871461309</v>
      </c>
      <c r="T4" s="58">
        <f>$T$3</f>
        <v>281.06176764290592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1.1000000000000001</v>
      </c>
      <c r="AI4" s="14">
        <f>IF('Données projet'!$A$62&gt;35,AI3+AH4-AQ3,IF(A4&lt;'Données projet'!$A$62,$AF$205^A4,IF(A4='Données projet'!$A$62,'Données projet'!$B$62,AI3+AH4-AQ3)))</f>
        <v>1.2709816152101407</v>
      </c>
      <c r="AJ4" s="14">
        <f>AI4*VLOOKUP('Données projet'!$B$10,Paramètres!$A$1:$I$89,3,0)*VLOOKUP('Données projet'!$B$10,Paramètres!$A$1:$I$89,5,0)</f>
        <v>0.83274715428568413</v>
      </c>
      <c r="AK4" s="14">
        <f>EXP(-1.0587+0.8836*LN(AJ4)+0.284)</f>
        <v>0.39202836439738087</v>
      </c>
      <c r="AL4" s="22">
        <f t="shared" ref="AL4:AL67" si="4">(AJ4+AK4)*0.475*44/12</f>
        <v>2.1331506950396717</v>
      </c>
      <c r="AM4" s="58">
        <f t="shared" ref="AM4:AM67" si="5">AL4+(AD4+AE4)*44/12</f>
        <v>169.9455846479635</v>
      </c>
      <c r="AN4" s="58">
        <f ca="1">AVERAGE(OFFSET($AM$3,0,0,'Données projet'!$E$10+1,1))-AVERAGE(OFFSET($H$3,0,0,'Données projet'!$E$10+1,1))</f>
        <v>302.53318056366777</v>
      </c>
      <c r="AO4" s="58">
        <f>$AO$3</f>
        <v>318.32262615164541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2.4933333333333332</v>
      </c>
      <c r="BD4" s="13">
        <f>IF('Données projet'!$A$88&gt;35,BD3+BC4-BL3,IF(A4&lt;'Données projet'!$A$88,$BA$205^A4,IF(A4='Données projet'!$A$88,'Données projet'!$B$88,BD3+BC4-BL3)))</f>
        <v>1.2730870686066207</v>
      </c>
      <c r="BE4" s="14">
        <f>BD4*VLOOKUP('Données projet'!$B$11,Paramètres!$A$1:$I$89,3,0)*VLOOKUP('Données projet'!$B$11,Paramètres!$A$1:$I$89,5,0)</f>
        <v>1.0128680717834275</v>
      </c>
      <c r="BF4" s="14">
        <f>EXP(-1.0587+0.8836*LN(BE4)+0.284)</f>
        <v>0.46607798613582108</v>
      </c>
      <c r="BG4" s="22">
        <f t="shared" ref="BG4:BG67" si="7">(BE4+BF4)*0.475*44/12</f>
        <v>2.5758310508760247</v>
      </c>
      <c r="BH4" s="58">
        <f t="shared" ref="BH4:BH67" si="8">BG4+(AY4+AZ4)*44/12</f>
        <v>170.38826500379986</v>
      </c>
      <c r="BI4" s="58">
        <f ca="1">AVERAGE(OFFSET($BH$3,0,0,'Données projet'!$E$11+1,1))-AVERAGE(OFFSET($H$3,0,0,'Données projet'!$E$11+1,1))</f>
        <v>336.25341821407534</v>
      </c>
      <c r="BJ4" s="58">
        <f>$BJ$3</f>
        <v>360.3246221345039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2.8</v>
      </c>
      <c r="BY4" s="13">
        <f>IF('Données projet'!$A$114&gt;35,BY3+BX4-CG3,IF(A4&lt;'Données projet'!$A$114,$BV$205^A4,IF(A4='Données projet'!$A$114,'Données projet'!$B$114,BY3+BX4-CG3)))</f>
        <v>1.282970348825361</v>
      </c>
      <c r="BZ4" s="14">
        <f>BY4*VLOOKUP('Données projet'!$B$12,Paramètres!$A$1:$I$89,3,0)*VLOOKUP('Données projet'!$B$12,Paramètres!$A$1:$I$89,5,0)</f>
        <v>1.040745546967133</v>
      </c>
      <c r="CA4" s="14">
        <f>EXP(-1.0587+0.8836*LN(BZ4)+0.284)</f>
        <v>0.47739483859767334</v>
      </c>
      <c r="CB4" s="22">
        <f t="shared" ref="CB4:CB67" si="10">(BZ4+CA4)*0.475*44/12</f>
        <v>2.6440945048587046</v>
      </c>
      <c r="CC4" s="58">
        <f t="shared" ref="CC4:CC67" si="11">CB4+(BT4+BU4)*44/12</f>
        <v>170.45652845778255</v>
      </c>
      <c r="CD4" s="58">
        <f ca="1">AVERAGE(OFFSET($CC$3,0,0,'Données projet'!$E$12+1,1))-AVERAGE(OFFSET($H$3,0,0,'Données projet'!$E$12+1,1))</f>
        <v>308.58270639204238</v>
      </c>
      <c r="CE4" s="58">
        <f>$CE$3</f>
        <v>258.90832875500325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3.3974358974358969</v>
      </c>
      <c r="CT4" s="13">
        <f>IF('Données projet'!$A$140&gt;35,CT3+CS4-DB3,IF(A4&lt;'Données projet'!$A$140,$CQ$205^A4,IF(A4='Données projet'!$A$140,'Données projet'!$B$140,CT3+CS4-DB3)))</f>
        <v>1.234835377522661</v>
      </c>
      <c r="CU4" s="18">
        <f>CT4*VLOOKUP('Données projet'!$B$13,Paramètres!$A$1:$I$89,3,0)*VLOOKUP('Données projet'!$B$13,Paramètres!$A$1:$I$89,5,0)</f>
        <v>1.1750693452505643</v>
      </c>
      <c r="CV4" s="14">
        <f>EXP(-1.0587+0.8836*LN(CU4)+0.284)</f>
        <v>0.53144725788884606</v>
      </c>
      <c r="CW4" s="22">
        <f t="shared" ref="CW4:CW67" si="13">(CU4+CV4)*0.475*44/12</f>
        <v>2.9721830838011396</v>
      </c>
      <c r="CX4" s="58">
        <f t="shared" ref="CX4:CX67" si="14">CW4+(CO4+CP4)*44/12</f>
        <v>170.78461703672497</v>
      </c>
      <c r="CY4" s="58">
        <f ca="1">AVERAGE(OFFSET($CX$3,0,0,'Données projet'!$E$13+1,1))-AVERAGE(OFFSET($H$3,0,0,'Données projet'!$E$13+1,1))</f>
        <v>397.61813291201469</v>
      </c>
      <c r="CZ4" s="58">
        <f>$CZ$3</f>
        <v>320.30651625485064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58" t="e">
        <f t="shared" ref="DS4:DS67" si="17">DR4+(DJ4+DK4)*44/12</f>
        <v>#N/A</v>
      </c>
      <c r="DT4" s="58" t="e">
        <f ca="1">AVERAGE(OFFSET($DS$3,0,0,'Données projet'!$E$14+1,1))-AVERAGE(OFFSET($H$3,0,0,'Données projet'!$E$14+1,1))</f>
        <v>#N/A</v>
      </c>
      <c r="DU4" s="58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58" t="e">
        <f t="shared" ref="EN4:EN67" si="20">EM4+(EE4+EF4)*44/12</f>
        <v>#N/A</v>
      </c>
      <c r="EO4" s="58" t="e">
        <f ca="1">AVERAGE(OFFSET($EN$3,0,0,'Données projet'!$E$15+1,1))-AVERAGE(OFFSET($H$3,0,0,'Données projet'!$E$15+1,1))</f>
        <v>#N/A</v>
      </c>
      <c r="EP4" s="58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58" t="e">
        <f t="shared" ref="FI4:FI67" si="23">FH4+(EZ4+FA4)*44/12</f>
        <v>#N/A</v>
      </c>
      <c r="FJ4" s="58" t="e">
        <f ca="1">AVERAGE(OFFSET($FI$3,0,0,'Données projet'!$E$16+1,1))-AVERAGE(OFFSET($H$3,0,0,'Données projet'!$E$16+1,1))</f>
        <v>#N/A</v>
      </c>
      <c r="FK4" s="58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58" t="e">
        <f t="shared" ref="GD4:GD67" si="26">GC4+(FU4+FV4)*44/12</f>
        <v>#N/A</v>
      </c>
      <c r="GE4" s="58" t="e">
        <f ca="1">AVERAGE(OFFSET($GD$3,0,0,'Données projet'!$E$17+1,1))-AVERAGE(OFFSET($H$3,0,0,'Données projet'!$E$17+1,1))</f>
        <v>#N/A</v>
      </c>
      <c r="GF4" s="58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58" t="e">
        <f t="shared" ref="GY4:GY67" si="29">GX4+(GP4+GQ4)*44/12</f>
        <v>#N/A</v>
      </c>
      <c r="GZ4" s="58" t="e">
        <f ca="1">AVERAGE(OFFSET($GY$3,0,0,'Données projet'!$E$18+1,1))-AVERAGE(OFFSET($H$3,0,0,'Données projet'!$E$18+1,1))</f>
        <v>#N/A</v>
      </c>
      <c r="HA4" s="58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0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3">
        <f t="shared" si="1"/>
        <v>183.33333333333334</v>
      </c>
      <c r="I5" s="6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1.2937508382479692</v>
      </c>
      <c r="P5" s="14">
        <f t="shared" ref="P5:P68" si="33">EXP(-1.0587+0.8836*LN(O5)+0.284)</f>
        <v>0.57860648124254321</v>
      </c>
      <c r="Q5" s="22">
        <f t="shared" si="2"/>
        <v>3.2610223314459752</v>
      </c>
      <c r="R5" s="58">
        <f t="shared" si="0"/>
        <v>173.85830361894682</v>
      </c>
      <c r="S5" s="58">
        <f ca="1">AVERAGE(OFFSET($R$3,0,0,'Données projet'!$E$9+1,1))-AVERAGE(OFFSET($H$3,0,0,'Données projet'!$E$9+1,1))</f>
        <v>527.70171871461309</v>
      </c>
      <c r="T5" s="58">
        <f t="shared" ref="T5:T68" si="34">$T$3</f>
        <v>281.06176764290592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1.1000000000000001</v>
      </c>
      <c r="AI5" s="14">
        <f>IF('Données projet'!$A$62&gt;35,AI4+AH5-AQ4,IF(A5&lt;'Données projet'!$A$62,$AF$205^A5,IF(A5='Données projet'!$A$62,'Données projet'!$B$62,AI4+AH5-AQ4)))</f>
        <v>1.6153942662021783</v>
      </c>
      <c r="AJ5" s="14">
        <f>AI5*VLOOKUP('Données projet'!$B$10,Paramètres!$A$1:$I$89,3,0)*VLOOKUP('Données projet'!$B$10,Paramètres!$A$1:$I$89,5,0)</f>
        <v>1.0584063232156671</v>
      </c>
      <c r="AK5" s="14">
        <f t="shared" ref="AK5:AK68" si="35">EXP(-1.0587+0.8836*LN(AJ5)+0.284)</f>
        <v>0.48454592807852009</v>
      </c>
      <c r="AL5" s="22">
        <f t="shared" si="4"/>
        <v>2.6873085043373757</v>
      </c>
      <c r="AM5" s="58">
        <f t="shared" si="5"/>
        <v>173.28458979183821</v>
      </c>
      <c r="AN5" s="58">
        <f ca="1">AVERAGE(OFFSET($AM$3,0,0,'Données projet'!$E$10+1,1))-AVERAGE(OFFSET($H$3,0,0,'Données projet'!$E$10+1,1))</f>
        <v>302.53318056366777</v>
      </c>
      <c r="AO5" s="58">
        <f t="shared" ref="AO5:AO68" si="36">$AO$3</f>
        <v>318.32262615164541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2.4933333333333332</v>
      </c>
      <c r="BD5" s="13">
        <f>IF('Données projet'!$A$88&gt;35,BD4+BC5-BL4,IF(A5&lt;'Données projet'!$A$88,$BA$205^A5,IF(A5='Données projet'!$A$88,'Données projet'!$B$88,BD4+BC5-BL4)))</f>
        <v>1.6207506842533985</v>
      </c>
      <c r="BE5" s="14">
        <f>BD5*VLOOKUP('Données projet'!$B$11,Paramètres!$A$1:$I$89,3,0)*VLOOKUP('Données projet'!$B$11,Paramètres!$A$1:$I$89,5,0)</f>
        <v>1.2894692443920039</v>
      </c>
      <c r="BF5" s="14">
        <f t="shared" ref="BF5:BF68" si="37">EXP(-1.0587+0.8836*LN(BE5)+0.284)</f>
        <v>0.57691418040252707</v>
      </c>
      <c r="BG5" s="22">
        <f t="shared" si="7"/>
        <v>3.2506177981838085</v>
      </c>
      <c r="BH5" s="58">
        <f t="shared" si="8"/>
        <v>173.84789908568465</v>
      </c>
      <c r="BI5" s="58">
        <f ca="1">AVERAGE(OFFSET($BH$3,0,0,'Données projet'!$E$11+1,1))-AVERAGE(OFFSET($H$3,0,0,'Données projet'!$E$11+1,1))</f>
        <v>336.25341821407534</v>
      </c>
      <c r="BJ5" s="58">
        <f t="shared" ref="BJ5:BJ68" si="38">$BJ$3</f>
        <v>360.3246221345039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2.8</v>
      </c>
      <c r="BY5" s="13">
        <f>IF('Données projet'!$A$114&gt;35,BY4+BX5-CG4,IF(A5&lt;'Données projet'!$A$114,$BV$205^A5,IF(A5='Données projet'!$A$114,'Données projet'!$B$114,BY4+BX5-CG4)))</f>
        <v>1.6460129159650685</v>
      </c>
      <c r="BZ5" s="14">
        <f>BY5*VLOOKUP('Données projet'!$B$12,Paramètres!$A$1:$I$89,3,0)*VLOOKUP('Données projet'!$B$12,Paramètres!$A$1:$I$89,5,0)</f>
        <v>1.3352456774308636</v>
      </c>
      <c r="CA5" s="14">
        <f t="shared" ref="CA5:CA68" si="39">EXP(-1.0587+0.8836*LN(BZ5)+0.284)</f>
        <v>0.59497391287501122</v>
      </c>
      <c r="CB5" s="22">
        <f t="shared" si="10"/>
        <v>3.3617991197827322</v>
      </c>
      <c r="CC5" s="58">
        <f t="shared" si="11"/>
        <v>173.95908040728358</v>
      </c>
      <c r="CD5" s="58">
        <f ca="1">AVERAGE(OFFSET($CC$3,0,0,'Données projet'!$E$12+1,1))-AVERAGE(OFFSET($H$3,0,0,'Données projet'!$E$12+1,1))</f>
        <v>308.58270639204238</v>
      </c>
      <c r="CE5" s="58">
        <f t="shared" ref="CE5:CE68" si="40">$CE$3</f>
        <v>258.90832875500325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3.3974358974358969</v>
      </c>
      <c r="CT5" s="13">
        <f>IF('Données projet'!$A$140&gt;35,CT4+CS5-DB4,IF(A5&lt;'Données projet'!$A$140,$CQ$205^A5,IF(A5='Données projet'!$A$140,'Données projet'!$B$140,CT4+CS5-DB4)))</f>
        <v>1.5248184095815327</v>
      </c>
      <c r="CU5" s="18">
        <f>CT5*VLOOKUP('Données projet'!$B$13,Paramètres!$A$1:$I$89,3,0)*VLOOKUP('Données projet'!$B$13,Paramètres!$A$1:$I$89,5,0)</f>
        <v>1.4510171985577867</v>
      </c>
      <c r="CV5" s="14">
        <f t="shared" ref="CV5:CV68" si="41">EXP(-1.0587+0.8836*LN(CU5)+0.284)</f>
        <v>0.64033308090235763</v>
      </c>
      <c r="CW5" s="22">
        <f t="shared" si="13"/>
        <v>3.6424350700597508</v>
      </c>
      <c r="CX5" s="58">
        <f t="shared" si="14"/>
        <v>174.23971635756058</v>
      </c>
      <c r="CY5" s="58">
        <f ca="1">AVERAGE(OFFSET($CX$3,0,0,'Données projet'!$E$13+1,1))-AVERAGE(OFFSET($H$3,0,0,'Données projet'!$E$13+1,1))</f>
        <v>397.61813291201469</v>
      </c>
      <c r="CZ5" s="58">
        <f t="shared" ref="CZ5:CZ68" si="42">$CZ$3</f>
        <v>320.30651625485064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58" t="e">
        <f t="shared" si="17"/>
        <v>#N/A</v>
      </c>
      <c r="DT5" s="58" t="e">
        <f ca="1">AVERAGE(OFFSET($DS$3,0,0,'Données projet'!$E$14+1,1))-AVERAGE(OFFSET($H$3,0,0,'Données projet'!$E$14+1,1))</f>
        <v>#N/A</v>
      </c>
      <c r="DU5" s="58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58" t="e">
        <f t="shared" si="20"/>
        <v>#N/A</v>
      </c>
      <c r="EO5" s="58" t="e">
        <f ca="1">AVERAGE(OFFSET($EN$3,0,0,'Données projet'!$E$15+1,1))-AVERAGE(OFFSET($H$3,0,0,'Données projet'!$E$15+1,1))</f>
        <v>#N/A</v>
      </c>
      <c r="EP5" s="58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58" t="e">
        <f t="shared" si="23"/>
        <v>#N/A</v>
      </c>
      <c r="FJ5" s="58" t="e">
        <f ca="1">AVERAGE(OFFSET($FI$3,0,0,'Données projet'!$E$16+1,1))-AVERAGE(OFFSET($H$3,0,0,'Données projet'!$E$16+1,1))</f>
        <v>#N/A</v>
      </c>
      <c r="FK5" s="58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58" t="e">
        <f t="shared" si="26"/>
        <v>#N/A</v>
      </c>
      <c r="GE5" s="58" t="e">
        <f ca="1">AVERAGE(OFFSET($GD$3,0,0,'Données projet'!$E$17+1,1))-AVERAGE(OFFSET($H$3,0,0,'Données projet'!$E$17+1,1))</f>
        <v>#N/A</v>
      </c>
      <c r="GF5" s="58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58" t="e">
        <f t="shared" si="29"/>
        <v>#N/A</v>
      </c>
      <c r="GZ5" s="58" t="e">
        <f ca="1">AVERAGE(OFFSET($GY$3,0,0,'Données projet'!$E$18+1,1))-AVERAGE(OFFSET($H$3,0,0,'Données projet'!$E$18+1,1))</f>
        <v>#N/A</v>
      </c>
      <c r="HA5" s="58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0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3">
        <f t="shared" si="1"/>
        <v>183.33333333333334</v>
      </c>
      <c r="I6" s="6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1.6033073636487132</v>
      </c>
      <c r="P6" s="14">
        <f t="shared" si="33"/>
        <v>0.69936661672428513</v>
      </c>
      <c r="Q6" s="22">
        <f t="shared" si="2"/>
        <v>4.0104905158163051</v>
      </c>
      <c r="R6" s="58">
        <f t="shared" si="0"/>
        <v>177.3655110857012</v>
      </c>
      <c r="S6" s="58">
        <f ca="1">AVERAGE(OFFSET($R$3,0,0,'Données projet'!$E$9+1,1))-AVERAGE(OFFSET($H$3,0,0,'Données projet'!$E$9+1,1))</f>
        <v>527.70171871461309</v>
      </c>
      <c r="T6" s="58">
        <f t="shared" si="34"/>
        <v>281.06176764290592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1.1000000000000001</v>
      </c>
      <c r="AI6" s="14">
        <f>IF('Données projet'!$A$62&gt;35,AI5+AH6-AQ5,IF(A6&lt;'Données projet'!$A$62,$AF$205^A6,IF(A6='Données projet'!$A$62,'Données projet'!$B$62,AI5+AH6-AQ5)))</f>
        <v>2.0531364136588448</v>
      </c>
      <c r="AJ6" s="14">
        <f>AI6*VLOOKUP('Données projet'!$B$10,Paramètres!$A$1:$I$89,3,0)*VLOOKUP('Données projet'!$B$10,Paramètres!$A$1:$I$89,5,0)</f>
        <v>1.3452149782292753</v>
      </c>
      <c r="AK6" s="14">
        <f t="shared" si="35"/>
        <v>0.59889737003693966</v>
      </c>
      <c r="AL6" s="22">
        <f t="shared" si="4"/>
        <v>3.3859956732303242</v>
      </c>
      <c r="AM6" s="58">
        <f t="shared" si="5"/>
        <v>176.74101624311521</v>
      </c>
      <c r="AN6" s="58">
        <f ca="1">AVERAGE(OFFSET($AM$3,0,0,'Données projet'!$E$10+1,1))-AVERAGE(OFFSET($H$3,0,0,'Données projet'!$E$10+1,1))</f>
        <v>302.53318056366777</v>
      </c>
      <c r="AO6" s="58">
        <f t="shared" si="36"/>
        <v>318.32262615164541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2.4933333333333332</v>
      </c>
      <c r="BD6" s="13">
        <f>IF('Données projet'!$A$88&gt;35,BD5+BC6-BL5,IF(A6&lt;'Données projet'!$A$88,$BA$205^A6,IF(A6='Données projet'!$A$88,'Données projet'!$B$88,BD5+BC6-BL5)))</f>
        <v>2.0633567375583337</v>
      </c>
      <c r="BE6" s="14">
        <f>BD6*VLOOKUP('Données projet'!$B$11,Paramètres!$A$1:$I$89,3,0)*VLOOKUP('Données projet'!$B$11,Paramètres!$A$1:$I$89,5,0)</f>
        <v>1.6416066204014104</v>
      </c>
      <c r="BF6" s="14">
        <f t="shared" si="37"/>
        <v>0.71410789921437878</v>
      </c>
      <c r="BG6" s="22">
        <f t="shared" si="7"/>
        <v>4.1028694549974993</v>
      </c>
      <c r="BH6" s="58">
        <f t="shared" si="8"/>
        <v>177.45789002488237</v>
      </c>
      <c r="BI6" s="58">
        <f ca="1">AVERAGE(OFFSET($BH$3,0,0,'Données projet'!$E$11+1,1))-AVERAGE(OFFSET($H$3,0,0,'Données projet'!$E$11+1,1))</f>
        <v>336.25341821407534</v>
      </c>
      <c r="BJ6" s="58">
        <f t="shared" si="38"/>
        <v>360.3246221345039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2.8</v>
      </c>
      <c r="BY6" s="13">
        <f>IF('Données projet'!$A$114&gt;35,BY5+BX6-CG5,IF(A6&lt;'Données projet'!$A$114,$BV$205^A6,IF(A6='Données projet'!$A$114,'Données projet'!$B$114,BY5+BX6-CG5)))</f>
        <v>2.1117857649667533</v>
      </c>
      <c r="BZ6" s="14">
        <f>BY6*VLOOKUP('Données projet'!$B$12,Paramètres!$A$1:$I$89,3,0)*VLOOKUP('Données projet'!$B$12,Paramètres!$A$1:$I$89,5,0)</f>
        <v>1.7130806125410305</v>
      </c>
      <c r="CA6" s="14">
        <f t="shared" si="39"/>
        <v>0.74151190666753608</v>
      </c>
      <c r="CB6" s="22">
        <f t="shared" si="10"/>
        <v>4.2750819709549202</v>
      </c>
      <c r="CC6" s="58">
        <f t="shared" si="11"/>
        <v>177.6301025408398</v>
      </c>
      <c r="CD6" s="58">
        <f ca="1">AVERAGE(OFFSET($CC$3,0,0,'Données projet'!$E$12+1,1))-AVERAGE(OFFSET($H$3,0,0,'Données projet'!$E$12+1,1))</f>
        <v>308.58270639204238</v>
      </c>
      <c r="CE6" s="58">
        <f t="shared" si="40"/>
        <v>258.90832875500325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3.3974358974358969</v>
      </c>
      <c r="CT6" s="13">
        <f>IF('Données projet'!$A$140&gt;35,CT5+CS6-DB5,IF(A6&lt;'Données projet'!$A$140,$CQ$205^A6,IF(A6='Données projet'!$A$140,'Données projet'!$B$140,CT5+CS6-DB5)))</f>
        <v>1.8828997164491155</v>
      </c>
      <c r="CU6" s="18">
        <f>CT6*VLOOKUP('Données projet'!$B$13,Paramètres!$A$1:$I$89,3,0)*VLOOKUP('Données projet'!$B$13,Paramètres!$A$1:$I$89,5,0)</f>
        <v>1.7917673701729784</v>
      </c>
      <c r="CV6" s="14">
        <f t="shared" si="41"/>
        <v>0.77152802730927539</v>
      </c>
      <c r="CW6" s="22">
        <f t="shared" si="13"/>
        <v>4.4644061506149253</v>
      </c>
      <c r="CX6" s="58">
        <f t="shared" si="14"/>
        <v>177.81942672049982</v>
      </c>
      <c r="CY6" s="58">
        <f ca="1">AVERAGE(OFFSET($CX$3,0,0,'Données projet'!$E$13+1,1))-AVERAGE(OFFSET($H$3,0,0,'Données projet'!$E$13+1,1))</f>
        <v>397.61813291201469</v>
      </c>
      <c r="CZ6" s="58">
        <f t="shared" si="42"/>
        <v>320.30651625485064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58" t="e">
        <f t="shared" si="17"/>
        <v>#N/A</v>
      </c>
      <c r="DT6" s="58" t="e">
        <f ca="1">AVERAGE(OFFSET($DS$3,0,0,'Données projet'!$E$14+1,1))-AVERAGE(OFFSET($H$3,0,0,'Données projet'!$E$14+1,1))</f>
        <v>#N/A</v>
      </c>
      <c r="DU6" s="58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58" t="e">
        <f t="shared" si="20"/>
        <v>#N/A</v>
      </c>
      <c r="EO6" s="58" t="e">
        <f ca="1">AVERAGE(OFFSET($EN$3,0,0,'Données projet'!$E$15+1,1))-AVERAGE(OFFSET($H$3,0,0,'Données projet'!$E$15+1,1))</f>
        <v>#N/A</v>
      </c>
      <c r="EP6" s="58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58" t="e">
        <f t="shared" si="23"/>
        <v>#N/A</v>
      </c>
      <c r="FJ6" s="58" t="e">
        <f ca="1">AVERAGE(OFFSET($FI$3,0,0,'Données projet'!$E$16+1,1))-AVERAGE(OFFSET($H$3,0,0,'Données projet'!$E$16+1,1))</f>
        <v>#N/A</v>
      </c>
      <c r="FK6" s="58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58" t="e">
        <f t="shared" si="26"/>
        <v>#N/A</v>
      </c>
      <c r="GE6" s="58" t="e">
        <f ca="1">AVERAGE(OFFSET($GD$3,0,0,'Données projet'!$E$17+1,1))-AVERAGE(OFFSET($H$3,0,0,'Données projet'!$E$17+1,1))</f>
        <v>#N/A</v>
      </c>
      <c r="GF6" s="58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58" t="e">
        <f t="shared" si="29"/>
        <v>#N/A</v>
      </c>
      <c r="GZ6" s="58" t="e">
        <f ca="1">AVERAGE(OFFSET($GY$3,0,0,'Données projet'!$E$18+1,1))-AVERAGE(OFFSET($H$3,0,0,'Données projet'!$E$18+1,1))</f>
        <v>#N/A</v>
      </c>
      <c r="HA6" s="58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0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3">
        <f t="shared" si="1"/>
        <v>183.33333333333334</v>
      </c>
      <c r="I7" s="6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1.9869316612859962</v>
      </c>
      <c r="P7" s="14">
        <f t="shared" si="33"/>
        <v>0.84533042826968274</v>
      </c>
      <c r="Q7" s="22">
        <f t="shared" si="2"/>
        <v>4.9328564726428068</v>
      </c>
      <c r="R7" s="58">
        <f t="shared" si="0"/>
        <v>181.01897853681976</v>
      </c>
      <c r="S7" s="58">
        <f ca="1">AVERAGE(OFFSET($R$3,0,0,'Données projet'!$E$9+1,1))-AVERAGE(OFFSET($H$3,0,0,'Données projet'!$E$9+1,1))</f>
        <v>527.70171871461309</v>
      </c>
      <c r="T7" s="58">
        <f t="shared" si="34"/>
        <v>281.06176764290592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1.1000000000000001</v>
      </c>
      <c r="AI7" s="14">
        <f>IF('Données projet'!$A$62&gt;35,AI6+AH7-AQ6,IF(A7&lt;'Données projet'!$A$62,$AF$205^A7,IF(A7='Données projet'!$A$62,'Données projet'!$B$62,AI6+AH7-AQ6)))</f>
        <v>2.6094986352788743</v>
      </c>
      <c r="AJ7" s="14">
        <f>AI7*VLOOKUP('Données projet'!$B$10,Paramètres!$A$1:$I$89,3,0)*VLOOKUP('Données projet'!$B$10,Paramètres!$A$1:$I$89,5,0)</f>
        <v>1.7097435058347183</v>
      </c>
      <c r="AK7" s="14">
        <f t="shared" si="35"/>
        <v>0.74023542259349984</v>
      </c>
      <c r="AL7" s="22">
        <f t="shared" si="4"/>
        <v>4.2670466336791462</v>
      </c>
      <c r="AM7" s="58">
        <f t="shared" si="5"/>
        <v>180.35316869785609</v>
      </c>
      <c r="AN7" s="58">
        <f ca="1">AVERAGE(OFFSET($AM$3,0,0,'Données projet'!$E$10+1,1))-AVERAGE(OFFSET($H$3,0,0,'Données projet'!$E$10+1,1))</f>
        <v>302.53318056366777</v>
      </c>
      <c r="AO7" s="58">
        <f t="shared" si="36"/>
        <v>318.32262615164541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2.4933333333333332</v>
      </c>
      <c r="BD7" s="13">
        <f>IF('Données projet'!$A$88&gt;35,BD6+BC7-BL6,IF(A7&lt;'Données projet'!$A$88,$BA$205^A7,IF(A7='Données projet'!$A$88,'Données projet'!$B$88,BD6+BC7-BL6)))</f>
        <v>2.6268327805078595</v>
      </c>
      <c r="BE7" s="14">
        <f>BD7*VLOOKUP('Données projet'!$B$11,Paramètres!$A$1:$I$89,3,0)*VLOOKUP('Données projet'!$B$11,Paramètres!$A$1:$I$89,5,0)</f>
        <v>2.0899081601720533</v>
      </c>
      <c r="BF7" s="14">
        <f t="shared" si="37"/>
        <v>0.88392712303339283</v>
      </c>
      <c r="BG7" s="22">
        <f t="shared" si="7"/>
        <v>5.1794297849161515</v>
      </c>
      <c r="BH7" s="58">
        <f t="shared" si="8"/>
        <v>181.2655518490931</v>
      </c>
      <c r="BI7" s="58">
        <f ca="1">AVERAGE(OFFSET($BH$3,0,0,'Données projet'!$E$11+1,1))-AVERAGE(OFFSET($H$3,0,0,'Données projet'!$E$11+1,1))</f>
        <v>336.25341821407534</v>
      </c>
      <c r="BJ7" s="58">
        <f t="shared" si="38"/>
        <v>360.3246221345039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2.8</v>
      </c>
      <c r="BY7" s="13">
        <f>IF('Données projet'!$A$114&gt;35,BY6+BX7-CG6,IF(A7&lt;'Données projet'!$A$114,$BV$205^A7,IF(A7='Données projet'!$A$114,'Données projet'!$B$114,BY6+BX7-CG6)))</f>
        <v>2.7093585195238274</v>
      </c>
      <c r="BZ7" s="14">
        <f>BY7*VLOOKUP('Données projet'!$B$12,Paramètres!$A$1:$I$89,3,0)*VLOOKUP('Données projet'!$B$12,Paramètres!$A$1:$I$89,5,0)</f>
        <v>2.197831631037729</v>
      </c>
      <c r="CA7" s="14">
        <f t="shared" si="39"/>
        <v>0.92414120322151361</v>
      </c>
      <c r="CB7" s="22">
        <f t="shared" si="10"/>
        <v>5.4374360196681799</v>
      </c>
      <c r="CC7" s="58">
        <f t="shared" si="11"/>
        <v>181.52355808384513</v>
      </c>
      <c r="CD7" s="58">
        <f ca="1">AVERAGE(OFFSET($CC$3,0,0,'Données projet'!$E$12+1,1))-AVERAGE(OFFSET($H$3,0,0,'Données projet'!$E$12+1,1))</f>
        <v>308.58270639204238</v>
      </c>
      <c r="CE7" s="58">
        <f t="shared" si="40"/>
        <v>258.90832875500325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3.3974358974358969</v>
      </c>
      <c r="CT7" s="13">
        <f>IF('Données projet'!$A$140&gt;35,CT6+CS7-DB6,IF(A7&lt;'Données projet'!$A$140,$CQ$205^A7,IF(A7='Données projet'!$A$140,'Données projet'!$B$140,CT6+CS7-DB6)))</f>
        <v>2.3250711821987546</v>
      </c>
      <c r="CU7" s="18">
        <f>CT7*VLOOKUP('Données projet'!$B$13,Paramètres!$A$1:$I$89,3,0)*VLOOKUP('Données projet'!$B$13,Paramètres!$A$1:$I$89,5,0)</f>
        <v>2.2125377369803352</v>
      </c>
      <c r="CV7" s="14">
        <f t="shared" si="41"/>
        <v>0.92960291241693749</v>
      </c>
      <c r="CW7" s="22">
        <f t="shared" si="13"/>
        <v>5.4725616310335843</v>
      </c>
      <c r="CX7" s="58">
        <f t="shared" si="14"/>
        <v>181.55868369521053</v>
      </c>
      <c r="CY7" s="58">
        <f ca="1">AVERAGE(OFFSET($CX$3,0,0,'Données projet'!$E$13+1,1))-AVERAGE(OFFSET($H$3,0,0,'Données projet'!$E$13+1,1))</f>
        <v>397.61813291201469</v>
      </c>
      <c r="CZ7" s="58">
        <f t="shared" si="42"/>
        <v>320.30651625485064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58" t="e">
        <f t="shared" si="17"/>
        <v>#N/A</v>
      </c>
      <c r="DT7" s="58" t="e">
        <f ca="1">AVERAGE(OFFSET($DS$3,0,0,'Données projet'!$E$14+1,1))-AVERAGE(OFFSET($H$3,0,0,'Données projet'!$E$14+1,1))</f>
        <v>#N/A</v>
      </c>
      <c r="DU7" s="58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58" t="e">
        <f t="shared" si="20"/>
        <v>#N/A</v>
      </c>
      <c r="EO7" s="58" t="e">
        <f ca="1">AVERAGE(OFFSET($EN$3,0,0,'Données projet'!$E$15+1,1))-AVERAGE(OFFSET($H$3,0,0,'Données projet'!$E$15+1,1))</f>
        <v>#N/A</v>
      </c>
      <c r="EP7" s="58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58" t="e">
        <f t="shared" si="23"/>
        <v>#N/A</v>
      </c>
      <c r="FJ7" s="58" t="e">
        <f ca="1">AVERAGE(OFFSET($FI$3,0,0,'Données projet'!$E$16+1,1))-AVERAGE(OFFSET($H$3,0,0,'Données projet'!$E$16+1,1))</f>
        <v>#N/A</v>
      </c>
      <c r="FK7" s="58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58" t="e">
        <f t="shared" si="26"/>
        <v>#N/A</v>
      </c>
      <c r="GE7" s="58" t="e">
        <f ca="1">AVERAGE(OFFSET($GD$3,0,0,'Données projet'!$E$17+1,1))-AVERAGE(OFFSET($H$3,0,0,'Données projet'!$E$17+1,1))</f>
        <v>#N/A</v>
      </c>
      <c r="GF7" s="58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58" t="e">
        <f t="shared" si="29"/>
        <v>#N/A</v>
      </c>
      <c r="GZ7" s="58" t="e">
        <f ca="1">AVERAGE(OFFSET($GY$3,0,0,'Données projet'!$E$18+1,1))-AVERAGE(OFFSET($H$3,0,0,'Données projet'!$E$18+1,1))</f>
        <v>#N/A</v>
      </c>
      <c r="HA7" s="58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0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3">
        <f t="shared" si="1"/>
        <v>183.33333333333334</v>
      </c>
      <c r="I8" s="6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2.462345970666743</v>
      </c>
      <c r="P8" s="14">
        <f t="shared" si="33"/>
        <v>1.021758139251189</v>
      </c>
      <c r="Q8" s="22">
        <f t="shared" si="2"/>
        <v>6.068147991440398</v>
      </c>
      <c r="R8" s="58">
        <f t="shared" si="0"/>
        <v>184.85919586788776</v>
      </c>
      <c r="S8" s="58">
        <f ca="1">AVERAGE(OFFSET($R$3,0,0,'Données projet'!$E$9+1,1))-AVERAGE(OFFSET($H$3,0,0,'Données projet'!$E$9+1,1))</f>
        <v>527.70171871461309</v>
      </c>
      <c r="T8" s="58">
        <f t="shared" si="34"/>
        <v>281.06176764290592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1.1000000000000001</v>
      </c>
      <c r="AI8" s="14">
        <f>IF('Données projet'!$A$62&gt;35,AI7+AH8-AQ7,IF(A8&lt;'Données projet'!$A$62,$AF$205^A8,IF(A8='Données projet'!$A$62,'Données projet'!$B$62,AI7+AH8-AQ7)))</f>
        <v>3.3166247903554016</v>
      </c>
      <c r="AJ8" s="14">
        <f>AI8*VLOOKUP('Données projet'!$B$10,Paramètres!$A$1:$I$89,3,0)*VLOOKUP('Données projet'!$B$10,Paramètres!$A$1:$I$89,5,0)</f>
        <v>2.173052562640859</v>
      </c>
      <c r="AK8" s="14">
        <f t="shared" si="35"/>
        <v>0.91492884804015795</v>
      </c>
      <c r="AL8" s="22">
        <f t="shared" si="4"/>
        <v>5.3782342902694369</v>
      </c>
      <c r="AM8" s="58">
        <f t="shared" si="5"/>
        <v>184.16928216671678</v>
      </c>
      <c r="AN8" s="58">
        <f ca="1">AVERAGE(OFFSET($AM$3,0,0,'Données projet'!$E$10+1,1))-AVERAGE(OFFSET($H$3,0,0,'Données projet'!$E$10+1,1))</f>
        <v>302.53318056366777</v>
      </c>
      <c r="AO8" s="58">
        <f t="shared" si="36"/>
        <v>318.32262615164541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2.4933333333333332</v>
      </c>
      <c r="BD8" s="13">
        <f>IF('Données projet'!$A$88&gt;35,BD7+BC8-BL7,IF(A8&lt;'Données projet'!$A$88,$BA$205^A8,IF(A8='Données projet'!$A$88,'Données projet'!$B$88,BD7+BC8-BL7)))</f>
        <v>3.3441868442565297</v>
      </c>
      <c r="BE8" s="14">
        <f>BD8*VLOOKUP('Données projet'!$B$11,Paramètres!$A$1:$I$89,3,0)*VLOOKUP('Données projet'!$B$11,Paramètres!$A$1:$I$89,5,0)</f>
        <v>2.6606350532904952</v>
      </c>
      <c r="BF8" s="14">
        <f t="shared" si="37"/>
        <v>1.0941303963920053</v>
      </c>
      <c r="BG8" s="22">
        <f t="shared" si="7"/>
        <v>6.5395498248636885</v>
      </c>
      <c r="BH8" s="58">
        <f t="shared" si="8"/>
        <v>185.33059770131104</v>
      </c>
      <c r="BI8" s="58">
        <f ca="1">AVERAGE(OFFSET($BH$3,0,0,'Données projet'!$E$11+1,1))-AVERAGE(OFFSET($H$3,0,0,'Données projet'!$E$11+1,1))</f>
        <v>336.25341821407534</v>
      </c>
      <c r="BJ8" s="58">
        <f t="shared" si="38"/>
        <v>360.3246221345039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2.8</v>
      </c>
      <c r="BY8" s="13">
        <f>IF('Données projet'!$A$114&gt;35,BY7+BX8-CG7,IF(A8&lt;'Données projet'!$A$114,$BV$205^A8,IF(A8='Données projet'!$A$114,'Données projet'!$B$114,BY7+BX8-CG7)))</f>
        <v>3.4760266448864483</v>
      </c>
      <c r="BZ8" s="14">
        <f>BY8*VLOOKUP('Données projet'!$B$12,Paramètres!$A$1:$I$89,3,0)*VLOOKUP('Données projet'!$B$12,Paramètres!$A$1:$I$89,5,0)</f>
        <v>2.8197528143318871</v>
      </c>
      <c r="CA8" s="14">
        <f t="shared" si="39"/>
        <v>1.1517508428554772</v>
      </c>
      <c r="CB8" s="22">
        <f t="shared" si="10"/>
        <v>6.9170355362679921</v>
      </c>
      <c r="CC8" s="58">
        <f t="shared" si="11"/>
        <v>185.70808341271535</v>
      </c>
      <c r="CD8" s="58">
        <f ca="1">AVERAGE(OFFSET($CC$3,0,0,'Données projet'!$E$12+1,1))-AVERAGE(OFFSET($H$3,0,0,'Données projet'!$E$12+1,1))</f>
        <v>308.58270639204238</v>
      </c>
      <c r="CE8" s="58">
        <f t="shared" si="40"/>
        <v>258.90832875500325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3.3974358974358969</v>
      </c>
      <c r="CT8" s="13">
        <f>IF('Données projet'!$A$140&gt;35,CT7+CS8-DB7,IF(A8&lt;'Données projet'!$A$140,$CQ$205^A8,IF(A8='Données projet'!$A$140,'Données projet'!$B$140,CT7+CS8-DB7)))</f>
        <v>2.8710801510374591</v>
      </c>
      <c r="CU8" s="18">
        <f>CT8*VLOOKUP('Données projet'!$B$13,Paramètres!$A$1:$I$89,3,0)*VLOOKUP('Données projet'!$B$13,Paramètres!$A$1:$I$89,5,0)</f>
        <v>2.7321198717272459</v>
      </c>
      <c r="CV8" s="14">
        <f t="shared" si="41"/>
        <v>1.1200650451906964</v>
      </c>
      <c r="CW8" s="22">
        <f t="shared" si="13"/>
        <v>6.7092220636320823</v>
      </c>
      <c r="CX8" s="58">
        <f t="shared" si="14"/>
        <v>185.50026994007942</v>
      </c>
      <c r="CY8" s="58">
        <f ca="1">AVERAGE(OFFSET($CX$3,0,0,'Données projet'!$E$13+1,1))-AVERAGE(OFFSET($H$3,0,0,'Données projet'!$E$13+1,1))</f>
        <v>397.61813291201469</v>
      </c>
      <c r="CZ8" s="58">
        <f t="shared" si="42"/>
        <v>320.30651625485064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58" t="e">
        <f t="shared" si="17"/>
        <v>#N/A</v>
      </c>
      <c r="DT8" s="58" t="e">
        <f ca="1">AVERAGE(OFFSET($DS$3,0,0,'Données projet'!$E$14+1,1))-AVERAGE(OFFSET($H$3,0,0,'Données projet'!$E$14+1,1))</f>
        <v>#N/A</v>
      </c>
      <c r="DU8" s="58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58" t="e">
        <f t="shared" si="20"/>
        <v>#N/A</v>
      </c>
      <c r="EO8" s="58" t="e">
        <f ca="1">AVERAGE(OFFSET($EN$3,0,0,'Données projet'!$E$15+1,1))-AVERAGE(OFFSET($H$3,0,0,'Données projet'!$E$15+1,1))</f>
        <v>#N/A</v>
      </c>
      <c r="EP8" s="58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58" t="e">
        <f t="shared" si="23"/>
        <v>#N/A</v>
      </c>
      <c r="FJ8" s="58" t="e">
        <f ca="1">AVERAGE(OFFSET($FI$3,0,0,'Données projet'!$E$16+1,1))-AVERAGE(OFFSET($H$3,0,0,'Données projet'!$E$16+1,1))</f>
        <v>#N/A</v>
      </c>
      <c r="FK8" s="58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58" t="e">
        <f t="shared" si="26"/>
        <v>#N/A</v>
      </c>
      <c r="GE8" s="58" t="e">
        <f ca="1">AVERAGE(OFFSET($GD$3,0,0,'Données projet'!$E$17+1,1))-AVERAGE(OFFSET($H$3,0,0,'Données projet'!$E$17+1,1))</f>
        <v>#N/A</v>
      </c>
      <c r="GF8" s="58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58" t="e">
        <f t="shared" si="29"/>
        <v>#N/A</v>
      </c>
      <c r="GZ8" s="58" t="e">
        <f ca="1">AVERAGE(OFFSET($GY$3,0,0,'Données projet'!$E$18+1,1))-AVERAGE(OFFSET($H$3,0,0,'Données projet'!$E$18+1,1))</f>
        <v>#N/A</v>
      </c>
      <c r="HA8" s="58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0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3">
        <f t="shared" si="1"/>
        <v>183.33333333333334</v>
      </c>
      <c r="I9" s="6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3.0515129419874016</v>
      </c>
      <c r="P9" s="14">
        <f t="shared" si="33"/>
        <v>1.2350078267772846</v>
      </c>
      <c r="Q9" s="22">
        <f t="shared" si="2"/>
        <v>7.4656903389318279</v>
      </c>
      <c r="R9" s="58">
        <f t="shared" si="0"/>
        <v>188.93594243519081</v>
      </c>
      <c r="S9" s="58">
        <f ca="1">AVERAGE(OFFSET($R$3,0,0,'Données projet'!$E$9+1,1))-AVERAGE(OFFSET($H$3,0,0,'Données projet'!$E$9+1,1))</f>
        <v>527.70171871461309</v>
      </c>
      <c r="T9" s="58">
        <f t="shared" si="34"/>
        <v>281.06176764290592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1.1000000000000001</v>
      </c>
      <c r="AI9" s="14">
        <f>IF('Données projet'!$A$62&gt;35,AI8+AH9-AQ8,IF(A9&lt;'Données projet'!$A$62,$AF$205^A9,IF(A9='Données projet'!$A$62,'Données projet'!$B$62,AI8+AH9-AQ8)))</f>
        <v>4.2153691330919028</v>
      </c>
      <c r="AJ9" s="14">
        <f>AI9*VLOOKUP('Données projet'!$B$10,Paramètres!$A$1:$I$89,3,0)*VLOOKUP('Données projet'!$B$10,Paramètres!$A$1:$I$89,5,0)</f>
        <v>2.7619098560018145</v>
      </c>
      <c r="AK9" s="14">
        <f t="shared" si="35"/>
        <v>1.1308494182070246</v>
      </c>
      <c r="AL9" s="22">
        <f t="shared" si="4"/>
        <v>6.7798890692470613</v>
      </c>
      <c r="AM9" s="58">
        <f t="shared" si="5"/>
        <v>188.25014116550602</v>
      </c>
      <c r="AN9" s="58">
        <f ca="1">AVERAGE(OFFSET($AM$3,0,0,'Données projet'!$E$10+1,1))-AVERAGE(OFFSET($H$3,0,0,'Données projet'!$E$10+1,1))</f>
        <v>302.53318056366777</v>
      </c>
      <c r="AO9" s="58">
        <f t="shared" si="36"/>
        <v>318.32262615164541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2.4933333333333332</v>
      </c>
      <c r="BD9" s="13">
        <f>IF('Données projet'!$A$88&gt;35,BD8+BC9-BL8,IF(A9&lt;'Données projet'!$A$88,$BA$205^A9,IF(A9='Données projet'!$A$88,'Données projet'!$B$88,BD8+BC9-BL8)))</f>
        <v>4.2574410264273705</v>
      </c>
      <c r="BE9" s="14">
        <f>BD9*VLOOKUP('Données projet'!$B$11,Paramètres!$A$1:$I$89,3,0)*VLOOKUP('Données projet'!$B$11,Paramètres!$A$1:$I$89,5,0)</f>
        <v>3.3872200806256161</v>
      </c>
      <c r="BF9" s="14">
        <f t="shared" si="37"/>
        <v>1.3543212931409303</v>
      </c>
      <c r="BG9" s="22">
        <f t="shared" si="7"/>
        <v>8.2581845593100685</v>
      </c>
      <c r="BH9" s="58">
        <f t="shared" si="8"/>
        <v>189.72843665556906</v>
      </c>
      <c r="BI9" s="58">
        <f ca="1">AVERAGE(OFFSET($BH$3,0,0,'Données projet'!$E$11+1,1))-AVERAGE(OFFSET($H$3,0,0,'Données projet'!$E$11+1,1))</f>
        <v>336.25341821407534</v>
      </c>
      <c r="BJ9" s="58">
        <f t="shared" si="38"/>
        <v>360.3246221345039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2.8</v>
      </c>
      <c r="BY9" s="13">
        <f>IF('Données projet'!$A$114&gt;35,BY8+BX9-CG8,IF(A9&lt;'Données projet'!$A$114,$BV$205^A9,IF(A9='Données projet'!$A$114,'Données projet'!$B$114,BY8+BX9-CG8)))</f>
        <v>4.4596391171162164</v>
      </c>
      <c r="BZ9" s="14">
        <f>BY9*VLOOKUP('Données projet'!$B$12,Paramètres!$A$1:$I$89,3,0)*VLOOKUP('Données projet'!$B$12,Paramètres!$A$1:$I$89,5,0)</f>
        <v>3.6176592518046751</v>
      </c>
      <c r="CA9" s="14">
        <f t="shared" si="39"/>
        <v>1.4354191755481527</v>
      </c>
      <c r="CB9" s="22">
        <f t="shared" si="10"/>
        <v>8.8007782609728427</v>
      </c>
      <c r="CC9" s="58">
        <f t="shared" si="11"/>
        <v>190.27103035723181</v>
      </c>
      <c r="CD9" s="58">
        <f ca="1">AVERAGE(OFFSET($CC$3,0,0,'Données projet'!$E$12+1,1))-AVERAGE(OFFSET($H$3,0,0,'Données projet'!$E$12+1,1))</f>
        <v>308.58270639204238</v>
      </c>
      <c r="CE9" s="58">
        <f t="shared" si="40"/>
        <v>258.90832875500325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3.3974358974358969</v>
      </c>
      <c r="CT9" s="13">
        <f>IF('Données projet'!$A$140&gt;35,CT8+CS9-DB8,IF(A9&lt;'Données projet'!$A$140,$CQ$205^A9,IF(A9='Données projet'!$A$140,'Données projet'!$B$140,CT8+CS9-DB8)))</f>
        <v>3.5453113422041591</v>
      </c>
      <c r="CU9" s="18">
        <f>CT9*VLOOKUP('Données projet'!$B$13,Paramètres!$A$1:$I$89,3,0)*VLOOKUP('Données projet'!$B$13,Paramètres!$A$1:$I$89,5,0)</f>
        <v>3.3737182732414777</v>
      </c>
      <c r="CV9" s="14">
        <f t="shared" si="41"/>
        <v>1.3495501022003666</v>
      </c>
      <c r="CW9" s="22">
        <f t="shared" si="13"/>
        <v>8.2263590872278787</v>
      </c>
      <c r="CX9" s="58">
        <f t="shared" si="14"/>
        <v>189.69661118348685</v>
      </c>
      <c r="CY9" s="58">
        <f ca="1">AVERAGE(OFFSET($CX$3,0,0,'Données projet'!$E$13+1,1))-AVERAGE(OFFSET($H$3,0,0,'Données projet'!$E$13+1,1))</f>
        <v>397.61813291201469</v>
      </c>
      <c r="CZ9" s="58">
        <f t="shared" si="42"/>
        <v>320.30651625485064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58" t="e">
        <f t="shared" si="17"/>
        <v>#N/A</v>
      </c>
      <c r="DT9" s="58" t="e">
        <f ca="1">AVERAGE(OFFSET($DS$3,0,0,'Données projet'!$E$14+1,1))-AVERAGE(OFFSET($H$3,0,0,'Données projet'!$E$14+1,1))</f>
        <v>#N/A</v>
      </c>
      <c r="DU9" s="58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58" t="e">
        <f t="shared" si="20"/>
        <v>#N/A</v>
      </c>
      <c r="EO9" s="58" t="e">
        <f ca="1">AVERAGE(OFFSET($EN$3,0,0,'Données projet'!$E$15+1,1))-AVERAGE(OFFSET($H$3,0,0,'Données projet'!$E$15+1,1))</f>
        <v>#N/A</v>
      </c>
      <c r="EP9" s="58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58" t="e">
        <f t="shared" si="23"/>
        <v>#N/A</v>
      </c>
      <c r="FJ9" s="58" t="e">
        <f ca="1">AVERAGE(OFFSET($FI$3,0,0,'Données projet'!$E$16+1,1))-AVERAGE(OFFSET($H$3,0,0,'Données projet'!$E$16+1,1))</f>
        <v>#N/A</v>
      </c>
      <c r="FK9" s="58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58" t="e">
        <f t="shared" si="26"/>
        <v>#N/A</v>
      </c>
      <c r="GE9" s="58" t="e">
        <f ca="1">AVERAGE(OFFSET($GD$3,0,0,'Données projet'!$E$17+1,1))-AVERAGE(OFFSET($H$3,0,0,'Données projet'!$E$17+1,1))</f>
        <v>#N/A</v>
      </c>
      <c r="GF9" s="58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58" t="e">
        <f t="shared" si="29"/>
        <v>#N/A</v>
      </c>
      <c r="GZ9" s="58" t="e">
        <f ca="1">AVERAGE(OFFSET($GY$3,0,0,'Données projet'!$E$18+1,1))-AVERAGE(OFFSET($H$3,0,0,'Données projet'!$E$18+1,1))</f>
        <v>#N/A</v>
      </c>
      <c r="HA9" s="58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0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3">
        <f t="shared" si="1"/>
        <v>183.33333333333334</v>
      </c>
      <c r="I10" s="6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3.7816502416982529</v>
      </c>
      <c r="P10" s="14">
        <f t="shared" si="33"/>
        <v>1.492764553183741</v>
      </c>
      <c r="Q10" s="22">
        <f t="shared" si="2"/>
        <v>9.1862724344194735</v>
      </c>
      <c r="R10" s="58">
        <f t="shared" si="0"/>
        <v>193.3104533701557</v>
      </c>
      <c r="S10" s="58">
        <f ca="1">AVERAGE(OFFSET($R$3,0,0,'Données projet'!$E$9+1,1))-AVERAGE(OFFSET($H$3,0,0,'Données projet'!$E$9+1,1))</f>
        <v>527.70171871461309</v>
      </c>
      <c r="T10" s="58">
        <f t="shared" si="34"/>
        <v>281.06176764290592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1.1000000000000001</v>
      </c>
      <c r="AI10" s="14">
        <f>IF('Données projet'!$A$62&gt;35,AI9+AH10-AQ9,IF(A10&lt;'Données projet'!$A$62,$AF$205^A10,IF(A10='Données projet'!$A$62,'Données projet'!$B$62,AI9+AH10-AQ9)))</f>
        <v>5.3576566694841175</v>
      </c>
      <c r="AJ10" s="14">
        <f>AI10*VLOOKUP('Données projet'!$B$10,Paramètres!$A$1:$I$89,3,0)*VLOOKUP('Données projet'!$B$10,Paramètres!$A$1:$I$89,5,0)</f>
        <v>3.510336649845994</v>
      </c>
      <c r="AK10" s="14">
        <f t="shared" si="35"/>
        <v>1.397726620379814</v>
      </c>
      <c r="AL10" s="22">
        <f t="shared" si="4"/>
        <v>8.5482101956432839</v>
      </c>
      <c r="AM10" s="58">
        <f t="shared" si="5"/>
        <v>192.67239113137953</v>
      </c>
      <c r="AN10" s="58">
        <f ca="1">AVERAGE(OFFSET($AM$3,0,0,'Données projet'!$E$10+1,1))-AVERAGE(OFFSET($H$3,0,0,'Données projet'!$E$10+1,1))</f>
        <v>302.53318056366777</v>
      </c>
      <c r="AO10" s="58">
        <f t="shared" si="36"/>
        <v>318.32262615164541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2.4933333333333332</v>
      </c>
      <c r="BD10" s="13">
        <f>IF('Données projet'!$A$88&gt;35,BD9+BC10-BL9,IF(A10&lt;'Données projet'!$A$88,$BA$205^A10,IF(A10='Données projet'!$A$88,'Données projet'!$B$88,BD9+BC10-BL9)))</f>
        <v>5.4200931160999835</v>
      </c>
      <c r="BE10" s="14">
        <f>BD10*VLOOKUP('Données projet'!$B$11,Paramètres!$A$1:$I$89,3,0)*VLOOKUP('Données projet'!$B$11,Paramètres!$A$1:$I$89,5,0)</f>
        <v>4.312226083169147</v>
      </c>
      <c r="BF10" s="14">
        <f t="shared" si="37"/>
        <v>1.6763871756998234</v>
      </c>
      <c r="BG10" s="22">
        <f t="shared" si="7"/>
        <v>10.430168092530124</v>
      </c>
      <c r="BH10" s="58">
        <f t="shared" si="8"/>
        <v>194.55434902826636</v>
      </c>
      <c r="BI10" s="58">
        <f ca="1">AVERAGE(OFFSET($BH$3,0,0,'Données projet'!$E$11+1,1))-AVERAGE(OFFSET($H$3,0,0,'Données projet'!$E$11+1,1))</f>
        <v>336.25341821407534</v>
      </c>
      <c r="BJ10" s="58">
        <f t="shared" si="38"/>
        <v>360.3246221345039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2.8</v>
      </c>
      <c r="BY10" s="13">
        <f>IF('Données projet'!$A$114&gt;35,BY9+BX10-CG9,IF(A10&lt;'Données projet'!$A$114,$BV$205^A10,IF(A10='Données projet'!$A$114,'Données projet'!$B$114,BY9+BX10-CG9)))</f>
        <v>5.7215847537218165</v>
      </c>
      <c r="BZ10" s="14">
        <f>BY10*VLOOKUP('Données projet'!$B$12,Paramètres!$A$1:$I$89,3,0)*VLOOKUP('Données projet'!$B$12,Paramètres!$A$1:$I$89,5,0)</f>
        <v>4.6413495522191379</v>
      </c>
      <c r="CA10" s="14">
        <f t="shared" si="39"/>
        <v>1.7889530728912018</v>
      </c>
      <c r="CB10" s="22">
        <f t="shared" si="10"/>
        <v>11.199443738733841</v>
      </c>
      <c r="CC10" s="58">
        <f t="shared" si="11"/>
        <v>195.32362467447007</v>
      </c>
      <c r="CD10" s="58">
        <f ca="1">AVERAGE(OFFSET($CC$3,0,0,'Données projet'!$E$12+1,1))-AVERAGE(OFFSET($H$3,0,0,'Données projet'!$E$12+1,1))</f>
        <v>308.58270639204238</v>
      </c>
      <c r="CE10" s="58">
        <f t="shared" si="40"/>
        <v>258.90832875500325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3.3974358974358969</v>
      </c>
      <c r="CT10" s="13">
        <f>IF('Données projet'!$A$140&gt;35,CT9+CS10-DB9,IF(A10&lt;'Données projet'!$A$140,$CQ$205^A10,IF(A10='Données projet'!$A$140,'Données projet'!$B$140,CT9+CS10-DB9)))</f>
        <v>4.3778758696860445</v>
      </c>
      <c r="CU10" s="18">
        <f>CT10*VLOOKUP('Données projet'!$B$13,Paramètres!$A$1:$I$89,3,0)*VLOOKUP('Données projet'!$B$13,Paramètres!$A$1:$I$89,5,0)</f>
        <v>4.1659866775932395</v>
      </c>
      <c r="CV10" s="14">
        <f t="shared" si="41"/>
        <v>1.626053313751022</v>
      </c>
      <c r="CW10" s="22">
        <f t="shared" si="13"/>
        <v>10.087802984924588</v>
      </c>
      <c r="CX10" s="58">
        <f t="shared" si="14"/>
        <v>194.21198392066083</v>
      </c>
      <c r="CY10" s="58">
        <f ca="1">AVERAGE(OFFSET($CX$3,0,0,'Données projet'!$E$13+1,1))-AVERAGE(OFFSET($H$3,0,0,'Données projet'!$E$13+1,1))</f>
        <v>397.61813291201469</v>
      </c>
      <c r="CZ10" s="58">
        <f t="shared" si="42"/>
        <v>320.30651625485064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58" t="e">
        <f t="shared" si="17"/>
        <v>#N/A</v>
      </c>
      <c r="DT10" s="58" t="e">
        <f ca="1">AVERAGE(OFFSET($DS$3,0,0,'Données projet'!$E$14+1,1))-AVERAGE(OFFSET($H$3,0,0,'Données projet'!$E$14+1,1))</f>
        <v>#N/A</v>
      </c>
      <c r="DU10" s="58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58" t="e">
        <f t="shared" si="20"/>
        <v>#N/A</v>
      </c>
      <c r="EO10" s="58" t="e">
        <f ca="1">AVERAGE(OFFSET($EN$3,0,0,'Données projet'!$E$15+1,1))-AVERAGE(OFFSET($H$3,0,0,'Données projet'!$E$15+1,1))</f>
        <v>#N/A</v>
      </c>
      <c r="EP10" s="58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58" t="e">
        <f t="shared" si="23"/>
        <v>#N/A</v>
      </c>
      <c r="FJ10" s="58" t="e">
        <f ca="1">AVERAGE(OFFSET($FI$3,0,0,'Données projet'!$E$16+1,1))-AVERAGE(OFFSET($H$3,0,0,'Données projet'!$E$16+1,1))</f>
        <v>#N/A</v>
      </c>
      <c r="FK10" s="58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58" t="e">
        <f t="shared" si="26"/>
        <v>#N/A</v>
      </c>
      <c r="GE10" s="58" t="e">
        <f ca="1">AVERAGE(OFFSET($GD$3,0,0,'Données projet'!$E$17+1,1))-AVERAGE(OFFSET($H$3,0,0,'Données projet'!$E$17+1,1))</f>
        <v>#N/A</v>
      </c>
      <c r="GF10" s="58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58" t="e">
        <f t="shared" si="29"/>
        <v>#N/A</v>
      </c>
      <c r="GZ10" s="58" t="e">
        <f ca="1">AVERAGE(OFFSET($GY$3,0,0,'Données projet'!$E$18+1,1))-AVERAGE(OFFSET($H$3,0,0,'Données projet'!$E$18+1,1))</f>
        <v>#N/A</v>
      </c>
      <c r="HA10" s="58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0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3">
        <f t="shared" si="1"/>
        <v>183.33333333333334</v>
      </c>
      <c r="I11" s="6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4.6864879233389463</v>
      </c>
      <c r="P11" s="14">
        <f t="shared" si="33"/>
        <v>1.8043173192324258</v>
      </c>
      <c r="Q11" s="22">
        <f t="shared" si="2"/>
        <v>11.304819130811806</v>
      </c>
      <c r="R11" s="58">
        <f t="shared" si="0"/>
        <v>198.05809199703236</v>
      </c>
      <c r="S11" s="58">
        <f ca="1">AVERAGE(OFFSET($R$3,0,0,'Données projet'!$E$9+1,1))-AVERAGE(OFFSET($H$3,0,0,'Données projet'!$E$9+1,1))</f>
        <v>527.70171871461309</v>
      </c>
      <c r="T11" s="58">
        <f t="shared" si="34"/>
        <v>281.06176764290592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1.1000000000000001</v>
      </c>
      <c r="AI11" s="14">
        <f>IF('Données projet'!$A$62&gt;35,AI10+AH11-AQ10,IF(A11&lt;'Données projet'!$A$62,$AF$205^A11,IF(A11='Données projet'!$A$62,'Données projet'!$B$62,AI10+AH11-AQ10)))</f>
        <v>6.8094831275223076</v>
      </c>
      <c r="AJ11" s="14">
        <f>AI11*VLOOKUP('Données projet'!$B$10,Paramètres!$A$1:$I$89,3,0)*VLOOKUP('Données projet'!$B$10,Paramètres!$A$1:$I$89,5,0)</f>
        <v>4.4615733451526163</v>
      </c>
      <c r="AK11" s="14">
        <f t="shared" si="35"/>
        <v>1.7275860727911023</v>
      </c>
      <c r="AL11" s="22">
        <f t="shared" si="4"/>
        <v>10.779452652918643</v>
      </c>
      <c r="AM11" s="58">
        <f t="shared" si="5"/>
        <v>197.53272551913921</v>
      </c>
      <c r="AN11" s="58">
        <f ca="1">AVERAGE(OFFSET($AM$3,0,0,'Données projet'!$E$10+1,1))-AVERAGE(OFFSET($H$3,0,0,'Données projet'!$E$10+1,1))</f>
        <v>302.53318056366777</v>
      </c>
      <c r="AO11" s="58">
        <f t="shared" si="36"/>
        <v>318.32262615164541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2.4933333333333332</v>
      </c>
      <c r="BD11" s="13">
        <f>IF('Données projet'!$A$88&gt;35,BD10+BC11-BL10,IF(A11&lt;'Données projet'!$A$88,$BA$205^A11,IF(A11='Données projet'!$A$88,'Données projet'!$B$88,BD10+BC11-BL10)))</f>
        <v>6.9002504567506522</v>
      </c>
      <c r="BE11" s="14">
        <f>BD11*VLOOKUP('Données projet'!$B$11,Paramètres!$A$1:$I$89,3,0)*VLOOKUP('Données projet'!$B$11,Paramètres!$A$1:$I$89,5,0)</f>
        <v>5.4898392633908193</v>
      </c>
      <c r="BF11" s="14">
        <f t="shared" si="37"/>
        <v>2.0750422939399171</v>
      </c>
      <c r="BG11" s="22">
        <f t="shared" si="7"/>
        <v>13.175502045684366</v>
      </c>
      <c r="BH11" s="58">
        <f t="shared" si="8"/>
        <v>199.92877491190492</v>
      </c>
      <c r="BI11" s="58">
        <f ca="1">AVERAGE(OFFSET($BH$3,0,0,'Données projet'!$E$11+1,1))-AVERAGE(OFFSET($H$3,0,0,'Données projet'!$E$11+1,1))</f>
        <v>336.25341821407534</v>
      </c>
      <c r="BJ11" s="58">
        <f t="shared" si="38"/>
        <v>360.3246221345039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2.8</v>
      </c>
      <c r="BY11" s="13">
        <f>IF('Données projet'!$A$114&gt;35,BY10+BX11-CG10,IF(A11&lt;'Données projet'!$A$114,$BV$205^A11,IF(A11='Données projet'!$A$114,'Données projet'!$B$114,BY10+BX11-CG10)))</f>
        <v>7.3406235873163457</v>
      </c>
      <c r="BZ11" s="14">
        <f>BY11*VLOOKUP('Données projet'!$B$12,Paramètres!$A$1:$I$89,3,0)*VLOOKUP('Données projet'!$B$12,Paramètres!$A$1:$I$89,5,0)</f>
        <v>5.95471385403102</v>
      </c>
      <c r="CA11" s="14">
        <f t="shared" si="39"/>
        <v>2.2295599442474598</v>
      </c>
      <c r="CB11" s="22">
        <f t="shared" si="10"/>
        <v>14.254276865335017</v>
      </c>
      <c r="CC11" s="58">
        <f t="shared" si="11"/>
        <v>201.00754973155557</v>
      </c>
      <c r="CD11" s="58">
        <f ca="1">AVERAGE(OFFSET($CC$3,0,0,'Données projet'!$E$12+1,1))-AVERAGE(OFFSET($H$3,0,0,'Données projet'!$E$12+1,1))</f>
        <v>308.58270639204238</v>
      </c>
      <c r="CE11" s="58">
        <f t="shared" si="40"/>
        <v>258.90832875500325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3.3974358974358969</v>
      </c>
      <c r="CT11" s="13">
        <f>IF('Données projet'!$A$140&gt;35,CT10+CS11-DB10,IF(A11&lt;'Données projet'!$A$140,$CQ$205^A11,IF(A11='Données projet'!$A$140,'Données projet'!$B$140,CT10+CS11-DB10)))</f>
        <v>5.4059560022911146</v>
      </c>
      <c r="CU11" s="18">
        <f>CT11*VLOOKUP('Données projet'!$B$13,Paramètres!$A$1:$I$89,3,0)*VLOOKUP('Données projet'!$B$13,Paramètres!$A$1:$I$89,5,0)</f>
        <v>5.1443077317802253</v>
      </c>
      <c r="CV11" s="14">
        <f t="shared" si="41"/>
        <v>1.9592080166936408</v>
      </c>
      <c r="CW11" s="22">
        <f t="shared" si="13"/>
        <v>12.37195659525865</v>
      </c>
      <c r="CX11" s="58">
        <f t="shared" si="14"/>
        <v>199.12522946147919</v>
      </c>
      <c r="CY11" s="58">
        <f ca="1">AVERAGE(OFFSET($CX$3,0,0,'Données projet'!$E$13+1,1))-AVERAGE(OFFSET($H$3,0,0,'Données projet'!$E$13+1,1))</f>
        <v>397.61813291201469</v>
      </c>
      <c r="CZ11" s="58">
        <f t="shared" si="42"/>
        <v>320.30651625485064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58" t="e">
        <f t="shared" si="17"/>
        <v>#N/A</v>
      </c>
      <c r="DT11" s="58" t="e">
        <f ca="1">AVERAGE(OFFSET($DS$3,0,0,'Données projet'!$E$14+1,1))-AVERAGE(OFFSET($H$3,0,0,'Données projet'!$E$14+1,1))</f>
        <v>#N/A</v>
      </c>
      <c r="DU11" s="58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58" t="e">
        <f t="shared" si="20"/>
        <v>#N/A</v>
      </c>
      <c r="EO11" s="58" t="e">
        <f ca="1">AVERAGE(OFFSET($EN$3,0,0,'Données projet'!$E$15+1,1))-AVERAGE(OFFSET($H$3,0,0,'Données projet'!$E$15+1,1))</f>
        <v>#N/A</v>
      </c>
      <c r="EP11" s="58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58" t="e">
        <f t="shared" si="23"/>
        <v>#N/A</v>
      </c>
      <c r="FJ11" s="58" t="e">
        <f ca="1">AVERAGE(OFFSET($FI$3,0,0,'Données projet'!$E$16+1,1))-AVERAGE(OFFSET($H$3,0,0,'Données projet'!$E$16+1,1))</f>
        <v>#N/A</v>
      </c>
      <c r="FK11" s="58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58" t="e">
        <f t="shared" si="26"/>
        <v>#N/A</v>
      </c>
      <c r="GE11" s="58" t="e">
        <f ca="1">AVERAGE(OFFSET($GD$3,0,0,'Données projet'!$E$17+1,1))-AVERAGE(OFFSET($H$3,0,0,'Données projet'!$E$17+1,1))</f>
        <v>#N/A</v>
      </c>
      <c r="GF11" s="58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58" t="e">
        <f t="shared" si="29"/>
        <v>#N/A</v>
      </c>
      <c r="GZ11" s="58" t="e">
        <f ca="1">AVERAGE(OFFSET($GY$3,0,0,'Données projet'!$E$18+1,1))-AVERAGE(OFFSET($H$3,0,0,'Données projet'!$E$18+1,1))</f>
        <v>#N/A</v>
      </c>
      <c r="HA11" s="58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0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3">
        <f t="shared" si="1"/>
        <v>183.33333333333334</v>
      </c>
      <c r="I12" s="6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5.8078266502347455</v>
      </c>
      <c r="P12" s="14">
        <f t="shared" si="33"/>
        <v>2.1808938198181922</v>
      </c>
      <c r="Q12" s="22">
        <f t="shared" si="2"/>
        <v>13.913688152008866</v>
      </c>
      <c r="R12" s="58">
        <f t="shared" si="0"/>
        <v>203.27164690456493</v>
      </c>
      <c r="S12" s="58">
        <f ca="1">AVERAGE(OFFSET($R$3,0,0,'Données projet'!$E$9+1,1))-AVERAGE(OFFSET($H$3,0,0,'Données projet'!$E$9+1,1))</f>
        <v>527.70171871461309</v>
      </c>
      <c r="T12" s="58">
        <f t="shared" si="34"/>
        <v>281.06176764290592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1.1000000000000001</v>
      </c>
      <c r="AI12" s="14">
        <f>IF('Données projet'!$A$62&gt;35,AI11+AH12-AQ11,IF(A12&lt;'Données projet'!$A$62,$AF$205^A12,IF(A12='Données projet'!$A$62,'Données projet'!$B$62,AI11+AH12-AQ11)))</f>
        <v>8.6547278641645029</v>
      </c>
      <c r="AJ12" s="14">
        <f>AI12*VLOOKUP('Données projet'!$B$10,Paramètres!$A$1:$I$89,3,0)*VLOOKUP('Données projet'!$B$10,Paramètres!$A$1:$I$89,5,0)</f>
        <v>5.6705776966005823</v>
      </c>
      <c r="AK12" s="14">
        <f t="shared" si="35"/>
        <v>2.1352914049034637</v>
      </c>
      <c r="AL12" s="22">
        <f t="shared" si="4"/>
        <v>13.59522201845288</v>
      </c>
      <c r="AM12" s="58">
        <f t="shared" si="5"/>
        <v>202.95318077100896</v>
      </c>
      <c r="AN12" s="58">
        <f ca="1">AVERAGE(OFFSET($AM$3,0,0,'Données projet'!$E$10+1,1))-AVERAGE(OFFSET($H$3,0,0,'Données projet'!$E$10+1,1))</f>
        <v>302.53318056366777</v>
      </c>
      <c r="AO12" s="58">
        <f t="shared" si="36"/>
        <v>318.32262615164541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2.4933333333333332</v>
      </c>
      <c r="BD12" s="13">
        <f>IF('Données projet'!$A$88&gt;35,BD11+BC12-BL11,IF(A12&lt;'Données projet'!$A$88,$BA$205^A12,IF(A12='Données projet'!$A$88,'Données projet'!$B$88,BD11+BC12-BL11)))</f>
        <v>8.784619626636184</v>
      </c>
      <c r="BE12" s="14">
        <f>BD12*VLOOKUP('Données projet'!$B$11,Paramètres!$A$1:$I$89,3,0)*VLOOKUP('Données projet'!$B$11,Paramètres!$A$1:$I$89,5,0)</f>
        <v>6.9890433749517484</v>
      </c>
      <c r="BF12" s="14">
        <f t="shared" si="37"/>
        <v>2.5685000363009434</v>
      </c>
      <c r="BG12" s="22">
        <f t="shared" si="7"/>
        <v>16.646054774598436</v>
      </c>
      <c r="BH12" s="58">
        <f t="shared" si="8"/>
        <v>206.00401352715451</v>
      </c>
      <c r="BI12" s="58">
        <f ca="1">AVERAGE(OFFSET($BH$3,0,0,'Données projet'!$E$11+1,1))-AVERAGE(OFFSET($H$3,0,0,'Données projet'!$E$11+1,1))</f>
        <v>336.25341821407534</v>
      </c>
      <c r="BJ12" s="58">
        <f t="shared" si="38"/>
        <v>360.3246221345039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2.8</v>
      </c>
      <c r="BY12" s="13">
        <f>IF('Données projet'!$A$114&gt;35,BY11+BX12-CG11,IF(A12&lt;'Données projet'!$A$114,$BV$205^A12,IF(A12='Données projet'!$A$114,'Données projet'!$B$114,BY11+BX12-CG11)))</f>
        <v>9.4178024044149247</v>
      </c>
      <c r="BZ12" s="14">
        <f>BY12*VLOOKUP('Données projet'!$B$12,Paramètres!$A$1:$I$89,3,0)*VLOOKUP('Données projet'!$B$12,Paramètres!$A$1:$I$89,5,0)</f>
        <v>7.639721310461387</v>
      </c>
      <c r="CA12" s="14">
        <f t="shared" si="39"/>
        <v>2.7786852658795538</v>
      </c>
      <c r="CB12" s="22">
        <f t="shared" si="10"/>
        <v>18.145391453793806</v>
      </c>
      <c r="CC12" s="58">
        <f t="shared" si="11"/>
        <v>207.50335020634986</v>
      </c>
      <c r="CD12" s="58">
        <f ca="1">AVERAGE(OFFSET($CC$3,0,0,'Données projet'!$E$12+1,1))-AVERAGE(OFFSET($H$3,0,0,'Données projet'!$E$12+1,1))</f>
        <v>308.58270639204238</v>
      </c>
      <c r="CE12" s="58">
        <f t="shared" si="40"/>
        <v>258.90832875500325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3.3974358974358969</v>
      </c>
      <c r="CT12" s="13">
        <f>IF('Données projet'!$A$140&gt;35,CT11+CS12-DB11,IF(A12&lt;'Données projet'!$A$140,$CQ$205^A12,IF(A12='Données projet'!$A$140,'Données projet'!$B$140,CT11+CS12-DB11)))</f>
        <v>6.6754657209600436</v>
      </c>
      <c r="CU12" s="18">
        <f>CT12*VLOOKUP('Données projet'!$B$13,Paramètres!$A$1:$I$89,3,0)*VLOOKUP('Données projet'!$B$13,Paramètres!$A$1:$I$89,5,0)</f>
        <v>6.3523731800655776</v>
      </c>
      <c r="CV12" s="14">
        <f t="shared" si="41"/>
        <v>2.3606212786602221</v>
      </c>
      <c r="CW12" s="22">
        <f t="shared" si="13"/>
        <v>15.175132015614098</v>
      </c>
      <c r="CX12" s="58">
        <f t="shared" si="14"/>
        <v>204.53309076817018</v>
      </c>
      <c r="CY12" s="58">
        <f ca="1">AVERAGE(OFFSET($CX$3,0,0,'Données projet'!$E$13+1,1))-AVERAGE(OFFSET($H$3,0,0,'Données projet'!$E$13+1,1))</f>
        <v>397.61813291201469</v>
      </c>
      <c r="CZ12" s="58">
        <f t="shared" si="42"/>
        <v>320.30651625485064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58" t="e">
        <f t="shared" si="17"/>
        <v>#N/A</v>
      </c>
      <c r="DT12" s="58" t="e">
        <f ca="1">AVERAGE(OFFSET($DS$3,0,0,'Données projet'!$E$14+1,1))-AVERAGE(OFFSET($H$3,0,0,'Données projet'!$E$14+1,1))</f>
        <v>#N/A</v>
      </c>
      <c r="DU12" s="58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58" t="e">
        <f t="shared" si="20"/>
        <v>#N/A</v>
      </c>
      <c r="EO12" s="58" t="e">
        <f ca="1">AVERAGE(OFFSET($EN$3,0,0,'Données projet'!$E$15+1,1))-AVERAGE(OFFSET($H$3,0,0,'Données projet'!$E$15+1,1))</f>
        <v>#N/A</v>
      </c>
      <c r="EP12" s="58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58" t="e">
        <f t="shared" si="23"/>
        <v>#N/A</v>
      </c>
      <c r="FJ12" s="58" t="e">
        <f ca="1">AVERAGE(OFFSET($FI$3,0,0,'Données projet'!$E$16+1,1))-AVERAGE(OFFSET($H$3,0,0,'Données projet'!$E$16+1,1))</f>
        <v>#N/A</v>
      </c>
      <c r="FK12" s="58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58" t="e">
        <f t="shared" si="26"/>
        <v>#N/A</v>
      </c>
      <c r="GE12" s="58" t="e">
        <f ca="1">AVERAGE(OFFSET($GD$3,0,0,'Données projet'!$E$17+1,1))-AVERAGE(OFFSET($H$3,0,0,'Données projet'!$E$17+1,1))</f>
        <v>#N/A</v>
      </c>
      <c r="GF12" s="58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58" t="e">
        <f t="shared" si="29"/>
        <v>#N/A</v>
      </c>
      <c r="GZ12" s="58" t="e">
        <f ca="1">AVERAGE(OFFSET($GY$3,0,0,'Données projet'!$E$18+1,1))-AVERAGE(OFFSET($H$3,0,0,'Données projet'!$E$18+1,1))</f>
        <v>#N/A</v>
      </c>
      <c r="HA12" s="58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0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3">
        <f t="shared" si="1"/>
        <v>183.33333333333334</v>
      </c>
      <c r="I13" s="6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7.1974687550554899</v>
      </c>
      <c r="P13" s="14">
        <f t="shared" si="33"/>
        <v>2.6360650660630816</v>
      </c>
      <c r="Q13" s="22">
        <f t="shared" si="2"/>
        <v>17.126738071781514</v>
      </c>
      <c r="R13" s="58">
        <f t="shared" si="0"/>
        <v>209.06540005682641</v>
      </c>
      <c r="S13" s="58">
        <f ca="1">AVERAGE(OFFSET($R$3,0,0,'Données projet'!$E$9+1,1))-AVERAGE(OFFSET($H$3,0,0,'Données projet'!$E$9+1,1))</f>
        <v>527.70171871461309</v>
      </c>
      <c r="T13" s="58">
        <f t="shared" si="34"/>
        <v>281.06176764290592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11</v>
      </c>
      <c r="AG13" s="13">
        <f>VLOOKUP(A13,'Données projet'!$A$61:$I$81,9,0)</f>
        <v>1.1000000000000001</v>
      </c>
      <c r="AH13" s="13">
        <f t="array" ref="AH13">INDEX(AG:AG,MIN(IF(ISNUMBER(AG13:AG209),ROW(AG13:AG209),"")))</f>
        <v>1.1000000000000001</v>
      </c>
      <c r="AI13" s="14">
        <f>IF('Données projet'!$A$62&gt;35,AI12+AH13-AQ12,IF(A13&lt;'Données projet'!$A$62,$AF$205^A13,IF(A13='Données projet'!$A$62,'Données projet'!$B$62,AI12+AH13-AQ12)))</f>
        <v>11</v>
      </c>
      <c r="AJ13" s="14">
        <f>AI13*VLOOKUP('Données projet'!$B$10,Paramètres!$A$1:$I$89,3,0)*VLOOKUP('Données projet'!$B$10,Paramètres!$A$1:$I$89,5,0)</f>
        <v>7.2072000000000003</v>
      </c>
      <c r="AK13" s="14">
        <f t="shared" si="35"/>
        <v>2.6392140198770462</v>
      </c>
      <c r="AL13" s="22">
        <f t="shared" si="4"/>
        <v>17.149171084619187</v>
      </c>
      <c r="AM13" s="58">
        <f t="shared" si="5"/>
        <v>209.08783306966407</v>
      </c>
      <c r="AN13" s="58">
        <f ca="1">AVERAGE(OFFSET($AM$3,0,0,'Données projet'!$E$10+1,1))-AVERAGE(OFFSET($H$3,0,0,'Données projet'!$E$10+1,1))</f>
        <v>302.53318056366777</v>
      </c>
      <c r="AO13" s="58">
        <f t="shared" si="36"/>
        <v>318.32262615164541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2.4933333333333332</v>
      </c>
      <c r="BD13" s="13">
        <f>IF('Données projet'!$A$88&gt;35,BD12+BC13-BL12,IF(A13&lt;'Données projet'!$A$88,$BA$205^A13,IF(A13='Données projet'!$A$88,'Données projet'!$B$88,BD12+BC13-BL12)))</f>
        <v>11.183585649298445</v>
      </c>
      <c r="BE13" s="14">
        <f>BD13*VLOOKUP('Données projet'!$B$11,Paramètres!$A$1:$I$89,3,0)*VLOOKUP('Données projet'!$B$11,Paramètres!$A$1:$I$89,5,0)</f>
        <v>8.8976607425818433</v>
      </c>
      <c r="BF13" s="14">
        <f t="shared" si="37"/>
        <v>3.1793050463331762</v>
      </c>
      <c r="BG13" s="22">
        <f t="shared" si="7"/>
        <v>21.03404874902699</v>
      </c>
      <c r="BH13" s="58">
        <f t="shared" si="8"/>
        <v>212.97271073407188</v>
      </c>
      <c r="BI13" s="58">
        <f ca="1">AVERAGE(OFFSET($BH$3,0,0,'Données projet'!$E$11+1,1))-AVERAGE(OFFSET($H$3,0,0,'Données projet'!$E$11+1,1))</f>
        <v>336.25341821407534</v>
      </c>
      <c r="BJ13" s="58">
        <f t="shared" si="38"/>
        <v>360.3246221345039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2.8</v>
      </c>
      <c r="BY13" s="13">
        <f>IF('Données projet'!$A$114&gt;35,BY12+BX13-CG12,IF(A13&lt;'Données projet'!$A$114,$BV$205^A13,IF(A13='Données projet'!$A$114,'Données projet'!$B$114,BY12+BX13-CG12)))</f>
        <v>12.08276123596054</v>
      </c>
      <c r="BZ13" s="14">
        <f>BY13*VLOOKUP('Données projet'!$B$12,Paramètres!$A$1:$I$89,3,0)*VLOOKUP('Données projet'!$B$12,Paramètres!$A$1:$I$89,5,0)</f>
        <v>9.8015359146111898</v>
      </c>
      <c r="CA13" s="14">
        <f t="shared" si="39"/>
        <v>3.4630563877582672</v>
      </c>
      <c r="CB13" s="22">
        <f t="shared" si="10"/>
        <v>23.102498259960139</v>
      </c>
      <c r="CC13" s="58">
        <f t="shared" si="11"/>
        <v>215.04116024500502</v>
      </c>
      <c r="CD13" s="58">
        <f ca="1">AVERAGE(OFFSET($CC$3,0,0,'Données projet'!$E$12+1,1))-AVERAGE(OFFSET($H$3,0,0,'Données projet'!$E$12+1,1))</f>
        <v>308.58270639204238</v>
      </c>
      <c r="CE13" s="58">
        <f t="shared" si="40"/>
        <v>258.90832875500325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3.3974358974358969</v>
      </c>
      <c r="CT13" s="13">
        <f>IF('Données projet'!$A$140&gt;35,CT12+CS13-DB12,IF(A13&lt;'Données projet'!$A$140,$CQ$205^A13,IF(A13='Données projet'!$A$140,'Données projet'!$B$140,CT12+CS13-DB12)))</f>
        <v>8.2431012336812781</v>
      </c>
      <c r="CU13" s="18">
        <f>CT13*VLOOKUP('Données projet'!$B$13,Paramètres!$A$1:$I$89,3,0)*VLOOKUP('Données projet'!$B$13,Paramètres!$A$1:$I$89,5,0)</f>
        <v>7.844135133971105</v>
      </c>
      <c r="CV13" s="14">
        <f t="shared" si="41"/>
        <v>2.8442782868291983</v>
      </c>
      <c r="CW13" s="22">
        <f t="shared" si="13"/>
        <v>18.615653374560527</v>
      </c>
      <c r="CX13" s="58">
        <f t="shared" si="14"/>
        <v>210.55431535960543</v>
      </c>
      <c r="CY13" s="58">
        <f ca="1">AVERAGE(OFFSET($CX$3,0,0,'Données projet'!$E$13+1,1))-AVERAGE(OFFSET($H$3,0,0,'Données projet'!$E$13+1,1))</f>
        <v>397.61813291201469</v>
      </c>
      <c r="CZ13" s="58">
        <f t="shared" si="42"/>
        <v>320.30651625485064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58" t="e">
        <f t="shared" si="17"/>
        <v>#N/A</v>
      </c>
      <c r="DT13" s="58" t="e">
        <f ca="1">AVERAGE(OFFSET($DS$3,0,0,'Données projet'!$E$14+1,1))-AVERAGE(OFFSET($H$3,0,0,'Données projet'!$E$14+1,1))</f>
        <v>#N/A</v>
      </c>
      <c r="DU13" s="58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58" t="e">
        <f t="shared" si="20"/>
        <v>#N/A</v>
      </c>
      <c r="EO13" s="58" t="e">
        <f ca="1">AVERAGE(OFFSET($EN$3,0,0,'Données projet'!$E$15+1,1))-AVERAGE(OFFSET($H$3,0,0,'Données projet'!$E$15+1,1))</f>
        <v>#N/A</v>
      </c>
      <c r="EP13" s="58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58" t="e">
        <f t="shared" si="23"/>
        <v>#N/A</v>
      </c>
      <c r="FJ13" s="58" t="e">
        <f ca="1">AVERAGE(OFFSET($FI$3,0,0,'Données projet'!$E$16+1,1))-AVERAGE(OFFSET($H$3,0,0,'Données projet'!$E$16+1,1))</f>
        <v>#N/A</v>
      </c>
      <c r="FK13" s="58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58" t="e">
        <f t="shared" si="26"/>
        <v>#N/A</v>
      </c>
      <c r="GE13" s="58" t="e">
        <f ca="1">AVERAGE(OFFSET($GD$3,0,0,'Données projet'!$E$17+1,1))-AVERAGE(OFFSET($H$3,0,0,'Données projet'!$E$17+1,1))</f>
        <v>#N/A</v>
      </c>
      <c r="GF13" s="58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58" t="e">
        <f t="shared" si="29"/>
        <v>#N/A</v>
      </c>
      <c r="GZ13" s="58" t="e">
        <f ca="1">AVERAGE(OFFSET($GY$3,0,0,'Données projet'!$E$18+1,1))-AVERAGE(OFFSET($H$3,0,0,'Données projet'!$E$18+1,1))</f>
        <v>#N/A</v>
      </c>
      <c r="HA13" s="58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0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3">
        <f t="shared" si="1"/>
        <v>183.33333333333334</v>
      </c>
      <c r="I14" s="6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8.9196113451330703</v>
      </c>
      <c r="P14" s="14">
        <f t="shared" si="33"/>
        <v>3.186234455512118</v>
      </c>
      <c r="Q14" s="22">
        <f t="shared" si="2"/>
        <v>21.084348102790369</v>
      </c>
      <c r="R14" s="58">
        <f t="shared" si="0"/>
        <v>215.58014671190449</v>
      </c>
      <c r="S14" s="58">
        <f ca="1">AVERAGE(OFFSET($R$3,0,0,'Données projet'!$E$9+1,1))-AVERAGE(OFFSET($H$3,0,0,'Données projet'!$E$9+1,1))</f>
        <v>527.70171871461309</v>
      </c>
      <c r="T14" s="58">
        <f t="shared" si="34"/>
        <v>281.06176764290592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6.8</v>
      </c>
      <c r="AI14" s="14">
        <f>IF('Données projet'!$A$62&gt;35,AI13+AH14-AQ13,IF(A14&lt;'Données projet'!$A$62,$AF$205^A14,IF(A14='Données projet'!$A$62,'Données projet'!$B$62,AI13+AH14-AQ13)))</f>
        <v>17.8</v>
      </c>
      <c r="AJ14" s="14">
        <f>AI14*VLOOKUP('Données projet'!$B$10,Paramètres!$A$1:$I$89,3,0)*VLOOKUP('Données projet'!$B$10,Paramètres!$A$1:$I$89,5,0)</f>
        <v>11.662560000000001</v>
      </c>
      <c r="AK14" s="14">
        <f t="shared" si="35"/>
        <v>4.0380449311592468</v>
      </c>
      <c r="AL14" s="22">
        <f t="shared" si="4"/>
        <v>27.345220255102358</v>
      </c>
      <c r="AM14" s="58">
        <f t="shared" si="5"/>
        <v>221.84101886421649</v>
      </c>
      <c r="AN14" s="58">
        <f ca="1">AVERAGE(OFFSET($AM$3,0,0,'Données projet'!$E$10+1,1))-AVERAGE(OFFSET($H$3,0,0,'Données projet'!$E$10+1,1))</f>
        <v>302.53318056366777</v>
      </c>
      <c r="AO14" s="58">
        <f t="shared" si="36"/>
        <v>318.32262615164541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2.4933333333333332</v>
      </c>
      <c r="BD14" s="13">
        <f>IF('Données projet'!$A$88&gt;35,BD13+BC14-BL13,IF(A14&lt;'Données projet'!$A$88,$BA$205^A14,IF(A14='Données projet'!$A$88,'Données projet'!$B$88,BD13+BC14-BL13)))</f>
        <v>14.237678270776428</v>
      </c>
      <c r="BE14" s="14">
        <f>BD14*VLOOKUP('Données projet'!$B$11,Paramètres!$A$1:$I$89,3,0)*VLOOKUP('Données projet'!$B$11,Paramètres!$A$1:$I$89,5,0)</f>
        <v>11.327496832229725</v>
      </c>
      <c r="BF14" s="14">
        <f t="shared" si="37"/>
        <v>3.9353632216399443</v>
      </c>
      <c r="BG14" s="22">
        <f t="shared" si="7"/>
        <v>26.582814593823006</v>
      </c>
      <c r="BH14" s="58">
        <f t="shared" si="8"/>
        <v>221.07861320293713</v>
      </c>
      <c r="BI14" s="58">
        <f ca="1">AVERAGE(OFFSET($BH$3,0,0,'Données projet'!$E$11+1,1))-AVERAGE(OFFSET($H$3,0,0,'Données projet'!$E$11+1,1))</f>
        <v>336.25341821407534</v>
      </c>
      <c r="BJ14" s="58">
        <f t="shared" si="38"/>
        <v>360.3246221345039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2.8</v>
      </c>
      <c r="BY14" s="13">
        <f>IF('Données projet'!$A$114&gt;35,BY13+BX14-CG13,IF(A14&lt;'Données projet'!$A$114,$BV$205^A14,IF(A14='Données projet'!$A$114,'Données projet'!$B$114,BY13+BX14-CG13)))</f>
        <v>15.501824397673841</v>
      </c>
      <c r="BZ14" s="14">
        <f>BY14*VLOOKUP('Données projet'!$B$12,Paramètres!$A$1:$I$89,3,0)*VLOOKUP('Données projet'!$B$12,Paramètres!$A$1:$I$89,5,0)</f>
        <v>12.575079951393022</v>
      </c>
      <c r="CA14" s="14">
        <f t="shared" si="39"/>
        <v>4.3159834228282739</v>
      </c>
      <c r="CB14" s="22">
        <f t="shared" si="10"/>
        <v>29.418602043435424</v>
      </c>
      <c r="CC14" s="58">
        <f t="shared" si="11"/>
        <v>223.91440065254955</v>
      </c>
      <c r="CD14" s="58">
        <f ca="1">AVERAGE(OFFSET($CC$3,0,0,'Données projet'!$E$12+1,1))-AVERAGE(OFFSET($H$3,0,0,'Données projet'!$E$12+1,1))</f>
        <v>308.58270639204238</v>
      </c>
      <c r="CE14" s="58">
        <f t="shared" si="40"/>
        <v>258.90832875500325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3.3974358974358969</v>
      </c>
      <c r="CT14" s="13">
        <f>IF('Données projet'!$A$140&gt;35,CT13+CS14-DB13,IF(A14&lt;'Données projet'!$A$140,$CQ$205^A14,IF(A14='Données projet'!$A$140,'Données projet'!$B$140,CT13+CS14-DB13)))</f>
        <v>10.178873023850333</v>
      </c>
      <c r="CU14" s="18">
        <f>CT14*VLOOKUP('Données projet'!$B$13,Paramètres!$A$1:$I$89,3,0)*VLOOKUP('Données projet'!$B$13,Paramètres!$A$1:$I$89,5,0)</f>
        <v>9.6862155694959782</v>
      </c>
      <c r="CV14" s="14">
        <f t="shared" si="41"/>
        <v>3.4270295900744827</v>
      </c>
      <c r="CW14" s="22">
        <f t="shared" si="13"/>
        <v>22.838901986251884</v>
      </c>
      <c r="CX14" s="58">
        <f t="shared" si="14"/>
        <v>217.33470059536603</v>
      </c>
      <c r="CY14" s="58">
        <f ca="1">AVERAGE(OFFSET($CX$3,0,0,'Données projet'!$E$13+1,1))-AVERAGE(OFFSET($H$3,0,0,'Données projet'!$E$13+1,1))</f>
        <v>397.61813291201469</v>
      </c>
      <c r="CZ14" s="58">
        <f t="shared" si="42"/>
        <v>320.30651625485064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58" t="e">
        <f t="shared" si="17"/>
        <v>#N/A</v>
      </c>
      <c r="DT14" s="58" t="e">
        <f ca="1">AVERAGE(OFFSET($DS$3,0,0,'Données projet'!$E$14+1,1))-AVERAGE(OFFSET($H$3,0,0,'Données projet'!$E$14+1,1))</f>
        <v>#N/A</v>
      </c>
      <c r="DU14" s="58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58" t="e">
        <f t="shared" si="20"/>
        <v>#N/A</v>
      </c>
      <c r="EO14" s="58" t="e">
        <f ca="1">AVERAGE(OFFSET($EN$3,0,0,'Données projet'!$E$15+1,1))-AVERAGE(OFFSET($H$3,0,0,'Données projet'!$E$15+1,1))</f>
        <v>#N/A</v>
      </c>
      <c r="EP14" s="58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58" t="e">
        <f t="shared" si="23"/>
        <v>#N/A</v>
      </c>
      <c r="FJ14" s="58" t="e">
        <f ca="1">AVERAGE(OFFSET($FI$3,0,0,'Données projet'!$E$16+1,1))-AVERAGE(OFFSET($H$3,0,0,'Données projet'!$E$16+1,1))</f>
        <v>#N/A</v>
      </c>
      <c r="FK14" s="58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58" t="e">
        <f t="shared" si="26"/>
        <v>#N/A</v>
      </c>
      <c r="GE14" s="58" t="e">
        <f ca="1">AVERAGE(OFFSET($GD$3,0,0,'Données projet'!$E$17+1,1))-AVERAGE(OFFSET($H$3,0,0,'Données projet'!$E$17+1,1))</f>
        <v>#N/A</v>
      </c>
      <c r="GF14" s="58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58" t="e">
        <f t="shared" si="29"/>
        <v>#N/A</v>
      </c>
      <c r="GZ14" s="58" t="e">
        <f ca="1">AVERAGE(OFFSET($GY$3,0,0,'Données projet'!$E$18+1,1))-AVERAGE(OFFSET($H$3,0,0,'Données projet'!$E$18+1,1))</f>
        <v>#N/A</v>
      </c>
      <c r="HA14" s="58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0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3">
        <f t="shared" si="1"/>
        <v>183.33333333333334</v>
      </c>
      <c r="I15" s="6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11.053812007498347</v>
      </c>
      <c r="P15" s="14">
        <f t="shared" si="33"/>
        <v>3.8512289154738402</v>
      </c>
      <c r="Q15" s="22">
        <f t="shared" si="2"/>
        <v>25.959612940843225</v>
      </c>
      <c r="R15" s="58">
        <f t="shared" si="0"/>
        <v>222.98939039357609</v>
      </c>
      <c r="S15" s="58">
        <f ca="1">AVERAGE(OFFSET($R$3,0,0,'Données projet'!$E$9+1,1))-AVERAGE(OFFSET($H$3,0,0,'Données projet'!$E$9+1,1))</f>
        <v>527.70171871461309</v>
      </c>
      <c r="T15" s="58">
        <f t="shared" si="34"/>
        <v>281.06176764290592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6.8</v>
      </c>
      <c r="AI15" s="14">
        <f>IF('Données projet'!$A$62&gt;35,AI14+AH15-AQ14,IF(A15&lt;'Données projet'!$A$62,$AF$205^A15,IF(A15='Données projet'!$A$62,'Données projet'!$B$62,AI14+AH15-AQ14)))</f>
        <v>24.6</v>
      </c>
      <c r="AJ15" s="14">
        <f>AI15*VLOOKUP('Données projet'!$B$10,Paramètres!$A$1:$I$89,3,0)*VLOOKUP('Données projet'!$B$10,Paramètres!$A$1:$I$89,5,0)</f>
        <v>16.117920000000002</v>
      </c>
      <c r="AK15" s="14">
        <f t="shared" si="35"/>
        <v>5.3744038004928587</v>
      </c>
      <c r="AL15" s="22">
        <f t="shared" si="4"/>
        <v>37.432463952525062</v>
      </c>
      <c r="AM15" s="58">
        <f t="shared" si="5"/>
        <v>234.46224140525794</v>
      </c>
      <c r="AN15" s="58">
        <f ca="1">AVERAGE(OFFSET($AM$3,0,0,'Données projet'!$E$10+1,1))-AVERAGE(OFFSET($H$3,0,0,'Données projet'!$E$10+1,1))</f>
        <v>302.53318056366777</v>
      </c>
      <c r="AO15" s="58">
        <f t="shared" si="36"/>
        <v>318.32262615164541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2.4933333333333332</v>
      </c>
      <c r="BD15" s="13">
        <f>IF('Données projet'!$A$88&gt;35,BD14+BC15-BL14,IF(A15&lt;'Données projet'!$A$88,$BA$205^A15,IF(A15='Données projet'!$A$88,'Données projet'!$B$88,BD14+BC15-BL14)))</f>
        <v>18.125804093506943</v>
      </c>
      <c r="BE15" s="14">
        <f>BD15*VLOOKUP('Données projet'!$B$11,Paramètres!$A$1:$I$89,3,0)*VLOOKUP('Données projet'!$B$11,Paramètres!$A$1:$I$89,5,0)</f>
        <v>14.420889736794125</v>
      </c>
      <c r="BF15" s="14">
        <f t="shared" si="37"/>
        <v>4.8712166528651375</v>
      </c>
      <c r="BG15" s="22">
        <f t="shared" si="7"/>
        <v>33.600418628656548</v>
      </c>
      <c r="BH15" s="58">
        <f t="shared" si="8"/>
        <v>230.63019608138941</v>
      </c>
      <c r="BI15" s="58">
        <f ca="1">AVERAGE(OFFSET($BH$3,0,0,'Données projet'!$E$11+1,1))-AVERAGE(OFFSET($H$3,0,0,'Données projet'!$E$11+1,1))</f>
        <v>336.25341821407534</v>
      </c>
      <c r="BJ15" s="58">
        <f t="shared" si="38"/>
        <v>360.3246221345039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2.8</v>
      </c>
      <c r="BY15" s="13">
        <f>IF('Données projet'!$A$114&gt;35,BY14+BX15-CG14,IF(A15&lt;'Données projet'!$A$114,$BV$205^A15,IF(A15='Données projet'!$A$114,'Données projet'!$B$114,BY14+BX15-CG14)))</f>
        <v>19.888381054913101</v>
      </c>
      <c r="BZ15" s="14">
        <f>BY15*VLOOKUP('Données projet'!$B$12,Paramètres!$A$1:$I$89,3,0)*VLOOKUP('Données projet'!$B$12,Paramètres!$A$1:$I$89,5,0)</f>
        <v>16.133454711745507</v>
      </c>
      <c r="CA15" s="14">
        <f t="shared" si="39"/>
        <v>5.3789805363772061</v>
      </c>
      <c r="CB15" s="22">
        <f t="shared" si="10"/>
        <v>37.46749139048039</v>
      </c>
      <c r="CC15" s="58">
        <f t="shared" si="11"/>
        <v>234.49726884321325</v>
      </c>
      <c r="CD15" s="58">
        <f ca="1">AVERAGE(OFFSET($CC$3,0,0,'Données projet'!$E$12+1,1))-AVERAGE(OFFSET($H$3,0,0,'Données projet'!$E$12+1,1))</f>
        <v>308.58270639204238</v>
      </c>
      <c r="CE15" s="58">
        <f t="shared" si="40"/>
        <v>258.90832875500325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3.3974358974358969</v>
      </c>
      <c r="CT15" s="13">
        <f>IF('Données projet'!$A$140&gt;35,CT14+CS15-DB14,IF(A15&lt;'Données projet'!$A$140,$CQ$205^A15,IF(A15='Données projet'!$A$140,'Données projet'!$B$140,CT14+CS15-DB14)))</f>
        <v>12.569232513161456</v>
      </c>
      <c r="CU15" s="18">
        <f>CT15*VLOOKUP('Données projet'!$B$13,Paramètres!$A$1:$I$89,3,0)*VLOOKUP('Données projet'!$B$13,Paramètres!$A$1:$I$89,5,0)</f>
        <v>11.960881659524443</v>
      </c>
      <c r="CV15" s="14">
        <f t="shared" si="41"/>
        <v>4.1291781699528718</v>
      </c>
      <c r="CW15" s="22">
        <f t="shared" si="13"/>
        <v>28.023520869672993</v>
      </c>
      <c r="CX15" s="58">
        <f t="shared" si="14"/>
        <v>225.05329832240585</v>
      </c>
      <c r="CY15" s="58">
        <f ca="1">AVERAGE(OFFSET($CX$3,0,0,'Données projet'!$E$13+1,1))-AVERAGE(OFFSET($H$3,0,0,'Données projet'!$E$13+1,1))</f>
        <v>397.61813291201469</v>
      </c>
      <c r="CZ15" s="58">
        <f t="shared" si="42"/>
        <v>320.30651625485064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58" t="e">
        <f t="shared" si="17"/>
        <v>#N/A</v>
      </c>
      <c r="DT15" s="58" t="e">
        <f ca="1">AVERAGE(OFFSET($DS$3,0,0,'Données projet'!$E$14+1,1))-AVERAGE(OFFSET($H$3,0,0,'Données projet'!$E$14+1,1))</f>
        <v>#N/A</v>
      </c>
      <c r="DU15" s="58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58" t="e">
        <f t="shared" si="20"/>
        <v>#N/A</v>
      </c>
      <c r="EO15" s="58" t="e">
        <f ca="1">AVERAGE(OFFSET($EN$3,0,0,'Données projet'!$E$15+1,1))-AVERAGE(OFFSET($H$3,0,0,'Données projet'!$E$15+1,1))</f>
        <v>#N/A</v>
      </c>
      <c r="EP15" s="58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58" t="e">
        <f t="shared" si="23"/>
        <v>#N/A</v>
      </c>
      <c r="FJ15" s="58" t="e">
        <f ca="1">AVERAGE(OFFSET($FI$3,0,0,'Données projet'!$E$16+1,1))-AVERAGE(OFFSET($H$3,0,0,'Données projet'!$E$16+1,1))</f>
        <v>#N/A</v>
      </c>
      <c r="FK15" s="58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58" t="e">
        <f t="shared" si="26"/>
        <v>#N/A</v>
      </c>
      <c r="GE15" s="58" t="e">
        <f ca="1">AVERAGE(OFFSET($GD$3,0,0,'Données projet'!$E$17+1,1))-AVERAGE(OFFSET($H$3,0,0,'Données projet'!$E$17+1,1))</f>
        <v>#N/A</v>
      </c>
      <c r="GF15" s="58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58" t="e">
        <f t="shared" si="29"/>
        <v>#N/A</v>
      </c>
      <c r="GZ15" s="58" t="e">
        <f ca="1">AVERAGE(OFFSET($GY$3,0,0,'Données projet'!$E$18+1,1))-AVERAGE(OFFSET($H$3,0,0,'Données projet'!$E$18+1,1))</f>
        <v>#N/A</v>
      </c>
      <c r="HA15" s="58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0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3">
        <f t="shared" si="1"/>
        <v>183.33333333333334</v>
      </c>
      <c r="I16" s="6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13.698664119909786</v>
      </c>
      <c r="P16" s="14">
        <f t="shared" si="33"/>
        <v>4.6550134230463893</v>
      </c>
      <c r="Q16" s="22">
        <f t="shared" si="2"/>
        <v>31.965988387315338</v>
      </c>
      <c r="R16" s="58">
        <f t="shared" si="0"/>
        <v>231.50698863893416</v>
      </c>
      <c r="S16" s="58">
        <f ca="1">AVERAGE(OFFSET($R$3,0,0,'Données projet'!$E$9+1,1))-AVERAGE(OFFSET($H$3,0,0,'Données projet'!$E$9+1,1))</f>
        <v>527.70171871461309</v>
      </c>
      <c r="T16" s="58">
        <f t="shared" si="34"/>
        <v>281.06176764290592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6.8</v>
      </c>
      <c r="AI16" s="14">
        <f>IF('Données projet'!$A$62&gt;35,AI15+AH16-AQ15,IF(A16&lt;'Données projet'!$A$62,$AF$205^A16,IF(A16='Données projet'!$A$62,'Données projet'!$B$62,AI15+AH16-AQ15)))</f>
        <v>31.400000000000002</v>
      </c>
      <c r="AJ16" s="14">
        <f>AI16*VLOOKUP('Données projet'!$B$10,Paramètres!$A$1:$I$89,3,0)*VLOOKUP('Données projet'!$B$10,Paramètres!$A$1:$I$89,5,0)</f>
        <v>20.57328</v>
      </c>
      <c r="AK16" s="14">
        <f t="shared" si="35"/>
        <v>6.6678691706770401</v>
      </c>
      <c r="AL16" s="22">
        <f t="shared" si="4"/>
        <v>47.445001472262504</v>
      </c>
      <c r="AM16" s="58">
        <f t="shared" si="5"/>
        <v>246.98600172388132</v>
      </c>
      <c r="AN16" s="58">
        <f ca="1">AVERAGE(OFFSET($AM$3,0,0,'Données projet'!$E$10+1,1))-AVERAGE(OFFSET($H$3,0,0,'Données projet'!$E$10+1,1))</f>
        <v>302.53318056366777</v>
      </c>
      <c r="AO16" s="58">
        <f t="shared" si="36"/>
        <v>318.32262615164541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2.4933333333333332</v>
      </c>
      <c r="BD16" s="13">
        <f>IF('Données projet'!$A$88&gt;35,BD15+BC16-BL15,IF(A16&lt;'Données projet'!$A$88,$BA$205^A16,IF(A16='Données projet'!$A$88,'Données projet'!$B$88,BD15+BC16-BL15)))</f>
        <v>23.075726799540639</v>
      </c>
      <c r="BE16" s="14">
        <f>BD16*VLOOKUP('Données projet'!$B$11,Paramètres!$A$1:$I$89,3,0)*VLOOKUP('Données projet'!$B$11,Paramètres!$A$1:$I$89,5,0)</f>
        <v>18.359048241714532</v>
      </c>
      <c r="BF16" s="14">
        <f t="shared" si="37"/>
        <v>6.0296217509656884</v>
      </c>
      <c r="BG16" s="22">
        <f t="shared" si="7"/>
        <v>42.47693357058472</v>
      </c>
      <c r="BH16" s="58">
        <f t="shared" si="8"/>
        <v>242.01793382220353</v>
      </c>
      <c r="BI16" s="58">
        <f ca="1">AVERAGE(OFFSET($BH$3,0,0,'Données projet'!$E$11+1,1))-AVERAGE(OFFSET($H$3,0,0,'Données projet'!$E$11+1,1))</f>
        <v>336.25341821407534</v>
      </c>
      <c r="BJ16" s="58">
        <f t="shared" si="38"/>
        <v>360.3246221345039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2.8</v>
      </c>
      <c r="BY16" s="13">
        <f>IF('Données projet'!$A$114&gt;35,BY15+BX16-CG15,IF(A16&lt;'Données projet'!$A$114,$BV$205^A16,IF(A16='Données projet'!$A$114,'Données projet'!$B$114,BY15+BX16-CG15)))</f>
        <v>25.51620317959356</v>
      </c>
      <c r="BZ16" s="14">
        <f>BY16*VLOOKUP('Données projet'!$B$12,Paramètres!$A$1:$I$89,3,0)*VLOOKUP('Données projet'!$B$12,Paramètres!$A$1:$I$89,5,0)</f>
        <v>20.698744019286298</v>
      </c>
      <c r="CA16" s="14">
        <f t="shared" si="39"/>
        <v>6.7037865478557999</v>
      </c>
      <c r="CB16" s="22">
        <f t="shared" si="10"/>
        <v>47.72607407110582</v>
      </c>
      <c r="CC16" s="58">
        <f t="shared" si="11"/>
        <v>247.26707432272462</v>
      </c>
      <c r="CD16" s="58">
        <f ca="1">AVERAGE(OFFSET($CC$3,0,0,'Données projet'!$E$12+1,1))-AVERAGE(OFFSET($H$3,0,0,'Données projet'!$E$12+1,1))</f>
        <v>308.58270639204238</v>
      </c>
      <c r="CE16" s="58">
        <f t="shared" si="40"/>
        <v>258.90832875500325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3.3974358974358969</v>
      </c>
      <c r="CT16" s="13">
        <f>IF('Données projet'!$A$140&gt;35,CT15+CS16-DB15,IF(A16&lt;'Données projet'!$A$140,$CQ$205^A16,IF(A16='Données projet'!$A$140,'Données projet'!$B$140,CT15+CS16-DB15)))</f>
        <v>15.520932975559832</v>
      </c>
      <c r="CU16" s="18">
        <f>CT16*VLOOKUP('Données projet'!$B$13,Paramètres!$A$1:$I$89,3,0)*VLOOKUP('Données projet'!$B$13,Paramètres!$A$1:$I$89,5,0)</f>
        <v>14.769719819542736</v>
      </c>
      <c r="CV16" s="14">
        <f t="shared" si="41"/>
        <v>4.9751867940086196</v>
      </c>
      <c r="CW16" s="22">
        <f t="shared" si="13"/>
        <v>34.389045685268606</v>
      </c>
      <c r="CX16" s="58">
        <f t="shared" si="14"/>
        <v>233.93004593688741</v>
      </c>
      <c r="CY16" s="58">
        <f ca="1">AVERAGE(OFFSET($CX$3,0,0,'Données projet'!$E$13+1,1))-AVERAGE(OFFSET($H$3,0,0,'Données projet'!$E$13+1,1))</f>
        <v>397.61813291201469</v>
      </c>
      <c r="CZ16" s="58">
        <f t="shared" si="42"/>
        <v>320.30651625485064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58" t="e">
        <f t="shared" si="17"/>
        <v>#N/A</v>
      </c>
      <c r="DT16" s="58" t="e">
        <f ca="1">AVERAGE(OFFSET($DS$3,0,0,'Données projet'!$E$14+1,1))-AVERAGE(OFFSET($H$3,0,0,'Données projet'!$E$14+1,1))</f>
        <v>#N/A</v>
      </c>
      <c r="DU16" s="58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58" t="e">
        <f t="shared" si="20"/>
        <v>#N/A</v>
      </c>
      <c r="EO16" s="58" t="e">
        <f ca="1">AVERAGE(OFFSET($EN$3,0,0,'Données projet'!$E$15+1,1))-AVERAGE(OFFSET($H$3,0,0,'Données projet'!$E$15+1,1))</f>
        <v>#N/A</v>
      </c>
      <c r="EP16" s="58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58" t="e">
        <f t="shared" si="23"/>
        <v>#N/A</v>
      </c>
      <c r="FJ16" s="58" t="e">
        <f ca="1">AVERAGE(OFFSET($FI$3,0,0,'Données projet'!$E$16+1,1))-AVERAGE(OFFSET($H$3,0,0,'Données projet'!$E$16+1,1))</f>
        <v>#N/A</v>
      </c>
      <c r="FK16" s="58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58" t="e">
        <f t="shared" si="26"/>
        <v>#N/A</v>
      </c>
      <c r="GE16" s="58" t="e">
        <f ca="1">AVERAGE(OFFSET($GD$3,0,0,'Données projet'!$E$17+1,1))-AVERAGE(OFFSET($H$3,0,0,'Données projet'!$E$17+1,1))</f>
        <v>#N/A</v>
      </c>
      <c r="GF16" s="58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58" t="e">
        <f t="shared" si="29"/>
        <v>#N/A</v>
      </c>
      <c r="GZ16" s="58" t="e">
        <f ca="1">AVERAGE(OFFSET($GY$3,0,0,'Données projet'!$E$18+1,1))-AVERAGE(OFFSET($H$3,0,0,'Données projet'!$E$18+1,1))</f>
        <v>#N/A</v>
      </c>
      <c r="HA16" s="58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0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3">
        <f t="shared" si="1"/>
        <v>183.33333333333334</v>
      </c>
      <c r="I17" s="6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16.976351555717539</v>
      </c>
      <c r="P17" s="14">
        <f t="shared" si="33"/>
        <v>5.6265546516016363</v>
      </c>
      <c r="Q17" s="22">
        <f t="shared" si="2"/>
        <v>39.366728311080898</v>
      </c>
      <c r="R17" s="58">
        <f t="shared" si="0"/>
        <v>241.39659008335408</v>
      </c>
      <c r="S17" s="58">
        <f ca="1">AVERAGE(OFFSET($R$3,0,0,'Données projet'!$E$9+1,1))-AVERAGE(OFFSET($H$3,0,0,'Données projet'!$E$9+1,1))</f>
        <v>527.70171871461309</v>
      </c>
      <c r="T17" s="58">
        <f t="shared" si="34"/>
        <v>281.06176764290592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6.8</v>
      </c>
      <c r="AI17" s="14">
        <f>IF('Données projet'!$A$62&gt;35,AI16+AH17-AQ16,IF(A17&lt;'Données projet'!$A$62,$AF$205^A17,IF(A17='Données projet'!$A$62,'Données projet'!$B$62,AI16+AH17-AQ16)))</f>
        <v>38.200000000000003</v>
      </c>
      <c r="AJ17" s="14">
        <f>AI17*VLOOKUP('Données projet'!$B$10,Paramètres!$A$1:$I$89,3,0)*VLOOKUP('Données projet'!$B$10,Paramètres!$A$1:$I$89,5,0)</f>
        <v>25.028640000000003</v>
      </c>
      <c r="AK17" s="14">
        <f t="shared" si="35"/>
        <v>7.9288685965286847</v>
      </c>
      <c r="AL17" s="22">
        <f t="shared" si="4"/>
        <v>57.400994138954132</v>
      </c>
      <c r="AM17" s="58">
        <f t="shared" si="5"/>
        <v>259.43085591122735</v>
      </c>
      <c r="AN17" s="58">
        <f ca="1">AVERAGE(OFFSET($AM$3,0,0,'Données projet'!$E$10+1,1))-AVERAGE(OFFSET($H$3,0,0,'Données projet'!$E$10+1,1))</f>
        <v>302.53318056366777</v>
      </c>
      <c r="AO17" s="58">
        <f t="shared" si="36"/>
        <v>318.32262615164541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2.4933333333333332</v>
      </c>
      <c r="BD17" s="13">
        <f>IF('Données projet'!$A$88&gt;35,BD16+BC17-BL16,IF(A17&lt;'Données projet'!$A$88,$BA$205^A17,IF(A17='Données projet'!$A$88,'Données projet'!$B$88,BD16+BC17-BL16)))</f>
        <v>29.37740938719443</v>
      </c>
      <c r="BE17" s="14">
        <f>BD17*VLOOKUP('Données projet'!$B$11,Paramètres!$A$1:$I$89,3,0)*VLOOKUP('Données projet'!$B$11,Paramètres!$A$1:$I$89,5,0)</f>
        <v>23.372666908451887</v>
      </c>
      <c r="BF17" s="14">
        <f t="shared" si="37"/>
        <v>7.4635026627966923</v>
      </c>
      <c r="BG17" s="22">
        <f t="shared" si="7"/>
        <v>53.706328669924602</v>
      </c>
      <c r="BH17" s="58">
        <f t="shared" si="8"/>
        <v>255.7361904421978</v>
      </c>
      <c r="BI17" s="58">
        <f ca="1">AVERAGE(OFFSET($BH$3,0,0,'Données projet'!$E$11+1,1))-AVERAGE(OFFSET($H$3,0,0,'Données projet'!$E$11+1,1))</f>
        <v>336.25341821407534</v>
      </c>
      <c r="BJ17" s="58">
        <f t="shared" si="38"/>
        <v>360.3246221345039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2.8</v>
      </c>
      <c r="BY17" s="13">
        <f>IF('Données projet'!$A$114&gt;35,BY16+BX17-CG16,IF(A17&lt;'Données projet'!$A$114,$BV$205^A17,IF(A17='Données projet'!$A$114,'Données projet'!$B$114,BY16+BX17-CG16)))</f>
        <v>32.736532094021939</v>
      </c>
      <c r="BZ17" s="14">
        <f>BY17*VLOOKUP('Données projet'!$B$12,Paramètres!$A$1:$I$89,3,0)*VLOOKUP('Données projet'!$B$12,Paramètres!$A$1:$I$89,5,0)</f>
        <v>26.5558748346706</v>
      </c>
      <c r="CA17" s="14">
        <f t="shared" si="39"/>
        <v>8.3548831930669891</v>
      </c>
      <c r="CB17" s="22">
        <f t="shared" si="10"/>
        <v>60.802903564976283</v>
      </c>
      <c r="CC17" s="58">
        <f t="shared" si="11"/>
        <v>262.8327653372495</v>
      </c>
      <c r="CD17" s="58">
        <f ca="1">AVERAGE(OFFSET($CC$3,0,0,'Données projet'!$E$12+1,1))-AVERAGE(OFFSET($H$3,0,0,'Données projet'!$E$12+1,1))</f>
        <v>308.58270639204238</v>
      </c>
      <c r="CE17" s="58">
        <f t="shared" si="40"/>
        <v>258.90832875500325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3.3974358974358969</v>
      </c>
      <c r="CT17" s="13">
        <f>IF('Données projet'!$A$140&gt;35,CT16+CS17-DB16,IF(A17&lt;'Données projet'!$A$140,$CQ$205^A17,IF(A17='Données projet'!$A$140,'Données projet'!$B$140,CT16+CS17-DB16)))</f>
        <v>19.165797130379342</v>
      </c>
      <c r="CU17" s="18">
        <f>CT17*VLOOKUP('Données projet'!$B$13,Paramètres!$A$1:$I$89,3,0)*VLOOKUP('Données projet'!$B$13,Paramètres!$A$1:$I$89,5,0)</f>
        <v>18.238172549268981</v>
      </c>
      <c r="CV17" s="14">
        <f t="shared" si="41"/>
        <v>5.9945302954946822</v>
      </c>
      <c r="CW17" s="22">
        <f t="shared" si="13"/>
        <v>42.205290787963385</v>
      </c>
      <c r="CX17" s="58">
        <f t="shared" si="14"/>
        <v>244.23515256023657</v>
      </c>
      <c r="CY17" s="58">
        <f ca="1">AVERAGE(OFFSET($CX$3,0,0,'Données projet'!$E$13+1,1))-AVERAGE(OFFSET($H$3,0,0,'Données projet'!$E$13+1,1))</f>
        <v>397.61813291201469</v>
      </c>
      <c r="CZ17" s="58">
        <f t="shared" si="42"/>
        <v>320.30651625485064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58" t="e">
        <f t="shared" si="17"/>
        <v>#N/A</v>
      </c>
      <c r="DT17" s="58" t="e">
        <f ca="1">AVERAGE(OFFSET($DS$3,0,0,'Données projet'!$E$14+1,1))-AVERAGE(OFFSET($H$3,0,0,'Données projet'!$E$14+1,1))</f>
        <v>#N/A</v>
      </c>
      <c r="DU17" s="58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58" t="e">
        <f t="shared" si="20"/>
        <v>#N/A</v>
      </c>
      <c r="EO17" s="58" t="e">
        <f ca="1">AVERAGE(OFFSET($EN$3,0,0,'Données projet'!$E$15+1,1))-AVERAGE(OFFSET($H$3,0,0,'Données projet'!$E$15+1,1))</f>
        <v>#N/A</v>
      </c>
      <c r="EP17" s="58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58" t="e">
        <f t="shared" si="23"/>
        <v>#N/A</v>
      </c>
      <c r="FJ17" s="58" t="e">
        <f ca="1">AVERAGE(OFFSET($FI$3,0,0,'Données projet'!$E$16+1,1))-AVERAGE(OFFSET($H$3,0,0,'Données projet'!$E$16+1,1))</f>
        <v>#N/A</v>
      </c>
      <c r="FK17" s="58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58" t="e">
        <f t="shared" si="26"/>
        <v>#N/A</v>
      </c>
      <c r="GE17" s="58" t="e">
        <f ca="1">AVERAGE(OFFSET($GD$3,0,0,'Données projet'!$E$17+1,1))-AVERAGE(OFFSET($H$3,0,0,'Données projet'!$E$17+1,1))</f>
        <v>#N/A</v>
      </c>
      <c r="GF17" s="58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58" t="e">
        <f t="shared" si="29"/>
        <v>#N/A</v>
      </c>
      <c r="GZ17" s="58" t="e">
        <f ca="1">AVERAGE(OFFSET($GY$3,0,0,'Données projet'!$E$18+1,1))-AVERAGE(OFFSET($H$3,0,0,'Données projet'!$E$18+1,1))</f>
        <v>#N/A</v>
      </c>
      <c r="HA17" s="58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0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3">
        <f t="shared" si="1"/>
        <v>183.33333333333334</v>
      </c>
      <c r="I18" s="6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21.03829319564419</v>
      </c>
      <c r="P18" s="14">
        <f t="shared" si="33"/>
        <v>6.8008648676982615</v>
      </c>
      <c r="Q18" s="22">
        <f t="shared" si="2"/>
        <v>48.486533626988098</v>
      </c>
      <c r="R18" s="58">
        <f t="shared" si="0"/>
        <v>252.98328355986914</v>
      </c>
      <c r="S18" s="58">
        <f ca="1">AVERAGE(OFFSET($R$3,0,0,'Données projet'!$E$9+1,1))-AVERAGE(OFFSET($H$3,0,0,'Données projet'!$E$9+1,1))</f>
        <v>527.70171871461309</v>
      </c>
      <c r="T18" s="58">
        <f t="shared" si="34"/>
        <v>281.06176764290592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45</v>
      </c>
      <c r="AG18" s="13">
        <f>VLOOKUP(A18,'Données projet'!$A$61:$I$81,9,0)</f>
        <v>6.8</v>
      </c>
      <c r="AH18" s="13">
        <f t="array" ref="AH18">INDEX(AG:AG,MIN(IF(ISNUMBER(AG18:AG214),ROW(AG18:AG214),"")))</f>
        <v>6.8</v>
      </c>
      <c r="AI18" s="14">
        <f>IF('Données projet'!$A$62&gt;35,AI17+AH18-AQ17,IF(A18&lt;'Données projet'!$A$62,$AF$205^A18,IF(A18='Données projet'!$A$62,'Données projet'!$B$62,AI17+AH18-AQ17)))</f>
        <v>45</v>
      </c>
      <c r="AJ18" s="14">
        <f>AI18*VLOOKUP('Données projet'!$B$10,Paramètres!$A$1:$I$89,3,0)*VLOOKUP('Données projet'!$B$10,Paramètres!$A$1:$I$89,5,0)</f>
        <v>29.483999999999998</v>
      </c>
      <c r="AK18" s="14">
        <f t="shared" si="35"/>
        <v>9.1638634703614379</v>
      </c>
      <c r="AL18" s="22">
        <f t="shared" si="4"/>
        <v>67.311695544212839</v>
      </c>
      <c r="AM18" s="58">
        <f t="shared" si="5"/>
        <v>271.80844547709387</v>
      </c>
      <c r="AN18" s="58">
        <f ca="1">AVERAGE(OFFSET($AM$3,0,0,'Données projet'!$E$10+1,1))-AVERAGE(OFFSET($H$3,0,0,'Données projet'!$E$10+1,1))</f>
        <v>302.53318056366777</v>
      </c>
      <c r="AO18" s="58">
        <f t="shared" si="36"/>
        <v>318.32262615164541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37.4</v>
      </c>
      <c r="BB18" s="13">
        <f>VLOOKUP(A18,'Données projet'!$A$87:$I$107,9,0)</f>
        <v>2.4933333333333332</v>
      </c>
      <c r="BC18" s="13">
        <f t="array" ref="BC18">INDEX(BB:BB,MIN(IF(ISNUMBER(BB18:BB214),ROW(BB18:BB214),"")))</f>
        <v>2.4933333333333332</v>
      </c>
      <c r="BD18" s="13">
        <f>IF('Données projet'!$A$88&gt;35,BD17+BC18-BL17,IF(A18&lt;'Données projet'!$A$88,$BA$205^A18,IF(A18='Données projet'!$A$88,'Données projet'!$B$88,BD17+BC18-BL17)))</f>
        <v>37.4</v>
      </c>
      <c r="BE18" s="14">
        <f>BD18*VLOOKUP('Données projet'!$B$11,Paramètres!$A$1:$I$89,3,0)*VLOOKUP('Données projet'!$B$11,Paramètres!$A$1:$I$89,5,0)</f>
        <v>29.755439999999997</v>
      </c>
      <c r="BF18" s="14">
        <f t="shared" si="37"/>
        <v>9.2383692208639729</v>
      </c>
      <c r="BG18" s="22">
        <f t="shared" si="7"/>
        <v>67.91421772633808</v>
      </c>
      <c r="BH18" s="58">
        <f t="shared" si="8"/>
        <v>272.41096765921912</v>
      </c>
      <c r="BI18" s="58">
        <f ca="1">AVERAGE(OFFSET($BH$3,0,0,'Données projet'!$E$11+1,1))-AVERAGE(OFFSET($H$3,0,0,'Données projet'!$E$11+1,1))</f>
        <v>336.25341821407534</v>
      </c>
      <c r="BJ18" s="58">
        <f t="shared" si="38"/>
        <v>360.3246221345039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42</v>
      </c>
      <c r="BW18" s="13">
        <f>VLOOKUP(A18,'Données projet'!$A$113:$I$133,9,0)</f>
        <v>2.8</v>
      </c>
      <c r="BX18" s="13">
        <f t="array" ref="BX18">INDEX(BW:BW,MIN(IF(ISNUMBER(BW18:BW214),ROW(BW18:BW214),"")))</f>
        <v>2.8</v>
      </c>
      <c r="BY18" s="13">
        <f>IF('Données projet'!$A$114&gt;35,BY17+BX18-CG17,IF(A18&lt;'Données projet'!$A$114,$BV$205^A18,IF(A18='Données projet'!$A$114,'Données projet'!$B$114,BY17+BX18-CG17)))</f>
        <v>42</v>
      </c>
      <c r="BZ18" s="14">
        <f>BY18*VLOOKUP('Données projet'!$B$12,Paramètres!$A$1:$I$89,3,0)*VLOOKUP('Données projet'!$B$12,Paramètres!$A$1:$I$89,5,0)</f>
        <v>34.070399999999999</v>
      </c>
      <c r="CA18" s="14">
        <f t="shared" si="39"/>
        <v>10.412633617059315</v>
      </c>
      <c r="CB18" s="22">
        <f t="shared" si="10"/>
        <v>77.474616883044959</v>
      </c>
      <c r="CC18" s="58">
        <f t="shared" si="11"/>
        <v>281.97136681592599</v>
      </c>
      <c r="CD18" s="58">
        <f ca="1">AVERAGE(OFFSET($CC$3,0,0,'Données projet'!$E$12+1,1))-AVERAGE(OFFSET($H$3,0,0,'Données projet'!$E$12+1,1))</f>
        <v>308.58270639204238</v>
      </c>
      <c r="CE18" s="58">
        <f t="shared" si="40"/>
        <v>258.90832875500325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3.3974358974358969</v>
      </c>
      <c r="CT18" s="13">
        <f>IF('Données projet'!$A$140&gt;35,CT17+CS18-DB17,IF(A18&lt;'Données projet'!$A$140,$CQ$205^A18,IF(A18='Données projet'!$A$140,'Données projet'!$B$140,CT17+CS18-DB17)))</f>
        <v>23.666604335014707</v>
      </c>
      <c r="CU18" s="18">
        <f>CT18*VLOOKUP('Données projet'!$B$13,Paramètres!$A$1:$I$89,3,0)*VLOOKUP('Données projet'!$B$13,Paramètres!$A$1:$I$89,5,0)</f>
        <v>22.521140685199995</v>
      </c>
      <c r="CV18" s="14">
        <f t="shared" si="41"/>
        <v>7.2227224728280799</v>
      </c>
      <c r="CW18" s="22">
        <f t="shared" si="13"/>
        <v>51.803895000232238</v>
      </c>
      <c r="CX18" s="58">
        <f t="shared" si="14"/>
        <v>256.30064493311329</v>
      </c>
      <c r="CY18" s="58">
        <f ca="1">AVERAGE(OFFSET($CX$3,0,0,'Données projet'!$E$13+1,1))-AVERAGE(OFFSET($H$3,0,0,'Données projet'!$E$13+1,1))</f>
        <v>397.61813291201469</v>
      </c>
      <c r="CZ18" s="58">
        <f t="shared" si="42"/>
        <v>320.30651625485064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58" t="e">
        <f t="shared" si="17"/>
        <v>#N/A</v>
      </c>
      <c r="DT18" s="58" t="e">
        <f ca="1">AVERAGE(OFFSET($DS$3,0,0,'Données projet'!$E$14+1,1))-AVERAGE(OFFSET($H$3,0,0,'Données projet'!$E$14+1,1))</f>
        <v>#N/A</v>
      </c>
      <c r="DU18" s="58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58" t="e">
        <f t="shared" si="20"/>
        <v>#N/A</v>
      </c>
      <c r="EO18" s="58" t="e">
        <f ca="1">AVERAGE(OFFSET($EN$3,0,0,'Données projet'!$E$15+1,1))-AVERAGE(OFFSET($H$3,0,0,'Données projet'!$E$15+1,1))</f>
        <v>#N/A</v>
      </c>
      <c r="EP18" s="58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58" t="e">
        <f t="shared" si="23"/>
        <v>#N/A</v>
      </c>
      <c r="FJ18" s="58" t="e">
        <f ca="1">AVERAGE(OFFSET($FI$3,0,0,'Données projet'!$E$16+1,1))-AVERAGE(OFFSET($H$3,0,0,'Données projet'!$E$16+1,1))</f>
        <v>#N/A</v>
      </c>
      <c r="FK18" s="58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58" t="e">
        <f t="shared" si="26"/>
        <v>#N/A</v>
      </c>
      <c r="GE18" s="58" t="e">
        <f ca="1">AVERAGE(OFFSET($GD$3,0,0,'Données projet'!$E$17+1,1))-AVERAGE(OFFSET($H$3,0,0,'Données projet'!$E$17+1,1))</f>
        <v>#N/A</v>
      </c>
      <c r="GF18" s="58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58" t="e">
        <f t="shared" si="29"/>
        <v>#N/A</v>
      </c>
      <c r="GZ18" s="58" t="e">
        <f ca="1">AVERAGE(OFFSET($GY$3,0,0,'Données projet'!$E$18+1,1))-AVERAGE(OFFSET($H$3,0,0,'Données projet'!$E$18+1,1))</f>
        <v>#N/A</v>
      </c>
      <c r="HA18" s="58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0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3">
        <f t="shared" si="1"/>
        <v>183.33333333333334</v>
      </c>
      <c r="I19" s="6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26.072138005225284</v>
      </c>
      <c r="P19" s="14">
        <f t="shared" si="33"/>
        <v>8.2202636982343371</v>
      </c>
      <c r="Q19" s="22">
        <f t="shared" si="2"/>
        <v>59.725932966858835</v>
      </c>
      <c r="R19" s="58">
        <f t="shared" si="0"/>
        <v>266.66797888897293</v>
      </c>
      <c r="S19" s="58">
        <f ca="1">AVERAGE(OFFSET($R$3,0,0,'Données projet'!$E$9+1,1))-AVERAGE(OFFSET($H$3,0,0,'Données projet'!$E$9+1,1))</f>
        <v>527.70171871461309</v>
      </c>
      <c r="T19" s="58">
        <f t="shared" si="34"/>
        <v>281.06176764290592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12</v>
      </c>
      <c r="AI19" s="14">
        <f>IF('Données projet'!$A$62&gt;35,AI18+AH19-AQ18,IF(A19&lt;'Données projet'!$A$62,$AF$205^A19,IF(A19='Données projet'!$A$62,'Données projet'!$B$62,AI18+AH19-AQ18)))</f>
        <v>57</v>
      </c>
      <c r="AJ19" s="14">
        <f>AI19*VLOOKUP('Données projet'!$B$10,Paramètres!$A$1:$I$89,3,0)*VLOOKUP('Données projet'!$B$10,Paramètres!$A$1:$I$89,5,0)</f>
        <v>37.346399999999996</v>
      </c>
      <c r="AK19" s="14">
        <f t="shared" si="35"/>
        <v>11.292524863342392</v>
      </c>
      <c r="AL19" s="22">
        <f t="shared" si="4"/>
        <v>84.712794136987995</v>
      </c>
      <c r="AM19" s="58">
        <f t="shared" si="5"/>
        <v>291.65484005910207</v>
      </c>
      <c r="AN19" s="58">
        <f ca="1">AVERAGE(OFFSET($AM$3,0,0,'Données projet'!$E$10+1,1))-AVERAGE(OFFSET($H$3,0,0,'Données projet'!$E$10+1,1))</f>
        <v>302.53318056366777</v>
      </c>
      <c r="AO19" s="58">
        <f t="shared" si="36"/>
        <v>318.32262615164541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11.54</v>
      </c>
      <c r="BD19" s="13">
        <f>IF('Données projet'!$A$88&gt;35,BD18+BC19-BL18,IF(A19&lt;'Données projet'!$A$88,$BA$205^A19,IF(A19='Données projet'!$A$88,'Données projet'!$B$88,BD18+BC19-BL18)))</f>
        <v>48.94</v>
      </c>
      <c r="BE19" s="14">
        <f>BD19*VLOOKUP('Données projet'!$B$11,Paramètres!$A$1:$I$89,3,0)*VLOOKUP('Données projet'!$B$11,Paramètres!$A$1:$I$89,5,0)</f>
        <v>38.936664</v>
      </c>
      <c r="BF19" s="14">
        <f t="shared" si="37"/>
        <v>11.71636916173216</v>
      </c>
      <c r="BG19" s="22">
        <f t="shared" si="7"/>
        <v>88.220699423350183</v>
      </c>
      <c r="BH19" s="58">
        <f t="shared" si="8"/>
        <v>295.16274534546426</v>
      </c>
      <c r="BI19" s="58">
        <f ca="1">AVERAGE(OFFSET($BH$3,0,0,'Données projet'!$E$11+1,1))-AVERAGE(OFFSET($H$3,0,0,'Données projet'!$E$11+1,1))</f>
        <v>336.25341821407534</v>
      </c>
      <c r="BJ19" s="58">
        <f t="shared" si="38"/>
        <v>360.3246221345039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5.4</v>
      </c>
      <c r="BY19" s="13">
        <f>IF('Données projet'!$A$114&gt;35,BY18+BX19-CG18,IF(A19&lt;'Données projet'!$A$114,$BV$205^A19,IF(A19='Données projet'!$A$114,'Données projet'!$B$114,BY18+BX19-CG18)))</f>
        <v>47.4</v>
      </c>
      <c r="BZ19" s="14">
        <f>BY19*VLOOKUP('Données projet'!$B$12,Paramètres!$A$1:$I$89,3,0)*VLOOKUP('Données projet'!$B$12,Paramètres!$A$1:$I$89,5,0)</f>
        <v>38.450879999999998</v>
      </c>
      <c r="CA19" s="14">
        <f t="shared" si="39"/>
        <v>11.587113394776683</v>
      </c>
      <c r="CB19" s="22">
        <f t="shared" si="10"/>
        <v>87.149505162569383</v>
      </c>
      <c r="CC19" s="58">
        <f t="shared" si="11"/>
        <v>294.09155108468343</v>
      </c>
      <c r="CD19" s="58">
        <f ca="1">AVERAGE(OFFSET($CC$3,0,0,'Données projet'!$E$12+1,1))-AVERAGE(OFFSET($H$3,0,0,'Données projet'!$E$12+1,1))</f>
        <v>308.58270639204238</v>
      </c>
      <c r="CE19" s="58">
        <f t="shared" si="40"/>
        <v>258.90832875500325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3.3974358974358969</v>
      </c>
      <c r="CT19" s="13">
        <f>IF('Données projet'!$A$140&gt;35,CT18+CS19-DB18,IF(A19&lt;'Données projet'!$A$140,$CQ$205^A19,IF(A19='Données projet'!$A$140,'Données projet'!$B$140,CT18+CS19-DB18)))</f>
        <v>29.224360298707328</v>
      </c>
      <c r="CU19" s="18">
        <f>CT19*VLOOKUP('Données projet'!$B$13,Paramètres!$A$1:$I$89,3,0)*VLOOKUP('Données projet'!$B$13,Paramètres!$A$1:$I$89,5,0)</f>
        <v>27.809901260249898</v>
      </c>
      <c r="CV19" s="14">
        <f t="shared" si="41"/>
        <v>8.7025533858263344</v>
      </c>
      <c r="CW19" s="22">
        <f t="shared" si="13"/>
        <v>63.592525175249442</v>
      </c>
      <c r="CX19" s="58">
        <f t="shared" si="14"/>
        <v>270.53457109736348</v>
      </c>
      <c r="CY19" s="58">
        <f ca="1">AVERAGE(OFFSET($CX$3,0,0,'Données projet'!$E$13+1,1))-AVERAGE(OFFSET($H$3,0,0,'Données projet'!$E$13+1,1))</f>
        <v>397.61813291201469</v>
      </c>
      <c r="CZ19" s="58">
        <f t="shared" si="42"/>
        <v>320.30651625485064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58" t="e">
        <f t="shared" si="17"/>
        <v>#N/A</v>
      </c>
      <c r="DT19" s="58" t="e">
        <f ca="1">AVERAGE(OFFSET($DS$3,0,0,'Données projet'!$E$14+1,1))-AVERAGE(OFFSET($H$3,0,0,'Données projet'!$E$14+1,1))</f>
        <v>#N/A</v>
      </c>
      <c r="DU19" s="58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58" t="e">
        <f t="shared" si="20"/>
        <v>#N/A</v>
      </c>
      <c r="EO19" s="58" t="e">
        <f ca="1">AVERAGE(OFFSET($EN$3,0,0,'Données projet'!$E$15+1,1))-AVERAGE(OFFSET($H$3,0,0,'Données projet'!$E$15+1,1))</f>
        <v>#N/A</v>
      </c>
      <c r="EP19" s="58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58" t="e">
        <f t="shared" si="23"/>
        <v>#N/A</v>
      </c>
      <c r="FJ19" s="58" t="e">
        <f ca="1">AVERAGE(OFFSET($FI$3,0,0,'Données projet'!$E$16+1,1))-AVERAGE(OFFSET($H$3,0,0,'Données projet'!$E$16+1,1))</f>
        <v>#N/A</v>
      </c>
      <c r="FK19" s="58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58" t="e">
        <f t="shared" si="26"/>
        <v>#N/A</v>
      </c>
      <c r="GE19" s="58" t="e">
        <f ca="1">AVERAGE(OFFSET($GD$3,0,0,'Données projet'!$E$17+1,1))-AVERAGE(OFFSET($H$3,0,0,'Données projet'!$E$17+1,1))</f>
        <v>#N/A</v>
      </c>
      <c r="GF19" s="58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58" t="e">
        <f t="shared" si="29"/>
        <v>#N/A</v>
      </c>
      <c r="GZ19" s="58" t="e">
        <f ca="1">AVERAGE(OFFSET($GY$3,0,0,'Données projet'!$E$18+1,1))-AVERAGE(OFFSET($H$3,0,0,'Données projet'!$E$18+1,1))</f>
        <v>#N/A</v>
      </c>
      <c r="HA19" s="58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0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3">
        <f t="shared" si="1"/>
        <v>183.33333333333334</v>
      </c>
      <c r="I20" s="6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32.310433828550828</v>
      </c>
      <c r="P20" s="14">
        <f t="shared" si="33"/>
        <v>9.9359032392271498</v>
      </c>
      <c r="Q20" s="22">
        <f t="shared" si="2"/>
        <v>73.579037059713301</v>
      </c>
      <c r="R20" s="58">
        <f t="shared" si="0"/>
        <v>282.94516137558605</v>
      </c>
      <c r="S20" s="58">
        <f ca="1">AVERAGE(OFFSET($R$3,0,0,'Données projet'!$E$9+1,1))-AVERAGE(OFFSET($H$3,0,0,'Données projet'!$E$9+1,1))</f>
        <v>527.70171871461309</v>
      </c>
      <c r="T20" s="58">
        <f t="shared" si="34"/>
        <v>281.06176764290592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12</v>
      </c>
      <c r="AI20" s="14">
        <f>IF('Données projet'!$A$62&gt;35,AI19+AH20-AQ19,IF(A20&lt;'Données projet'!$A$62,$AF$205^A20,IF(A20='Données projet'!$A$62,'Données projet'!$B$62,AI19+AH20-AQ19)))</f>
        <v>69</v>
      </c>
      <c r="AJ20" s="14">
        <f>AI20*VLOOKUP('Données projet'!$B$10,Paramètres!$A$1:$I$89,3,0)*VLOOKUP('Données projet'!$B$10,Paramètres!$A$1:$I$89,5,0)</f>
        <v>45.208800000000004</v>
      </c>
      <c r="AK20" s="14">
        <f t="shared" si="35"/>
        <v>13.369251386406743</v>
      </c>
      <c r="AL20" s="22">
        <f t="shared" si="4"/>
        <v>102.02343949799173</v>
      </c>
      <c r="AM20" s="58">
        <f t="shared" si="5"/>
        <v>311.38956381386447</v>
      </c>
      <c r="AN20" s="58">
        <f ca="1">AVERAGE(OFFSET($AM$3,0,0,'Données projet'!$E$10+1,1))-AVERAGE(OFFSET($H$3,0,0,'Données projet'!$E$10+1,1))</f>
        <v>302.53318056366777</v>
      </c>
      <c r="AO20" s="58">
        <f t="shared" si="36"/>
        <v>318.32262615164541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11.54</v>
      </c>
      <c r="BD20" s="13">
        <f>IF('Données projet'!$A$88&gt;35,BD19+BC20-BL19,IF(A20&lt;'Données projet'!$A$88,$BA$205^A20,IF(A20='Données projet'!$A$88,'Données projet'!$B$88,BD19+BC20-BL19)))</f>
        <v>60.48</v>
      </c>
      <c r="BE20" s="14">
        <f>BD20*VLOOKUP('Données projet'!$B$11,Paramètres!$A$1:$I$89,3,0)*VLOOKUP('Données projet'!$B$11,Paramètres!$A$1:$I$89,5,0)</f>
        <v>48.117888000000001</v>
      </c>
      <c r="BF20" s="14">
        <f t="shared" si="37"/>
        <v>14.126615953608919</v>
      </c>
      <c r="BG20" s="22">
        <f t="shared" si="7"/>
        <v>108.40917771920219</v>
      </c>
      <c r="BH20" s="58">
        <f t="shared" si="8"/>
        <v>317.7753020350749</v>
      </c>
      <c r="BI20" s="58">
        <f ca="1">AVERAGE(OFFSET($BH$3,0,0,'Données projet'!$E$11+1,1))-AVERAGE(OFFSET($H$3,0,0,'Données projet'!$E$11+1,1))</f>
        <v>336.25341821407534</v>
      </c>
      <c r="BJ20" s="58">
        <f t="shared" si="38"/>
        <v>360.3246221345039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5.4</v>
      </c>
      <c r="BY20" s="13">
        <f>IF('Données projet'!$A$114&gt;35,BY19+BX20-CG19,IF(A20&lt;'Données projet'!$A$114,$BV$205^A20,IF(A20='Données projet'!$A$114,'Données projet'!$B$114,BY19+BX20-CG19)))</f>
        <v>52.8</v>
      </c>
      <c r="BZ20" s="14">
        <f>BY20*VLOOKUP('Données projet'!$B$12,Paramètres!$A$1:$I$89,3,0)*VLOOKUP('Données projet'!$B$12,Paramètres!$A$1:$I$89,5,0)</f>
        <v>42.831360000000004</v>
      </c>
      <c r="CA20" s="14">
        <f t="shared" si="39"/>
        <v>12.746086115928794</v>
      </c>
      <c r="CB20" s="22">
        <f t="shared" si="10"/>
        <v>96.797385318575991</v>
      </c>
      <c r="CC20" s="58">
        <f t="shared" si="11"/>
        <v>306.1635096344487</v>
      </c>
      <c r="CD20" s="58">
        <f ca="1">AVERAGE(OFFSET($CC$3,0,0,'Données projet'!$E$12+1,1))-AVERAGE(OFFSET($H$3,0,0,'Données projet'!$E$12+1,1))</f>
        <v>308.58270639204238</v>
      </c>
      <c r="CE20" s="58">
        <f t="shared" si="40"/>
        <v>258.90832875500325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3.3974358974358969</v>
      </c>
      <c r="CT20" s="13">
        <f>IF('Données projet'!$A$140&gt;35,CT19+CS20-DB19,IF(A20&lt;'Données projet'!$A$140,$CQ$205^A20,IF(A20='Données projet'!$A$140,'Données projet'!$B$140,CT19+CS20-DB19)))</f>
        <v>36.087273982312531</v>
      </c>
      <c r="CU20" s="18">
        <f>CT20*VLOOKUP('Données projet'!$B$13,Paramètres!$A$1:$I$89,3,0)*VLOOKUP('Données projet'!$B$13,Paramètres!$A$1:$I$89,5,0)</f>
        <v>34.340649921568605</v>
      </c>
      <c r="CV20" s="14">
        <f t="shared" si="41"/>
        <v>10.485580155968989</v>
      </c>
      <c r="CW20" s="22">
        <f t="shared" si="13"/>
        <v>78.072350718377976</v>
      </c>
      <c r="CX20" s="58">
        <f t="shared" si="14"/>
        <v>287.4384750342507</v>
      </c>
      <c r="CY20" s="58">
        <f ca="1">AVERAGE(OFFSET($CX$3,0,0,'Données projet'!$E$13+1,1))-AVERAGE(OFFSET($H$3,0,0,'Données projet'!$E$13+1,1))</f>
        <v>397.61813291201469</v>
      </c>
      <c r="CZ20" s="58">
        <f t="shared" si="42"/>
        <v>320.30651625485064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58" t="e">
        <f t="shared" si="17"/>
        <v>#N/A</v>
      </c>
      <c r="DT20" s="58" t="e">
        <f ca="1">AVERAGE(OFFSET($DS$3,0,0,'Données projet'!$E$14+1,1))-AVERAGE(OFFSET($H$3,0,0,'Données projet'!$E$14+1,1))</f>
        <v>#N/A</v>
      </c>
      <c r="DU20" s="58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58" t="e">
        <f t="shared" si="20"/>
        <v>#N/A</v>
      </c>
      <c r="EO20" s="58" t="e">
        <f ca="1">AVERAGE(OFFSET($EN$3,0,0,'Données projet'!$E$15+1,1))-AVERAGE(OFFSET($H$3,0,0,'Données projet'!$E$15+1,1))</f>
        <v>#N/A</v>
      </c>
      <c r="EP20" s="58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58" t="e">
        <f t="shared" si="23"/>
        <v>#N/A</v>
      </c>
      <c r="FJ20" s="58" t="e">
        <f ca="1">AVERAGE(OFFSET($FI$3,0,0,'Données projet'!$E$16+1,1))-AVERAGE(OFFSET($H$3,0,0,'Données projet'!$E$16+1,1))</f>
        <v>#N/A</v>
      </c>
      <c r="FK20" s="58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58" t="e">
        <f t="shared" si="26"/>
        <v>#N/A</v>
      </c>
      <c r="GE20" s="58" t="e">
        <f ca="1">AVERAGE(OFFSET($GD$3,0,0,'Données projet'!$E$17+1,1))-AVERAGE(OFFSET($H$3,0,0,'Données projet'!$E$17+1,1))</f>
        <v>#N/A</v>
      </c>
      <c r="GF20" s="58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58" t="e">
        <f t="shared" si="29"/>
        <v>#N/A</v>
      </c>
      <c r="GZ20" s="58" t="e">
        <f ca="1">AVERAGE(OFFSET($GY$3,0,0,'Données projet'!$E$18+1,1))-AVERAGE(OFFSET($H$3,0,0,'Données projet'!$E$18+1,1))</f>
        <v>#N/A</v>
      </c>
      <c r="HA20" s="58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0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3">
        <f t="shared" si="1"/>
        <v>183.33333333333334</v>
      </c>
      <c r="I21" s="6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40.041370369393334</v>
      </c>
      <c r="P21" s="14">
        <f t="shared" si="33"/>
        <v>12.009611467876571</v>
      </c>
      <c r="Q21" s="22">
        <f t="shared" si="2"/>
        <v>90.655460033245092</v>
      </c>
      <c r="R21" s="58">
        <f t="shared" si="0"/>
        <v>302.42481322524822</v>
      </c>
      <c r="S21" s="58">
        <f ca="1">AVERAGE(OFFSET($R$3,0,0,'Données projet'!$E$9+1,1))-AVERAGE(OFFSET($H$3,0,0,'Données projet'!$E$9+1,1))</f>
        <v>527.70171871461309</v>
      </c>
      <c r="T21" s="58">
        <f t="shared" si="34"/>
        <v>281.06176764290592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12</v>
      </c>
      <c r="AI21" s="14">
        <f>IF('Données projet'!$A$62&gt;35,AI20+AH21-AQ20,IF(A21&lt;'Données projet'!$A$62,$AF$205^A21,IF(A21='Données projet'!$A$62,'Données projet'!$B$62,AI20+AH21-AQ20)))</f>
        <v>81</v>
      </c>
      <c r="AJ21" s="14">
        <f>AI21*VLOOKUP('Données projet'!$B$10,Paramètres!$A$1:$I$89,3,0)*VLOOKUP('Données projet'!$B$10,Paramètres!$A$1:$I$89,5,0)</f>
        <v>53.071199999999997</v>
      </c>
      <c r="AK21" s="14">
        <f t="shared" si="35"/>
        <v>15.404137822648016</v>
      </c>
      <c r="AL21" s="22">
        <f t="shared" si="4"/>
        <v>119.26121337444529</v>
      </c>
      <c r="AM21" s="58">
        <f t="shared" si="5"/>
        <v>331.03056656644839</v>
      </c>
      <c r="AN21" s="58">
        <f ca="1">AVERAGE(OFFSET($AM$3,0,0,'Données projet'!$E$10+1,1))-AVERAGE(OFFSET($H$3,0,0,'Données projet'!$E$10+1,1))</f>
        <v>302.53318056366777</v>
      </c>
      <c r="AO21" s="58">
        <f t="shared" si="36"/>
        <v>318.32262615164541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11.54</v>
      </c>
      <c r="BD21" s="13">
        <f>IF('Données projet'!$A$88&gt;35,BD20+BC21-BL20,IF(A21&lt;'Données projet'!$A$88,$BA$205^A21,IF(A21='Données projet'!$A$88,'Données projet'!$B$88,BD20+BC21-BL20)))</f>
        <v>72.02</v>
      </c>
      <c r="BE21" s="14">
        <f>BD21*VLOOKUP('Données projet'!$B$11,Paramètres!$A$1:$I$89,3,0)*VLOOKUP('Données projet'!$B$11,Paramètres!$A$1:$I$89,5,0)</f>
        <v>57.299111999999994</v>
      </c>
      <c r="BF21" s="14">
        <f t="shared" si="37"/>
        <v>16.483580059789663</v>
      </c>
      <c r="BG21" s="22">
        <f t="shared" si="7"/>
        <v>128.50485533746698</v>
      </c>
      <c r="BH21" s="58">
        <f t="shared" si="8"/>
        <v>340.27420852947012</v>
      </c>
      <c r="BI21" s="58">
        <f ca="1">AVERAGE(OFFSET($BH$3,0,0,'Données projet'!$E$11+1,1))-AVERAGE(OFFSET($H$3,0,0,'Données projet'!$E$11+1,1))</f>
        <v>336.25341821407534</v>
      </c>
      <c r="BJ21" s="58">
        <f t="shared" si="38"/>
        <v>360.3246221345039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5.4</v>
      </c>
      <c r="BY21" s="13">
        <f>IF('Données projet'!$A$114&gt;35,BY20+BX21-CG20,IF(A21&lt;'Données projet'!$A$114,$BV$205^A21,IF(A21='Données projet'!$A$114,'Données projet'!$B$114,BY20+BX21-CG20)))</f>
        <v>58.199999999999996</v>
      </c>
      <c r="BZ21" s="14">
        <f>BY21*VLOOKUP('Données projet'!$B$12,Paramètres!$A$1:$I$89,3,0)*VLOOKUP('Données projet'!$B$12,Paramètres!$A$1:$I$89,5,0)</f>
        <v>47.211840000000002</v>
      </c>
      <c r="CA21" s="14">
        <f t="shared" si="39"/>
        <v>13.891318331147987</v>
      </c>
      <c r="CB21" s="22">
        <f t="shared" si="10"/>
        <v>106.42133409341606</v>
      </c>
      <c r="CC21" s="58">
        <f t="shared" si="11"/>
        <v>318.19068728541919</v>
      </c>
      <c r="CD21" s="58">
        <f ca="1">AVERAGE(OFFSET($CC$3,0,0,'Données projet'!$E$12+1,1))-AVERAGE(OFFSET($H$3,0,0,'Données projet'!$E$12+1,1))</f>
        <v>308.58270639204238</v>
      </c>
      <c r="CE21" s="58">
        <f t="shared" si="40"/>
        <v>258.90832875500325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3.3974358974358969</v>
      </c>
      <c r="CT21" s="13">
        <f>IF('Données projet'!$A$140&gt;35,CT20+CS21-DB20,IF(A21&lt;'Données projet'!$A$140,$CQ$205^A21,IF(A21='Données projet'!$A$140,'Données projet'!$B$140,CT20+CS21-DB20)))</f>
        <v>44.56184259171259</v>
      </c>
      <c r="CU21" s="18">
        <f>CT21*VLOOKUP('Données projet'!$B$13,Paramètres!$A$1:$I$89,3,0)*VLOOKUP('Données projet'!$B$13,Paramètres!$A$1:$I$89,5,0)</f>
        <v>42.405049410273705</v>
      </c>
      <c r="CV21" s="14">
        <f t="shared" si="41"/>
        <v>12.633923209976478</v>
      </c>
      <c r="CW21" s="22">
        <f t="shared" si="13"/>
        <v>95.859543980269066</v>
      </c>
      <c r="CX21" s="58">
        <f t="shared" si="14"/>
        <v>307.62889717227216</v>
      </c>
      <c r="CY21" s="58">
        <f ca="1">AVERAGE(OFFSET($CX$3,0,0,'Données projet'!$E$13+1,1))-AVERAGE(OFFSET($H$3,0,0,'Données projet'!$E$13+1,1))</f>
        <v>397.61813291201469</v>
      </c>
      <c r="CZ21" s="58">
        <f t="shared" si="42"/>
        <v>320.30651625485064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58" t="e">
        <f t="shared" si="17"/>
        <v>#N/A</v>
      </c>
      <c r="DT21" s="58" t="e">
        <f ca="1">AVERAGE(OFFSET($DS$3,0,0,'Données projet'!$E$14+1,1))-AVERAGE(OFFSET($H$3,0,0,'Données projet'!$E$14+1,1))</f>
        <v>#N/A</v>
      </c>
      <c r="DU21" s="58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58" t="e">
        <f t="shared" si="20"/>
        <v>#N/A</v>
      </c>
      <c r="EO21" s="58" t="e">
        <f ca="1">AVERAGE(OFFSET($EN$3,0,0,'Données projet'!$E$15+1,1))-AVERAGE(OFFSET($H$3,0,0,'Données projet'!$E$15+1,1))</f>
        <v>#N/A</v>
      </c>
      <c r="EP21" s="58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58" t="e">
        <f t="shared" si="23"/>
        <v>#N/A</v>
      </c>
      <c r="FJ21" s="58" t="e">
        <f ca="1">AVERAGE(OFFSET($FI$3,0,0,'Données projet'!$E$16+1,1))-AVERAGE(OFFSET($H$3,0,0,'Données projet'!$E$16+1,1))</f>
        <v>#N/A</v>
      </c>
      <c r="FK21" s="58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58" t="e">
        <f t="shared" si="26"/>
        <v>#N/A</v>
      </c>
      <c r="GE21" s="58" t="e">
        <f ca="1">AVERAGE(OFFSET($GD$3,0,0,'Données projet'!$E$17+1,1))-AVERAGE(OFFSET($H$3,0,0,'Données projet'!$E$17+1,1))</f>
        <v>#N/A</v>
      </c>
      <c r="GF21" s="58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58" t="e">
        <f t="shared" si="29"/>
        <v>#N/A</v>
      </c>
      <c r="GZ21" s="58" t="e">
        <f ca="1">AVERAGE(OFFSET($GY$3,0,0,'Données projet'!$E$18+1,1))-AVERAGE(OFFSET($H$3,0,0,'Données projet'!$E$18+1,1))</f>
        <v>#N/A</v>
      </c>
      <c r="HA21" s="58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0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3">
        <f t="shared" si="1"/>
        <v>183.33333333333334</v>
      </c>
      <c r="I22" s="6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49.622092651760646</v>
      </c>
      <c r="P22" s="14">
        <f t="shared" si="33"/>
        <v>14.516120390537463</v>
      </c>
      <c r="Q22" s="22">
        <f t="shared" si="2"/>
        <v>111.70738771533587</v>
      </c>
      <c r="R22" s="58">
        <f t="shared" si="0"/>
        <v>325.85948195835942</v>
      </c>
      <c r="S22" s="58">
        <f ca="1">AVERAGE(OFFSET($R$3,0,0,'Données projet'!$E$9+1,1))-AVERAGE(OFFSET($H$3,0,0,'Données projet'!$E$9+1,1))</f>
        <v>527.70171871461309</v>
      </c>
      <c r="T22" s="58">
        <f t="shared" si="34"/>
        <v>281.06176764290592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12</v>
      </c>
      <c r="AI22" s="14">
        <f>IF('Données projet'!$A$62&gt;35,AI21+AH22-AQ21,IF(A22&lt;'Données projet'!$A$62,$AF$205^A22,IF(A22='Données projet'!$A$62,'Données projet'!$B$62,AI21+AH22-AQ21)))</f>
        <v>93</v>
      </c>
      <c r="AJ22" s="14">
        <f>AI22*VLOOKUP('Données projet'!$B$10,Paramètres!$A$1:$I$89,3,0)*VLOOKUP('Données projet'!$B$10,Paramètres!$A$1:$I$89,5,0)</f>
        <v>60.933599999999991</v>
      </c>
      <c r="AK22" s="14">
        <f t="shared" si="35"/>
        <v>17.404099852856145</v>
      </c>
      <c r="AL22" s="22">
        <f t="shared" si="4"/>
        <v>136.43816057705777</v>
      </c>
      <c r="AM22" s="58">
        <f t="shared" si="5"/>
        <v>350.59025482008133</v>
      </c>
      <c r="AN22" s="58">
        <f ca="1">AVERAGE(OFFSET($AM$3,0,0,'Données projet'!$E$10+1,1))-AVERAGE(OFFSET($H$3,0,0,'Données projet'!$E$10+1,1))</f>
        <v>302.53318056366777</v>
      </c>
      <c r="AO22" s="58">
        <f t="shared" si="36"/>
        <v>318.32262615164541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11.54</v>
      </c>
      <c r="BD22" s="13">
        <f>IF('Données projet'!$A$88&gt;35,BD21+BC22-BL21,IF(A22&lt;'Données projet'!$A$88,$BA$205^A22,IF(A22='Données projet'!$A$88,'Données projet'!$B$88,BD21+BC22-BL21)))</f>
        <v>83.56</v>
      </c>
      <c r="BE22" s="14">
        <f>BD22*VLOOKUP('Données projet'!$B$11,Paramètres!$A$1:$I$89,3,0)*VLOOKUP('Données projet'!$B$11,Paramètres!$A$1:$I$89,5,0)</f>
        <v>66.480336000000008</v>
      </c>
      <c r="BF22" s="14">
        <f t="shared" si="37"/>
        <v>18.796793982740784</v>
      </c>
      <c r="BG22" s="22">
        <f t="shared" si="7"/>
        <v>148.52433471994019</v>
      </c>
      <c r="BH22" s="58">
        <f t="shared" si="8"/>
        <v>362.67642896296371</v>
      </c>
      <c r="BI22" s="58">
        <f ca="1">AVERAGE(OFFSET($BH$3,0,0,'Données projet'!$E$11+1,1))-AVERAGE(OFFSET($H$3,0,0,'Données projet'!$E$11+1,1))</f>
        <v>336.25341821407534</v>
      </c>
      <c r="BJ22" s="58">
        <f t="shared" si="38"/>
        <v>360.3246221345039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5.4</v>
      </c>
      <c r="BY22" s="13">
        <f>IF('Données projet'!$A$114&gt;35,BY21+BX22-CG21,IF(A22&lt;'Données projet'!$A$114,$BV$205^A22,IF(A22='Données projet'!$A$114,'Données projet'!$B$114,BY21+BX22-CG21)))</f>
        <v>63.599999999999994</v>
      </c>
      <c r="BZ22" s="14">
        <f>BY22*VLOOKUP('Données projet'!$B$12,Paramètres!$A$1:$I$89,3,0)*VLOOKUP('Données projet'!$B$12,Paramètres!$A$1:$I$89,5,0)</f>
        <v>51.592319999999994</v>
      </c>
      <c r="CA22" s="14">
        <f t="shared" si="39"/>
        <v>15.024229944049157</v>
      </c>
      <c r="CB22" s="22">
        <f t="shared" si="10"/>
        <v>116.0238244858856</v>
      </c>
      <c r="CC22" s="58">
        <f t="shared" si="11"/>
        <v>330.1759187289091</v>
      </c>
      <c r="CD22" s="58">
        <f ca="1">AVERAGE(OFFSET($CC$3,0,0,'Données projet'!$E$12+1,1))-AVERAGE(OFFSET($H$3,0,0,'Données projet'!$E$12+1,1))</f>
        <v>308.58270639204238</v>
      </c>
      <c r="CE22" s="58">
        <f t="shared" si="40"/>
        <v>258.90832875500325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3.3974358974358969</v>
      </c>
      <c r="CT22" s="13">
        <f>IF('Données projet'!$A$140&gt;35,CT21+CS22-DB21,IF(A22&lt;'Données projet'!$A$140,$CQ$205^A22,IF(A22='Données projet'!$A$140,'Données projet'!$B$140,CT21+CS22-DB21)))</f>
        <v>55.026539719842816</v>
      </c>
      <c r="CU22" s="18">
        <f>CT22*VLOOKUP('Données projet'!$B$13,Paramètres!$A$1:$I$89,3,0)*VLOOKUP('Données projet'!$B$13,Paramètres!$A$1:$I$89,5,0)</f>
        <v>52.363255197402424</v>
      </c>
      <c r="CV22" s="14">
        <f t="shared" si="41"/>
        <v>15.222430547604917</v>
      </c>
      <c r="CW22" s="22">
        <f t="shared" si="13"/>
        <v>117.71173600588777</v>
      </c>
      <c r="CX22" s="58">
        <f t="shared" si="14"/>
        <v>331.86383024891131</v>
      </c>
      <c r="CY22" s="58">
        <f ca="1">AVERAGE(OFFSET($CX$3,0,0,'Données projet'!$E$13+1,1))-AVERAGE(OFFSET($H$3,0,0,'Données projet'!$E$13+1,1))</f>
        <v>397.61813291201469</v>
      </c>
      <c r="CZ22" s="58">
        <f t="shared" si="42"/>
        <v>320.30651625485064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58" t="e">
        <f t="shared" si="17"/>
        <v>#N/A</v>
      </c>
      <c r="DT22" s="58" t="e">
        <f ca="1">AVERAGE(OFFSET($DS$3,0,0,'Données projet'!$E$14+1,1))-AVERAGE(OFFSET($H$3,0,0,'Données projet'!$E$14+1,1))</f>
        <v>#N/A</v>
      </c>
      <c r="DU22" s="58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58" t="e">
        <f t="shared" si="20"/>
        <v>#N/A</v>
      </c>
      <c r="EO22" s="58" t="e">
        <f ca="1">AVERAGE(OFFSET($EN$3,0,0,'Données projet'!$E$15+1,1))-AVERAGE(OFFSET($H$3,0,0,'Données projet'!$E$15+1,1))</f>
        <v>#N/A</v>
      </c>
      <c r="EP22" s="58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58" t="e">
        <f t="shared" si="23"/>
        <v>#N/A</v>
      </c>
      <c r="FJ22" s="58" t="e">
        <f ca="1">AVERAGE(OFFSET($FI$3,0,0,'Données projet'!$E$16+1,1))-AVERAGE(OFFSET($H$3,0,0,'Données projet'!$E$16+1,1))</f>
        <v>#N/A</v>
      </c>
      <c r="FK22" s="58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58" t="e">
        <f t="shared" si="26"/>
        <v>#N/A</v>
      </c>
      <c r="GE22" s="58" t="e">
        <f ca="1">AVERAGE(OFFSET($GD$3,0,0,'Données projet'!$E$17+1,1))-AVERAGE(OFFSET($H$3,0,0,'Données projet'!$E$17+1,1))</f>
        <v>#N/A</v>
      </c>
      <c r="GF22" s="58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58" t="e">
        <f t="shared" si="29"/>
        <v>#N/A</v>
      </c>
      <c r="GZ22" s="58" t="e">
        <f ca="1">AVERAGE(OFFSET($GY$3,0,0,'Données projet'!$E$18+1,1))-AVERAGE(OFFSET($H$3,0,0,'Données projet'!$E$18+1,1))</f>
        <v>#N/A</v>
      </c>
      <c r="HA22" s="58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0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3">
        <f t="shared" si="1"/>
        <v>183.33333333333334</v>
      </c>
      <c r="I23" s="6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61.495200000000004</v>
      </c>
      <c r="P23" s="14">
        <f t="shared" si="33"/>
        <v>17.545759224285259</v>
      </c>
      <c r="Q23" s="22">
        <f t="shared" si="2"/>
        <v>137.66300398229683</v>
      </c>
      <c r="R23" s="58">
        <f t="shared" si="0"/>
        <v>354.17770686919255</v>
      </c>
      <c r="S23" s="58">
        <f ca="1">AVERAGE(OFFSET($R$3,0,0,'Données projet'!$E$9+1,1))-AVERAGE(OFFSET($H$3,0,0,'Données projet'!$E$9+1,1))</f>
        <v>527.70171871461309</v>
      </c>
      <c r="T23" s="58">
        <f t="shared" si="34"/>
        <v>281.06176764290592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1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105</v>
      </c>
      <c r="AG23" s="13">
        <f>VLOOKUP(A23,'Données projet'!$A$61:$I$81,9,0)</f>
        <v>12</v>
      </c>
      <c r="AH23" s="13">
        <f t="array" ref="AH23">INDEX(AG:AG,MIN(IF(ISNUMBER(AG23:AG219),ROW(AG23:AG219),"")))</f>
        <v>12</v>
      </c>
      <c r="AI23" s="14">
        <f>IF('Données projet'!$A$62&gt;35,AI22+AH23-AQ22,IF(A23&lt;'Données projet'!$A$62,$AF$205^A23,IF(A23='Données projet'!$A$62,'Données projet'!$B$62,AI22+AH23-AQ22)))</f>
        <v>105</v>
      </c>
      <c r="AJ23" s="14">
        <f>AI23*VLOOKUP('Données projet'!$B$10,Paramètres!$A$1:$I$89,3,0)*VLOOKUP('Données projet'!$B$10,Paramètres!$A$1:$I$89,5,0)</f>
        <v>68.796000000000006</v>
      </c>
      <c r="AK23" s="14">
        <f t="shared" si="35"/>
        <v>19.374160697102734</v>
      </c>
      <c r="AL23" s="22">
        <f t="shared" si="4"/>
        <v>153.56302988078727</v>
      </c>
      <c r="AM23" s="58">
        <f t="shared" si="5"/>
        <v>370.07773276768296</v>
      </c>
      <c r="AN23" s="58">
        <f ca="1">AVERAGE(OFFSET($AM$3,0,0,'Données projet'!$E$10+1,1))-AVERAGE(OFFSET($H$3,0,0,'Données projet'!$E$10+1,1))</f>
        <v>302.53318056366777</v>
      </c>
      <c r="AO23" s="58">
        <f t="shared" si="36"/>
        <v>318.32262615164541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15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95.1</v>
      </c>
      <c r="BB23" s="13">
        <f>VLOOKUP(A23,'Données projet'!$A$87:$I$107,9,0)</f>
        <v>11.54</v>
      </c>
      <c r="BC23" s="13">
        <f t="array" ref="BC23">INDEX(BB:BB,MIN(IF(ISNUMBER(BB23:BB219),ROW(BB23:BB219),"")))</f>
        <v>11.54</v>
      </c>
      <c r="BD23" s="13">
        <f>IF('Données projet'!$A$88&gt;35,BD22+BC23-BL22,IF(A23&lt;'Données projet'!$A$88,$BA$205^A23,IF(A23='Données projet'!$A$88,'Données projet'!$B$88,BD22+BC23-BL22)))</f>
        <v>95.1</v>
      </c>
      <c r="BE23" s="14">
        <f>BD23*VLOOKUP('Données projet'!$B$11,Paramètres!$A$1:$I$89,3,0)*VLOOKUP('Données projet'!$B$11,Paramètres!$A$1:$I$89,5,0)</f>
        <v>75.661559999999994</v>
      </c>
      <c r="BF23" s="14">
        <f t="shared" si="37"/>
        <v>21.072995399411479</v>
      </c>
      <c r="BG23" s="22">
        <f t="shared" si="7"/>
        <v>168.47935065397499</v>
      </c>
      <c r="BH23" s="58">
        <f t="shared" si="8"/>
        <v>384.99405354087071</v>
      </c>
      <c r="BI23" s="58">
        <f ca="1">AVERAGE(OFFSET($BH$3,0,0,'Données projet'!$E$11+1,1))-AVERAGE(OFFSET($H$3,0,0,'Données projet'!$E$11+1,1))</f>
        <v>336.25341821407534</v>
      </c>
      <c r="BJ23" s="58">
        <f t="shared" si="38"/>
        <v>360.3246221345039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43.1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69</v>
      </c>
      <c r="BW23" s="13">
        <f>VLOOKUP(A23,'Données projet'!$A$113:$I$133,9,0)</f>
        <v>5.4</v>
      </c>
      <c r="BX23" s="13">
        <f t="array" ref="BX23">INDEX(BW:BW,MIN(IF(ISNUMBER(BW23:BW219),ROW(BW23:BW219),"")))</f>
        <v>5.4</v>
      </c>
      <c r="BY23" s="13">
        <f>IF('Données projet'!$A$114&gt;35,BY22+BX23-CG22,IF(A23&lt;'Données projet'!$A$114,$BV$205^A23,IF(A23='Données projet'!$A$114,'Données projet'!$B$114,BY22+BX23-CG22)))</f>
        <v>69</v>
      </c>
      <c r="BZ23" s="14">
        <f>BY23*VLOOKUP('Données projet'!$B$12,Paramètres!$A$1:$I$89,3,0)*VLOOKUP('Données projet'!$B$12,Paramètres!$A$1:$I$89,5,0)</f>
        <v>55.972800000000007</v>
      </c>
      <c r="CA23" s="14">
        <f t="shared" si="39"/>
        <v>16.145985978099571</v>
      </c>
      <c r="CB23" s="22">
        <f t="shared" si="10"/>
        <v>125.60688557852342</v>
      </c>
      <c r="CC23" s="58">
        <f t="shared" si="11"/>
        <v>342.12158846541911</v>
      </c>
      <c r="CD23" s="58">
        <f ca="1">AVERAGE(OFFSET($CC$3,0,0,'Données projet'!$E$12+1,1))-AVERAGE(OFFSET($H$3,0,0,'Données projet'!$E$12+1,1))</f>
        <v>308.58270639204238</v>
      </c>
      <c r="CE23" s="58">
        <f t="shared" si="40"/>
        <v>258.90832875500325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15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67.948717948717942</v>
      </c>
      <c r="CR23" s="13">
        <f>VLOOKUP(A23,'Données projet'!$A$139:$I$159,9,0)</f>
        <v>3.3974358974358969</v>
      </c>
      <c r="CS23" s="13">
        <f t="array" ref="CS23">INDEX(CR:CR,MIN(IF(ISNUMBER(CR23:CR219),ROW(CR23:CR219),"")))</f>
        <v>3.3974358974358969</v>
      </c>
      <c r="CT23" s="13">
        <f>IF('Données projet'!$A$140&gt;35,CT22+CS23-DB22,IF(A23&lt;'Données projet'!$A$140,$CQ$205^A23,IF(A23='Données projet'!$A$140,'Données projet'!$B$140,CT22+CS23-DB22)))</f>
        <v>67.948717948717942</v>
      </c>
      <c r="CU23" s="18">
        <f>CT23*VLOOKUP('Données projet'!$B$13,Paramètres!$A$1:$I$89,3,0)*VLOOKUP('Données projet'!$B$13,Paramètres!$A$1:$I$89,5,0)</f>
        <v>64.66</v>
      </c>
      <c r="CV23" s="14">
        <f t="shared" si="41"/>
        <v>18.341285436472688</v>
      </c>
      <c r="CW23" s="22">
        <f t="shared" si="13"/>
        <v>144.56057213518991</v>
      </c>
      <c r="CX23" s="58">
        <f t="shared" si="14"/>
        <v>361.07527502208563</v>
      </c>
      <c r="CY23" s="58">
        <f ca="1">AVERAGE(OFFSET($CX$3,0,0,'Données projet'!$E$13+1,1))-AVERAGE(OFFSET($H$3,0,0,'Données projet'!$E$13+1,1))</f>
        <v>397.61813291201469</v>
      </c>
      <c r="CZ23" s="58">
        <f t="shared" si="42"/>
        <v>320.30651625485064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16.666666666666668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58" t="e">
        <f t="shared" si="17"/>
        <v>#N/A</v>
      </c>
      <c r="DT23" s="58" t="e">
        <f ca="1">AVERAGE(OFFSET($DS$3,0,0,'Données projet'!$E$14+1,1))-AVERAGE(OFFSET($H$3,0,0,'Données projet'!$E$14+1,1))</f>
        <v>#N/A</v>
      </c>
      <c r="DU23" s="58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58" t="e">
        <f t="shared" si="20"/>
        <v>#N/A</v>
      </c>
      <c r="EO23" s="58" t="e">
        <f ca="1">AVERAGE(OFFSET($EN$3,0,0,'Données projet'!$E$15+1,1))-AVERAGE(OFFSET($H$3,0,0,'Données projet'!$E$15+1,1))</f>
        <v>#N/A</v>
      </c>
      <c r="EP23" s="58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58" t="e">
        <f t="shared" si="23"/>
        <v>#N/A</v>
      </c>
      <c r="FJ23" s="58" t="e">
        <f ca="1">AVERAGE(OFFSET($FI$3,0,0,'Données projet'!$E$16+1,1))-AVERAGE(OFFSET($H$3,0,0,'Données projet'!$E$16+1,1))</f>
        <v>#N/A</v>
      </c>
      <c r="FK23" s="58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58" t="e">
        <f t="shared" si="26"/>
        <v>#N/A</v>
      </c>
      <c r="GE23" s="58" t="e">
        <f ca="1">AVERAGE(OFFSET($GD$3,0,0,'Données projet'!$E$17+1,1))-AVERAGE(OFFSET($H$3,0,0,'Données projet'!$E$17+1,1))</f>
        <v>#N/A</v>
      </c>
      <c r="GF23" s="58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58" t="e">
        <f t="shared" si="29"/>
        <v>#N/A</v>
      </c>
      <c r="GZ23" s="58" t="e">
        <f ca="1">AVERAGE(OFFSET($GY$3,0,0,'Données projet'!$E$18+1,1))-AVERAGE(OFFSET($H$3,0,0,'Données projet'!$E$18+1,1))</f>
        <v>#N/A</v>
      </c>
      <c r="HA23" s="58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0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3">
        <f t="shared" si="1"/>
        <v>183.33333333333334</v>
      </c>
      <c r="I24" s="6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67.560480000000013</v>
      </c>
      <c r="P24" s="14">
        <f t="shared" si="33"/>
        <v>19.066393765425332</v>
      </c>
      <c r="Q24" s="22">
        <f t="shared" si="2"/>
        <v>150.87513847478246</v>
      </c>
      <c r="R24" s="58">
        <f t="shared" si="0"/>
        <v>369.73266685065687</v>
      </c>
      <c r="S24" s="58">
        <f ca="1">AVERAGE(OFFSET($R$3,0,0,'Données projet'!$E$9+1,1))-AVERAGE(OFFSET($H$3,0,0,'Données projet'!$E$9+1,1))</f>
        <v>527.70171871461309</v>
      </c>
      <c r="T24" s="58">
        <f t="shared" si="34"/>
        <v>281.06176764290592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9.6</v>
      </c>
      <c r="AI24" s="14">
        <f>IF('Données projet'!$A$62&gt;35,AI23+AH24-AQ23,IF(A24&lt;'Données projet'!$A$62,$AF$205^A24,IF(A24='Données projet'!$A$62,'Données projet'!$B$62,AI23+AH24-AQ23)))</f>
        <v>99.6</v>
      </c>
      <c r="AJ24" s="14">
        <f>AI24*VLOOKUP('Données projet'!$B$10,Paramètres!$A$1:$I$89,3,0)*VLOOKUP('Données projet'!$B$10,Paramètres!$A$1:$I$89,5,0)</f>
        <v>65.257919999999999</v>
      </c>
      <c r="AK24" s="14">
        <f t="shared" si="35"/>
        <v>18.491067519086762</v>
      </c>
      <c r="AL24" s="22">
        <f t="shared" si="4"/>
        <v>145.8628199290761</v>
      </c>
      <c r="AM24" s="58">
        <f t="shared" si="5"/>
        <v>364.72034830495045</v>
      </c>
      <c r="AN24" s="58">
        <f ca="1">AVERAGE(OFFSET($AM$3,0,0,'Données projet'!$E$10+1,1))-AVERAGE(OFFSET($H$3,0,0,'Données projet'!$E$10+1,1))</f>
        <v>302.53318056366777</v>
      </c>
      <c r="AO24" s="58">
        <f t="shared" si="36"/>
        <v>318.32262615164541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12.500000000000002</v>
      </c>
      <c r="BD24" s="13">
        <f>IF('Données projet'!$A$88&gt;35,BD23+BC24-BL23,IF(A24&lt;'Données projet'!$A$88,$BA$205^A24,IF(A24='Données projet'!$A$88,'Données projet'!$B$88,BD23+BC24-BL23)))</f>
        <v>64.5</v>
      </c>
      <c r="BE24" s="14">
        <f>BD24*VLOOKUP('Données projet'!$B$11,Paramètres!$A$1:$I$89,3,0)*VLOOKUP('Données projet'!$B$11,Paramètres!$A$1:$I$89,5,0)</f>
        <v>51.316200000000009</v>
      </c>
      <c r="BF24" s="14">
        <f t="shared" si="37"/>
        <v>14.953158316506878</v>
      </c>
      <c r="BG24" s="22">
        <f t="shared" si="7"/>
        <v>115.41913240124948</v>
      </c>
      <c r="BH24" s="58">
        <f t="shared" si="8"/>
        <v>334.27666077712388</v>
      </c>
      <c r="BI24" s="58">
        <f ca="1">AVERAGE(OFFSET($BH$3,0,0,'Données projet'!$E$11+1,1))-AVERAGE(OFFSET($H$3,0,0,'Données projet'!$E$11+1,1))</f>
        <v>336.25341821407534</v>
      </c>
      <c r="BJ24" s="58">
        <f t="shared" si="38"/>
        <v>360.3246221345039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5.8</v>
      </c>
      <c r="BY24" s="13">
        <f>IF('Données projet'!$A$114&gt;35,BY23+BX24-CG23,IF(A24&lt;'Données projet'!$A$114,$BV$205^A24,IF(A24='Données projet'!$A$114,'Données projet'!$B$114,BY23+BX24-CG23)))</f>
        <v>59.8</v>
      </c>
      <c r="BZ24" s="14">
        <f>BY24*VLOOKUP('Données projet'!$B$12,Paramètres!$A$1:$I$89,3,0)*VLOOKUP('Données projet'!$B$12,Paramètres!$A$1:$I$89,5,0)</f>
        <v>48.50976</v>
      </c>
      <c r="CA24" s="14">
        <f t="shared" si="39"/>
        <v>14.228223566336322</v>
      </c>
      <c r="CB24" s="22">
        <f t="shared" si="10"/>
        <v>109.26865471136909</v>
      </c>
      <c r="CC24" s="58">
        <f t="shared" si="11"/>
        <v>328.12618308724348</v>
      </c>
      <c r="CD24" s="58">
        <f ca="1">AVERAGE(OFFSET($CC$3,0,0,'Données projet'!$E$12+1,1))-AVERAGE(OFFSET($H$3,0,0,'Données projet'!$E$12+1,1))</f>
        <v>308.58270639204238</v>
      </c>
      <c r="CE24" s="58">
        <f t="shared" si="40"/>
        <v>258.90832875500325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7.5000000000000018</v>
      </c>
      <c r="CT24" s="13">
        <f>IF('Données projet'!$A$140&gt;35,CT23+CS24-DB23,IF(A24&lt;'Données projet'!$A$140,$CQ$205^A24,IF(A24='Données projet'!$A$140,'Données projet'!$B$140,CT23+CS24-DB23)))</f>
        <v>58.78205128205127</v>
      </c>
      <c r="CU24" s="18">
        <f>CT24*VLOOKUP('Données projet'!$B$13,Paramètres!$A$1:$I$89,3,0)*VLOOKUP('Données projet'!$B$13,Paramètres!$A$1:$I$89,5,0)</f>
        <v>55.936999999999991</v>
      </c>
      <c r="CV24" s="14">
        <f t="shared" si="41"/>
        <v>16.136860777043889</v>
      </c>
      <c r="CW24" s="22">
        <f t="shared" si="13"/>
        <v>125.5286408533514</v>
      </c>
      <c r="CX24" s="58">
        <f t="shared" si="14"/>
        <v>344.3861692292258</v>
      </c>
      <c r="CY24" s="58">
        <f ca="1">AVERAGE(OFFSET($CX$3,0,0,'Données projet'!$E$13+1,1))-AVERAGE(OFFSET($H$3,0,0,'Données projet'!$E$13+1,1))</f>
        <v>397.61813291201469</v>
      </c>
      <c r="CZ24" s="58">
        <f t="shared" si="42"/>
        <v>320.30651625485064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58" t="e">
        <f t="shared" si="17"/>
        <v>#N/A</v>
      </c>
      <c r="DT24" s="58" t="e">
        <f ca="1">AVERAGE(OFFSET($DS$3,0,0,'Données projet'!$E$14+1,1))-AVERAGE(OFFSET($H$3,0,0,'Données projet'!$E$14+1,1))</f>
        <v>#N/A</v>
      </c>
      <c r="DU24" s="58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58" t="e">
        <f t="shared" si="20"/>
        <v>#N/A</v>
      </c>
      <c r="EO24" s="58" t="e">
        <f ca="1">AVERAGE(OFFSET($EN$3,0,0,'Données projet'!$E$15+1,1))-AVERAGE(OFFSET($H$3,0,0,'Données projet'!$E$15+1,1))</f>
        <v>#N/A</v>
      </c>
      <c r="EP24" s="58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58" t="e">
        <f t="shared" si="23"/>
        <v>#N/A</v>
      </c>
      <c r="FJ24" s="58" t="e">
        <f ca="1">AVERAGE(OFFSET($FI$3,0,0,'Données projet'!$E$16+1,1))-AVERAGE(OFFSET($H$3,0,0,'Données projet'!$E$16+1,1))</f>
        <v>#N/A</v>
      </c>
      <c r="FK24" s="58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58" t="e">
        <f t="shared" si="26"/>
        <v>#N/A</v>
      </c>
      <c r="GE24" s="58" t="e">
        <f ca="1">AVERAGE(OFFSET($GD$3,0,0,'Données projet'!$E$17+1,1))-AVERAGE(OFFSET($H$3,0,0,'Données projet'!$E$17+1,1))</f>
        <v>#N/A</v>
      </c>
      <c r="GF24" s="58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58" t="e">
        <f t="shared" si="29"/>
        <v>#N/A</v>
      </c>
      <c r="GZ24" s="58" t="e">
        <f ca="1">AVERAGE(OFFSET($GY$3,0,0,'Données projet'!$E$18+1,1))-AVERAGE(OFFSET($H$3,0,0,'Données projet'!$E$18+1,1))</f>
        <v>#N/A</v>
      </c>
      <c r="HA24" s="58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0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3">
        <f t="shared" si="1"/>
        <v>183.33333333333334</v>
      </c>
      <c r="I25" s="6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73.625760000000014</v>
      </c>
      <c r="P25" s="14">
        <f t="shared" si="33"/>
        <v>20.571198174996731</v>
      </c>
      <c r="Q25" s="22">
        <f t="shared" si="2"/>
        <v>164.05970215478601</v>
      </c>
      <c r="R25" s="58">
        <f t="shared" si="0"/>
        <v>385.24061605825443</v>
      </c>
      <c r="S25" s="58">
        <f ca="1">AVERAGE(OFFSET($R$3,0,0,'Données projet'!$E$9+1,1))-AVERAGE(OFFSET($H$3,0,0,'Données projet'!$E$9+1,1))</f>
        <v>527.70171871461309</v>
      </c>
      <c r="T25" s="58">
        <f t="shared" si="34"/>
        <v>281.06176764290592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9.6</v>
      </c>
      <c r="AI25" s="14">
        <f>IF('Données projet'!$A$62&gt;35,AI24+AH25-AQ24,IF(A25&lt;'Données projet'!$A$62,$AF$205^A25,IF(A25='Données projet'!$A$62,'Données projet'!$B$62,AI24+AH25-AQ24)))</f>
        <v>109.19999999999999</v>
      </c>
      <c r="AJ25" s="14">
        <f>AI25*VLOOKUP('Données projet'!$B$10,Paramètres!$A$1:$I$89,3,0)*VLOOKUP('Données projet'!$B$10,Paramètres!$A$1:$I$89,5,0)</f>
        <v>71.547839999999994</v>
      </c>
      <c r="AK25" s="14">
        <f t="shared" si="35"/>
        <v>20.05735014974319</v>
      </c>
      <c r="AL25" s="22">
        <f t="shared" si="4"/>
        <v>159.54570617746938</v>
      </c>
      <c r="AM25" s="58">
        <f t="shared" si="5"/>
        <v>380.72662008093778</v>
      </c>
      <c r="AN25" s="58">
        <f ca="1">AVERAGE(OFFSET($AM$3,0,0,'Données projet'!$E$10+1,1))-AVERAGE(OFFSET($H$3,0,0,'Données projet'!$E$10+1,1))</f>
        <v>302.53318056366777</v>
      </c>
      <c r="AO25" s="58">
        <f t="shared" si="36"/>
        <v>318.32262615164541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12.500000000000002</v>
      </c>
      <c r="BD25" s="13">
        <f>IF('Données projet'!$A$88&gt;35,BD24+BC25-BL24,IF(A25&lt;'Données projet'!$A$88,$BA$205^A25,IF(A25='Données projet'!$A$88,'Données projet'!$B$88,BD24+BC25-BL24)))</f>
        <v>77</v>
      </c>
      <c r="BE25" s="14">
        <f>BD25*VLOOKUP('Données projet'!$B$11,Paramètres!$A$1:$I$89,3,0)*VLOOKUP('Données projet'!$B$11,Paramètres!$A$1:$I$89,5,0)</f>
        <v>61.261200000000009</v>
      </c>
      <c r="BF25" s="14">
        <f t="shared" si="37"/>
        <v>17.486752865339852</v>
      </c>
      <c r="BG25" s="22">
        <f t="shared" si="7"/>
        <v>137.15268457380026</v>
      </c>
      <c r="BH25" s="58">
        <f t="shared" si="8"/>
        <v>358.33359847726865</v>
      </c>
      <c r="BI25" s="58">
        <f ca="1">AVERAGE(OFFSET($BH$3,0,0,'Données projet'!$E$11+1,1))-AVERAGE(OFFSET($H$3,0,0,'Données projet'!$E$11+1,1))</f>
        <v>336.25341821407534</v>
      </c>
      <c r="BJ25" s="58">
        <f t="shared" si="38"/>
        <v>360.3246221345039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5.8</v>
      </c>
      <c r="BY25" s="13">
        <f>IF('Données projet'!$A$114&gt;35,BY24+BX25-CG24,IF(A25&lt;'Données projet'!$A$114,$BV$205^A25,IF(A25='Données projet'!$A$114,'Données projet'!$B$114,BY24+BX25-CG24)))</f>
        <v>65.599999999999994</v>
      </c>
      <c r="BZ25" s="14">
        <f>BY25*VLOOKUP('Données projet'!$B$12,Paramètres!$A$1:$I$89,3,0)*VLOOKUP('Données projet'!$B$12,Paramètres!$A$1:$I$89,5,0)</f>
        <v>53.214719999999993</v>
      </c>
      <c r="CA25" s="14">
        <f t="shared" si="39"/>
        <v>15.440940408182183</v>
      </c>
      <c r="CB25" s="22">
        <f t="shared" si="10"/>
        <v>119.57527521091727</v>
      </c>
      <c r="CC25" s="58">
        <f t="shared" si="11"/>
        <v>340.75618911438568</v>
      </c>
      <c r="CD25" s="58">
        <f ca="1">AVERAGE(OFFSET($CC$3,0,0,'Données projet'!$E$12+1,1))-AVERAGE(OFFSET($H$3,0,0,'Données projet'!$E$12+1,1))</f>
        <v>308.58270639204238</v>
      </c>
      <c r="CE25" s="58">
        <f t="shared" si="40"/>
        <v>258.90832875500325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7.5000000000000018</v>
      </c>
      <c r="CT25" s="13">
        <f>IF('Données projet'!$A$140&gt;35,CT24+CS25-DB24,IF(A25&lt;'Données projet'!$A$140,$CQ$205^A25,IF(A25='Données projet'!$A$140,'Données projet'!$B$140,CT24+CS25-DB24)))</f>
        <v>66.28205128205127</v>
      </c>
      <c r="CU25" s="18">
        <f>CT25*VLOOKUP('Données projet'!$B$13,Paramètres!$A$1:$I$89,3,0)*VLOOKUP('Données projet'!$B$13,Paramètres!$A$1:$I$89,5,0)</f>
        <v>63.073999999999991</v>
      </c>
      <c r="CV25" s="14">
        <f t="shared" si="41"/>
        <v>17.94319823182078</v>
      </c>
      <c r="CW25" s="22">
        <f t="shared" si="13"/>
        <v>141.10495358708783</v>
      </c>
      <c r="CX25" s="58">
        <f t="shared" si="14"/>
        <v>362.28586749055626</v>
      </c>
      <c r="CY25" s="58">
        <f ca="1">AVERAGE(OFFSET($CX$3,0,0,'Données projet'!$E$13+1,1))-AVERAGE(OFFSET($H$3,0,0,'Données projet'!$E$13+1,1))</f>
        <v>397.61813291201469</v>
      </c>
      <c r="CZ25" s="58">
        <f t="shared" si="42"/>
        <v>320.30651625485064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58" t="e">
        <f t="shared" si="17"/>
        <v>#N/A</v>
      </c>
      <c r="DT25" s="58" t="e">
        <f ca="1">AVERAGE(OFFSET($DS$3,0,0,'Données projet'!$E$14+1,1))-AVERAGE(OFFSET($H$3,0,0,'Données projet'!$E$14+1,1))</f>
        <v>#N/A</v>
      </c>
      <c r="DU25" s="58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58" t="e">
        <f t="shared" si="20"/>
        <v>#N/A</v>
      </c>
      <c r="EO25" s="58" t="e">
        <f ca="1">AVERAGE(OFFSET($EN$3,0,0,'Données projet'!$E$15+1,1))-AVERAGE(OFFSET($H$3,0,0,'Données projet'!$E$15+1,1))</f>
        <v>#N/A</v>
      </c>
      <c r="EP25" s="58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58" t="e">
        <f t="shared" si="23"/>
        <v>#N/A</v>
      </c>
      <c r="FJ25" s="58" t="e">
        <f ca="1">AVERAGE(OFFSET($FI$3,0,0,'Données projet'!$E$16+1,1))-AVERAGE(OFFSET($H$3,0,0,'Données projet'!$E$16+1,1))</f>
        <v>#N/A</v>
      </c>
      <c r="FK25" s="58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58" t="e">
        <f t="shared" si="26"/>
        <v>#N/A</v>
      </c>
      <c r="GE25" s="58" t="e">
        <f ca="1">AVERAGE(OFFSET($GD$3,0,0,'Données projet'!$E$17+1,1))-AVERAGE(OFFSET($H$3,0,0,'Données projet'!$E$17+1,1))</f>
        <v>#N/A</v>
      </c>
      <c r="GF25" s="58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58" t="e">
        <f t="shared" si="29"/>
        <v>#N/A</v>
      </c>
      <c r="GZ25" s="58" t="e">
        <f ca="1">AVERAGE(OFFSET($GY$3,0,0,'Données projet'!$E$18+1,1))-AVERAGE(OFFSET($H$3,0,0,'Données projet'!$E$18+1,1))</f>
        <v>#N/A</v>
      </c>
      <c r="HA25" s="58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0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3">
        <f t="shared" si="1"/>
        <v>183.33333333333334</v>
      </c>
      <c r="I26" s="6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79.691040000000015</v>
      </c>
      <c r="P26" s="14">
        <f t="shared" si="33"/>
        <v>22.061624798490286</v>
      </c>
      <c r="Q26" s="22">
        <f t="shared" si="2"/>
        <v>177.21922452403726</v>
      </c>
      <c r="R26" s="58">
        <f t="shared" si="0"/>
        <v>400.70442123358373</v>
      </c>
      <c r="S26" s="58">
        <f ca="1">AVERAGE(OFFSET($R$3,0,0,'Données projet'!$E$9+1,1))-AVERAGE(OFFSET($H$3,0,0,'Données projet'!$E$9+1,1))</f>
        <v>527.70171871461309</v>
      </c>
      <c r="T26" s="58">
        <f t="shared" si="34"/>
        <v>281.06176764290592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9.6</v>
      </c>
      <c r="AI26" s="14">
        <f>IF('Données projet'!$A$62&gt;35,AI25+AH26-AQ25,IF(A26&lt;'Données projet'!$A$62,$AF$205^A26,IF(A26='Données projet'!$A$62,'Données projet'!$B$62,AI25+AH26-AQ25)))</f>
        <v>118.79999999999998</v>
      </c>
      <c r="AJ26" s="14">
        <f>AI26*VLOOKUP('Données projet'!$B$10,Paramètres!$A$1:$I$89,3,0)*VLOOKUP('Données projet'!$B$10,Paramètres!$A$1:$I$89,5,0)</f>
        <v>77.837759999999989</v>
      </c>
      <c r="AK26" s="14">
        <f t="shared" si="35"/>
        <v>21.607665094033621</v>
      </c>
      <c r="AL26" s="22">
        <f t="shared" si="4"/>
        <v>173.2007820387752</v>
      </c>
      <c r="AM26" s="58">
        <f t="shared" si="5"/>
        <v>396.6859787483217</v>
      </c>
      <c r="AN26" s="58">
        <f ca="1">AVERAGE(OFFSET($AM$3,0,0,'Données projet'!$E$10+1,1))-AVERAGE(OFFSET($H$3,0,0,'Données projet'!$E$10+1,1))</f>
        <v>302.53318056366777</v>
      </c>
      <c r="AO26" s="58">
        <f t="shared" si="36"/>
        <v>318.32262615164541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12.500000000000002</v>
      </c>
      <c r="BD26" s="13">
        <f>IF('Données projet'!$A$88&gt;35,BD25+BC26-BL25,IF(A26&lt;'Données projet'!$A$88,$BA$205^A26,IF(A26='Données projet'!$A$88,'Données projet'!$B$88,BD25+BC26-BL25)))</f>
        <v>89.5</v>
      </c>
      <c r="BE26" s="14">
        <f>BD26*VLOOKUP('Données projet'!$B$11,Paramètres!$A$1:$I$89,3,0)*VLOOKUP('Données projet'!$B$11,Paramètres!$A$1:$I$89,5,0)</f>
        <v>71.20620000000001</v>
      </c>
      <c r="BF26" s="14">
        <f t="shared" si="37"/>
        <v>19.972701050724211</v>
      </c>
      <c r="BG26" s="22">
        <f t="shared" si="7"/>
        <v>158.80325266334467</v>
      </c>
      <c r="BH26" s="58">
        <f t="shared" si="8"/>
        <v>382.28844937289114</v>
      </c>
      <c r="BI26" s="58">
        <f ca="1">AVERAGE(OFFSET($BH$3,0,0,'Données projet'!$E$11+1,1))-AVERAGE(OFFSET($H$3,0,0,'Données projet'!$E$11+1,1))</f>
        <v>336.25341821407534</v>
      </c>
      <c r="BJ26" s="58">
        <f t="shared" si="38"/>
        <v>360.3246221345039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5.8</v>
      </c>
      <c r="BY26" s="13">
        <f>IF('Données projet'!$A$114&gt;35,BY25+BX26-CG25,IF(A26&lt;'Données projet'!$A$114,$BV$205^A26,IF(A26='Données projet'!$A$114,'Données projet'!$B$114,BY25+BX26-CG25)))</f>
        <v>71.399999999999991</v>
      </c>
      <c r="BZ26" s="14">
        <f>BY26*VLOOKUP('Données projet'!$B$12,Paramètres!$A$1:$I$89,3,0)*VLOOKUP('Données projet'!$B$12,Paramètres!$A$1:$I$89,5,0)</f>
        <v>57.91968</v>
      </c>
      <c r="CA26" s="14">
        <f t="shared" si="39"/>
        <v>16.641223534705848</v>
      </c>
      <c r="CB26" s="22">
        <f t="shared" si="10"/>
        <v>129.860240322946</v>
      </c>
      <c r="CC26" s="58">
        <f t="shared" si="11"/>
        <v>353.3454370324925</v>
      </c>
      <c r="CD26" s="58">
        <f ca="1">AVERAGE(OFFSET($CC$3,0,0,'Données projet'!$E$12+1,1))-AVERAGE(OFFSET($H$3,0,0,'Données projet'!$E$12+1,1))</f>
        <v>308.58270639204238</v>
      </c>
      <c r="CE26" s="58">
        <f t="shared" si="40"/>
        <v>258.90832875500325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7.5000000000000018</v>
      </c>
      <c r="CT26" s="13">
        <f>IF('Données projet'!$A$140&gt;35,CT25+CS26-DB25,IF(A26&lt;'Données projet'!$A$140,$CQ$205^A26,IF(A26='Données projet'!$A$140,'Données projet'!$B$140,CT25+CS26-DB25)))</f>
        <v>73.78205128205127</v>
      </c>
      <c r="CU26" s="18">
        <f>CT26*VLOOKUP('Données projet'!$B$13,Paramètres!$A$1:$I$89,3,0)*VLOOKUP('Données projet'!$B$13,Paramètres!$A$1:$I$89,5,0)</f>
        <v>70.210999999999984</v>
      </c>
      <c r="CV26" s="14">
        <f t="shared" si="41"/>
        <v>19.725847125863282</v>
      </c>
      <c r="CW26" s="22">
        <f t="shared" si="13"/>
        <v>156.64000874421183</v>
      </c>
      <c r="CX26" s="58">
        <f t="shared" si="14"/>
        <v>380.12520545375833</v>
      </c>
      <c r="CY26" s="58">
        <f ca="1">AVERAGE(OFFSET($CX$3,0,0,'Données projet'!$E$13+1,1))-AVERAGE(OFFSET($H$3,0,0,'Données projet'!$E$13+1,1))</f>
        <v>397.61813291201469</v>
      </c>
      <c r="CZ26" s="58">
        <f t="shared" si="42"/>
        <v>320.30651625485064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58" t="e">
        <f t="shared" si="17"/>
        <v>#N/A</v>
      </c>
      <c r="DT26" s="58" t="e">
        <f ca="1">AVERAGE(OFFSET($DS$3,0,0,'Données projet'!$E$14+1,1))-AVERAGE(OFFSET($H$3,0,0,'Données projet'!$E$14+1,1))</f>
        <v>#N/A</v>
      </c>
      <c r="DU26" s="58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58" t="e">
        <f t="shared" si="20"/>
        <v>#N/A</v>
      </c>
      <c r="EO26" s="58" t="e">
        <f ca="1">AVERAGE(OFFSET($EN$3,0,0,'Données projet'!$E$15+1,1))-AVERAGE(OFFSET($H$3,0,0,'Données projet'!$E$15+1,1))</f>
        <v>#N/A</v>
      </c>
      <c r="EP26" s="58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58" t="e">
        <f t="shared" si="23"/>
        <v>#N/A</v>
      </c>
      <c r="FJ26" s="58" t="e">
        <f ca="1">AVERAGE(OFFSET($FI$3,0,0,'Données projet'!$E$16+1,1))-AVERAGE(OFFSET($H$3,0,0,'Données projet'!$E$16+1,1))</f>
        <v>#N/A</v>
      </c>
      <c r="FK26" s="58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58" t="e">
        <f t="shared" si="26"/>
        <v>#N/A</v>
      </c>
      <c r="GE26" s="58" t="e">
        <f ca="1">AVERAGE(OFFSET($GD$3,0,0,'Données projet'!$E$17+1,1))-AVERAGE(OFFSET($H$3,0,0,'Données projet'!$E$17+1,1))</f>
        <v>#N/A</v>
      </c>
      <c r="GF26" s="58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58" t="e">
        <f t="shared" si="29"/>
        <v>#N/A</v>
      </c>
      <c r="GZ26" s="58" t="e">
        <f ca="1">AVERAGE(OFFSET($GY$3,0,0,'Données projet'!$E$18+1,1))-AVERAGE(OFFSET($H$3,0,0,'Données projet'!$E$18+1,1))</f>
        <v>#N/A</v>
      </c>
      <c r="HA26" s="58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0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3">
        <f t="shared" si="1"/>
        <v>183.33333333333334</v>
      </c>
      <c r="I27" s="6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85.756320000000017</v>
      </c>
      <c r="P27" s="14">
        <f t="shared" si="33"/>
        <v>23.538892352228263</v>
      </c>
      <c r="Q27" s="22">
        <f t="shared" si="2"/>
        <v>190.35582818013089</v>
      </c>
      <c r="R27" s="58">
        <f t="shared" si="0"/>
        <v>416.12653636375069</v>
      </c>
      <c r="S27" s="58">
        <f ca="1">AVERAGE(OFFSET($R$3,0,0,'Données projet'!$E$9+1,1))-AVERAGE(OFFSET($H$3,0,0,'Données projet'!$E$9+1,1))</f>
        <v>527.70171871461309</v>
      </c>
      <c r="T27" s="58">
        <f t="shared" si="34"/>
        <v>281.06176764290592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9.6</v>
      </c>
      <c r="AI27" s="14">
        <f>IF('Données projet'!$A$62&gt;35,AI26+AH27-AQ26,IF(A27&lt;'Données projet'!$A$62,$AF$205^A27,IF(A27='Données projet'!$A$62,'Données projet'!$B$62,AI26+AH27-AQ26)))</f>
        <v>128.39999999999998</v>
      </c>
      <c r="AJ27" s="14">
        <f>AI27*VLOOKUP('Données projet'!$B$10,Paramètres!$A$1:$I$89,3,0)*VLOOKUP('Données projet'!$B$10,Paramètres!$A$1:$I$89,5,0)</f>
        <v>84.127679999999984</v>
      </c>
      <c r="AK27" s="14">
        <f t="shared" si="35"/>
        <v>23.143449366413215</v>
      </c>
      <c r="AL27" s="22">
        <f t="shared" si="4"/>
        <v>186.83055031316962</v>
      </c>
      <c r="AM27" s="58">
        <f t="shared" si="5"/>
        <v>412.60125849678946</v>
      </c>
      <c r="AN27" s="58">
        <f ca="1">AVERAGE(OFFSET($AM$3,0,0,'Données projet'!$E$10+1,1))-AVERAGE(OFFSET($H$3,0,0,'Données projet'!$E$10+1,1))</f>
        <v>302.53318056366777</v>
      </c>
      <c r="AO27" s="58">
        <f t="shared" si="36"/>
        <v>318.32262615164541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12.500000000000002</v>
      </c>
      <c r="BD27" s="13">
        <f>IF('Données projet'!$A$88&gt;35,BD26+BC27-BL26,IF(A27&lt;'Données projet'!$A$88,$BA$205^A27,IF(A27='Données projet'!$A$88,'Données projet'!$B$88,BD26+BC27-BL26)))</f>
        <v>102</v>
      </c>
      <c r="BE27" s="14">
        <f>BD27*VLOOKUP('Données projet'!$B$11,Paramètres!$A$1:$I$89,3,0)*VLOOKUP('Données projet'!$B$11,Paramètres!$A$1:$I$89,5,0)</f>
        <v>81.151200000000003</v>
      </c>
      <c r="BF27" s="14">
        <f t="shared" si="37"/>
        <v>22.418424032002342</v>
      </c>
      <c r="BG27" s="22">
        <f t="shared" si="7"/>
        <v>180.38376185573739</v>
      </c>
      <c r="BH27" s="58">
        <f t="shared" si="8"/>
        <v>406.15447003935719</v>
      </c>
      <c r="BI27" s="58">
        <f ca="1">AVERAGE(OFFSET($BH$3,0,0,'Données projet'!$E$11+1,1))-AVERAGE(OFFSET($H$3,0,0,'Données projet'!$E$11+1,1))</f>
        <v>336.25341821407534</v>
      </c>
      <c r="BJ27" s="58">
        <f t="shared" si="38"/>
        <v>360.3246221345039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5.8</v>
      </c>
      <c r="BY27" s="13">
        <f>IF('Données projet'!$A$114&gt;35,BY26+BX27-CG26,IF(A27&lt;'Données projet'!$A$114,$BV$205^A27,IF(A27='Données projet'!$A$114,'Données projet'!$B$114,BY26+BX27-CG26)))</f>
        <v>77.199999999999989</v>
      </c>
      <c r="BZ27" s="14">
        <f>BY27*VLOOKUP('Données projet'!$B$12,Paramètres!$A$1:$I$89,3,0)*VLOOKUP('Données projet'!$B$12,Paramètres!$A$1:$I$89,5,0)</f>
        <v>62.624639999999999</v>
      </c>
      <c r="CA27" s="14">
        <f t="shared" si="39"/>
        <v>17.830197796836153</v>
      </c>
      <c r="CB27" s="22">
        <f t="shared" si="10"/>
        <v>140.12550916282296</v>
      </c>
      <c r="CC27" s="58">
        <f t="shared" si="11"/>
        <v>365.89621734644277</v>
      </c>
      <c r="CD27" s="58">
        <f ca="1">AVERAGE(OFFSET($CC$3,0,0,'Données projet'!$E$12+1,1))-AVERAGE(OFFSET($H$3,0,0,'Données projet'!$E$12+1,1))</f>
        <v>308.58270639204238</v>
      </c>
      <c r="CE27" s="58">
        <f t="shared" si="40"/>
        <v>258.90832875500325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7.5000000000000018</v>
      </c>
      <c r="CT27" s="13">
        <f>IF('Données projet'!$A$140&gt;35,CT26+CS27-DB26,IF(A27&lt;'Données projet'!$A$140,$CQ$205^A27,IF(A27='Données projet'!$A$140,'Données projet'!$B$140,CT26+CS27-DB26)))</f>
        <v>81.28205128205127</v>
      </c>
      <c r="CU27" s="18">
        <f>CT27*VLOOKUP('Données projet'!$B$13,Paramètres!$A$1:$I$89,3,0)*VLOOKUP('Données projet'!$B$13,Paramètres!$A$1:$I$89,5,0)</f>
        <v>77.347999999999985</v>
      </c>
      <c r="CV27" s="14">
        <f t="shared" si="41"/>
        <v>21.487489601115175</v>
      </c>
      <c r="CW27" s="22">
        <f t="shared" si="13"/>
        <v>172.13847772194222</v>
      </c>
      <c r="CX27" s="58">
        <f t="shared" si="14"/>
        <v>397.90918590556203</v>
      </c>
      <c r="CY27" s="58">
        <f ca="1">AVERAGE(OFFSET($CX$3,0,0,'Données projet'!$E$13+1,1))-AVERAGE(OFFSET($H$3,0,0,'Données projet'!$E$13+1,1))</f>
        <v>397.61813291201469</v>
      </c>
      <c r="CZ27" s="58">
        <f t="shared" si="42"/>
        <v>320.30651625485064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58" t="e">
        <f t="shared" si="17"/>
        <v>#N/A</v>
      </c>
      <c r="DT27" s="58" t="e">
        <f ca="1">AVERAGE(OFFSET($DS$3,0,0,'Données projet'!$E$14+1,1))-AVERAGE(OFFSET($H$3,0,0,'Données projet'!$E$14+1,1))</f>
        <v>#N/A</v>
      </c>
      <c r="DU27" s="58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58" t="e">
        <f t="shared" si="20"/>
        <v>#N/A</v>
      </c>
      <c r="EO27" s="58" t="e">
        <f ca="1">AVERAGE(OFFSET($EN$3,0,0,'Données projet'!$E$15+1,1))-AVERAGE(OFFSET($H$3,0,0,'Données projet'!$E$15+1,1))</f>
        <v>#N/A</v>
      </c>
      <c r="EP27" s="58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58" t="e">
        <f t="shared" si="23"/>
        <v>#N/A</v>
      </c>
      <c r="FJ27" s="58" t="e">
        <f ca="1">AVERAGE(OFFSET($FI$3,0,0,'Données projet'!$E$16+1,1))-AVERAGE(OFFSET($H$3,0,0,'Données projet'!$E$16+1,1))</f>
        <v>#N/A</v>
      </c>
      <c r="FK27" s="58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58" t="e">
        <f t="shared" si="26"/>
        <v>#N/A</v>
      </c>
      <c r="GE27" s="58" t="e">
        <f ca="1">AVERAGE(OFFSET($GD$3,0,0,'Données projet'!$E$17+1,1))-AVERAGE(OFFSET($H$3,0,0,'Données projet'!$E$17+1,1))</f>
        <v>#N/A</v>
      </c>
      <c r="GF27" s="58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58" t="e">
        <f t="shared" si="29"/>
        <v>#N/A</v>
      </c>
      <c r="GZ27" s="58" t="e">
        <f ca="1">AVERAGE(OFFSET($GY$3,0,0,'Données projet'!$E$18+1,1))-AVERAGE(OFFSET($H$3,0,0,'Données projet'!$E$18+1,1))</f>
        <v>#N/A</v>
      </c>
      <c r="HA27" s="58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0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3">
        <f t="shared" si="1"/>
        <v>183.33333333333334</v>
      </c>
      <c r="I28" s="6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91.821600000000018</v>
      </c>
      <c r="P28" s="14">
        <f t="shared" si="33"/>
        <v>25.004037394505982</v>
      </c>
      <c r="Q28" s="22">
        <f t="shared" si="2"/>
        <v>203.47131846209797</v>
      </c>
      <c r="R28" s="58">
        <f t="shared" si="0"/>
        <v>431.50909242843011</v>
      </c>
      <c r="S28" s="58">
        <f ca="1">AVERAGE(OFFSET($R$3,0,0,'Données projet'!$E$9+1,1))-AVERAGE(OFFSET($H$3,0,0,'Données projet'!$E$9+1,1))</f>
        <v>527.70171871461309</v>
      </c>
      <c r="T28" s="58">
        <f t="shared" si="34"/>
        <v>281.06176764290592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138</v>
      </c>
      <c r="AG28" s="13">
        <f>VLOOKUP(A28,'Données projet'!$A$61:$I$81,9,0)</f>
        <v>9.6</v>
      </c>
      <c r="AH28" s="13">
        <f t="array" ref="AH28">INDEX(AG:AG,MIN(IF(ISNUMBER(AG28:AG224),ROW(AG28:AG224),"")))</f>
        <v>9.6</v>
      </c>
      <c r="AI28" s="14">
        <f>IF('Données projet'!$A$62&gt;35,AI27+AH28-AQ27,IF(A28&lt;'Données projet'!$A$62,$AF$205^A28,IF(A28='Données projet'!$A$62,'Données projet'!$B$62,AI27+AH28-AQ27)))</f>
        <v>137.99999999999997</v>
      </c>
      <c r="AJ28" s="14">
        <f>AI28*VLOOKUP('Données projet'!$B$10,Paramètres!$A$1:$I$89,3,0)*VLOOKUP('Données projet'!$B$10,Paramètres!$A$1:$I$89,5,0)</f>
        <v>90.417599999999979</v>
      </c>
      <c r="AK28" s="14">
        <f t="shared" si="35"/>
        <v>24.665912907068826</v>
      </c>
      <c r="AL28" s="22">
        <f t="shared" si="4"/>
        <v>200.43711831314485</v>
      </c>
      <c r="AM28" s="58">
        <f t="shared" si="5"/>
        <v>428.47489227947699</v>
      </c>
      <c r="AN28" s="58">
        <f ca="1">AVERAGE(OFFSET($AM$3,0,0,'Données projet'!$E$10+1,1))-AVERAGE(OFFSET($H$3,0,0,'Données projet'!$E$10+1,1))</f>
        <v>302.53318056366777</v>
      </c>
      <c r="AO28" s="58">
        <f t="shared" si="36"/>
        <v>318.32262615164541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114.5</v>
      </c>
      <c r="BB28" s="13">
        <f>VLOOKUP(A28,'Données projet'!$A$87:$I$107,9,0)</f>
        <v>12.500000000000002</v>
      </c>
      <c r="BC28" s="13">
        <f t="array" ref="BC28">INDEX(BB:BB,MIN(IF(ISNUMBER(BB28:BB224),ROW(BB28:BB224),"")))</f>
        <v>12.500000000000002</v>
      </c>
      <c r="BD28" s="13">
        <f>IF('Données projet'!$A$88&gt;35,BD27+BC28-BL27,IF(A28&lt;'Données projet'!$A$88,$BA$205^A28,IF(A28='Données projet'!$A$88,'Données projet'!$B$88,BD27+BC28-BL27)))</f>
        <v>114.5</v>
      </c>
      <c r="BE28" s="14">
        <f>BD28*VLOOKUP('Données projet'!$B$11,Paramètres!$A$1:$I$89,3,0)*VLOOKUP('Données projet'!$B$11,Paramètres!$A$1:$I$89,5,0)</f>
        <v>91.09620000000001</v>
      </c>
      <c r="BF28" s="14">
        <f t="shared" si="37"/>
        <v>24.829415470949538</v>
      </c>
      <c r="BG28" s="22">
        <f t="shared" si="7"/>
        <v>201.90378027857048</v>
      </c>
      <c r="BH28" s="58">
        <f t="shared" si="8"/>
        <v>429.94155424490259</v>
      </c>
      <c r="BI28" s="58">
        <f ca="1">AVERAGE(OFFSET($BH$3,0,0,'Données projet'!$E$11+1,1))-AVERAGE(OFFSET($H$3,0,0,'Données projet'!$E$11+1,1))</f>
        <v>336.25341821407534</v>
      </c>
      <c r="BJ28" s="58">
        <f t="shared" si="38"/>
        <v>360.3246221345039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83</v>
      </c>
      <c r="BW28" s="13">
        <f>VLOOKUP(A28,'Données projet'!$A$113:$I$133,9,0)</f>
        <v>5.8</v>
      </c>
      <c r="BX28" s="13">
        <f t="array" ref="BX28">INDEX(BW:BW,MIN(IF(ISNUMBER(BW28:BW224),ROW(BW28:BW224),"")))</f>
        <v>5.8</v>
      </c>
      <c r="BY28" s="13">
        <f>IF('Données projet'!$A$114&gt;35,BY27+BX28-CG27,IF(A28&lt;'Données projet'!$A$114,$BV$205^A28,IF(A28='Données projet'!$A$114,'Données projet'!$B$114,BY27+BX28-CG27)))</f>
        <v>82.999999999999986</v>
      </c>
      <c r="BZ28" s="14">
        <f>BY28*VLOOKUP('Données projet'!$B$12,Paramètres!$A$1:$I$89,3,0)*VLOOKUP('Données projet'!$B$12,Paramètres!$A$1:$I$89,5,0)</f>
        <v>67.329599999999999</v>
      </c>
      <c r="CA28" s="14">
        <f t="shared" si="39"/>
        <v>19.008809433660961</v>
      </c>
      <c r="CB28" s="22">
        <f t="shared" si="10"/>
        <v>150.37272976362615</v>
      </c>
      <c r="CC28" s="58">
        <f t="shared" si="11"/>
        <v>378.41050372995824</v>
      </c>
      <c r="CD28" s="58">
        <f ca="1">AVERAGE(OFFSET($CC$3,0,0,'Données projet'!$E$12+1,1))-AVERAGE(OFFSET($H$3,0,0,'Données projet'!$E$12+1,1))</f>
        <v>308.58270639204238</v>
      </c>
      <c r="CE28" s="58">
        <f t="shared" si="40"/>
        <v>258.90832875500325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7.5000000000000018</v>
      </c>
      <c r="CT28" s="13">
        <f>IF('Données projet'!$A$140&gt;35,CT27+CS28-DB27,IF(A28&lt;'Données projet'!$A$140,$CQ$205^A28,IF(A28='Données projet'!$A$140,'Données projet'!$B$140,CT27+CS28-DB27)))</f>
        <v>88.78205128205127</v>
      </c>
      <c r="CU28" s="18">
        <f>CT28*VLOOKUP('Données projet'!$B$13,Paramètres!$A$1:$I$89,3,0)*VLOOKUP('Données projet'!$B$13,Paramètres!$A$1:$I$89,5,0)</f>
        <v>84.484999999999985</v>
      </c>
      <c r="CV28" s="14">
        <f t="shared" si="41"/>
        <v>23.230284406317548</v>
      </c>
      <c r="CW28" s="22">
        <f t="shared" si="13"/>
        <v>187.60412034100304</v>
      </c>
      <c r="CX28" s="58">
        <f t="shared" si="14"/>
        <v>415.64189430733518</v>
      </c>
      <c r="CY28" s="58">
        <f ca="1">AVERAGE(OFFSET($CX$3,0,0,'Données projet'!$E$13+1,1))-AVERAGE(OFFSET($H$3,0,0,'Données projet'!$E$13+1,1))</f>
        <v>397.61813291201469</v>
      </c>
      <c r="CZ28" s="58">
        <f t="shared" si="42"/>
        <v>320.30651625485064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58" t="e">
        <f t="shared" si="17"/>
        <v>#N/A</v>
      </c>
      <c r="DT28" s="58" t="e">
        <f ca="1">AVERAGE(OFFSET($DS$3,0,0,'Données projet'!$E$14+1,1))-AVERAGE(OFFSET($H$3,0,0,'Données projet'!$E$14+1,1))</f>
        <v>#N/A</v>
      </c>
      <c r="DU28" s="58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58" t="e">
        <f t="shared" si="20"/>
        <v>#N/A</v>
      </c>
      <c r="EO28" s="58" t="e">
        <f ca="1">AVERAGE(OFFSET($EN$3,0,0,'Données projet'!$E$15+1,1))-AVERAGE(OFFSET($H$3,0,0,'Données projet'!$E$15+1,1))</f>
        <v>#N/A</v>
      </c>
      <c r="EP28" s="58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58" t="e">
        <f t="shared" si="23"/>
        <v>#N/A</v>
      </c>
      <c r="FJ28" s="58" t="e">
        <f ca="1">AVERAGE(OFFSET($FI$3,0,0,'Données projet'!$E$16+1,1))-AVERAGE(OFFSET($H$3,0,0,'Données projet'!$E$16+1,1))</f>
        <v>#N/A</v>
      </c>
      <c r="FK28" s="58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58" t="e">
        <f t="shared" si="26"/>
        <v>#N/A</v>
      </c>
      <c r="GE28" s="58" t="e">
        <f ca="1">AVERAGE(OFFSET($GD$3,0,0,'Données projet'!$E$17+1,1))-AVERAGE(OFFSET($H$3,0,0,'Données projet'!$E$17+1,1))</f>
        <v>#N/A</v>
      </c>
      <c r="GF28" s="58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58" t="e">
        <f t="shared" si="29"/>
        <v>#N/A</v>
      </c>
      <c r="GZ28" s="58" t="e">
        <f ca="1">AVERAGE(OFFSET($GY$3,0,0,'Données projet'!$E$18+1,1))-AVERAGE(OFFSET($H$3,0,0,'Données projet'!$E$18+1,1))</f>
        <v>#N/A</v>
      </c>
      <c r="HA28" s="58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0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3">
        <f t="shared" si="1"/>
        <v>183.33333333333334</v>
      </c>
      <c r="I29" s="6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70.930080000000018</v>
      </c>
      <c r="P29" s="14">
        <f t="shared" si="33"/>
        <v>19.904251483253464</v>
      </c>
      <c r="Q29" s="22">
        <f t="shared" si="2"/>
        <v>158.20312733333313</v>
      </c>
      <c r="R29" s="58">
        <f t="shared" si="0"/>
        <v>388.48984138252331</v>
      </c>
      <c r="S29" s="58">
        <f ca="1">AVERAGE(OFFSET($R$3,0,0,'Données projet'!$E$9+1,1))-AVERAGE(OFFSET($H$3,0,0,'Données projet'!$E$9+1,1))</f>
        <v>527.70171871461309</v>
      </c>
      <c r="T29" s="58">
        <f t="shared" si="34"/>
        <v>281.06176764290592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8.8000000000000007</v>
      </c>
      <c r="AI29" s="14">
        <f>IF('Données projet'!$A$62&gt;35,AI28+AH29-AQ28,IF(A29&lt;'Données projet'!$A$62,$AF$205^A29,IF(A29='Données projet'!$A$62,'Données projet'!$B$62,AI28+AH29-AQ28)))</f>
        <v>146.79999999999998</v>
      </c>
      <c r="AJ29" s="14">
        <f>AI29*VLOOKUP('Données projet'!$B$10,Paramètres!$A$1:$I$89,3,0)*VLOOKUP('Données projet'!$B$10,Paramètres!$A$1:$I$89,5,0)</f>
        <v>96.183359999999993</v>
      </c>
      <c r="AK29" s="14">
        <f t="shared" si="35"/>
        <v>26.050686689664918</v>
      </c>
      <c r="AL29" s="22">
        <f t="shared" si="4"/>
        <v>212.89096465116634</v>
      </c>
      <c r="AM29" s="58">
        <f t="shared" si="5"/>
        <v>443.17767870035652</v>
      </c>
      <c r="AN29" s="58">
        <f ca="1">AVERAGE(OFFSET($AM$3,0,0,'Données projet'!$E$10+1,1))-AVERAGE(OFFSET($H$3,0,0,'Données projet'!$E$10+1,1))</f>
        <v>302.53318056366777</v>
      </c>
      <c r="AO29" s="58">
        <f t="shared" si="36"/>
        <v>318.32262615164541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126.5</v>
      </c>
      <c r="BE29" s="14">
        <f>BD29*VLOOKUP('Données projet'!$B$11,Paramètres!$A$1:$I$89,3,0)*VLOOKUP('Données projet'!$B$11,Paramètres!$A$1:$I$89,5,0)</f>
        <v>100.6434</v>
      </c>
      <c r="BF29" s="14">
        <f t="shared" si="37"/>
        <v>27.115221465557241</v>
      </c>
      <c r="BG29" s="22">
        <f t="shared" si="7"/>
        <v>222.51293238584552</v>
      </c>
      <c r="BH29" s="58">
        <f t="shared" si="8"/>
        <v>452.7996464350357</v>
      </c>
      <c r="BI29" s="58">
        <f ca="1">AVERAGE(OFFSET($BH$3,0,0,'Données projet'!$E$11+1,1))-AVERAGE(OFFSET($H$3,0,0,'Données projet'!$E$11+1,1))</f>
        <v>336.25341821407534</v>
      </c>
      <c r="BJ29" s="58">
        <f t="shared" si="38"/>
        <v>360.3246221345039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</v>
      </c>
      <c r="BY29" s="13">
        <f>IF('Données projet'!$A$114&gt;35,BY28+BX29-CG28,IF(A29&lt;'Données projet'!$A$114,$BV$205^A29,IF(A29='Données projet'!$A$114,'Données projet'!$B$114,BY28+BX29-CG28)))</f>
        <v>88.999999999999986</v>
      </c>
      <c r="BZ29" s="14">
        <f>BY29*VLOOKUP('Données projet'!$B$12,Paramètres!$A$1:$I$89,3,0)*VLOOKUP('Données projet'!$B$12,Paramètres!$A$1:$I$89,5,0)</f>
        <v>72.196799999999996</v>
      </c>
      <c r="CA29" s="14">
        <f t="shared" si="39"/>
        <v>20.218015459285905</v>
      </c>
      <c r="CB29" s="22">
        <f t="shared" si="10"/>
        <v>160.95580359158961</v>
      </c>
      <c r="CC29" s="58">
        <f t="shared" si="11"/>
        <v>391.24251764077979</v>
      </c>
      <c r="CD29" s="58">
        <f ca="1">AVERAGE(OFFSET($CC$3,0,0,'Données projet'!$E$12+1,1))-AVERAGE(OFFSET($H$3,0,0,'Données projet'!$E$12+1,1))</f>
        <v>308.58270639204238</v>
      </c>
      <c r="CE29" s="58">
        <f t="shared" si="40"/>
        <v>258.90832875500325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7.5000000000000018</v>
      </c>
      <c r="CT29" s="13">
        <f>IF('Données projet'!$A$140&gt;35,CT28+CS29-DB28,IF(A29&lt;'Données projet'!$A$140,$CQ$205^A29,IF(A29='Données projet'!$A$140,'Données projet'!$B$140,CT28+CS29-DB28)))</f>
        <v>96.28205128205127</v>
      </c>
      <c r="CU29" s="18">
        <f>CT29*VLOOKUP('Données projet'!$B$13,Paramètres!$A$1:$I$89,3,0)*VLOOKUP('Données projet'!$B$13,Paramètres!$A$1:$I$89,5,0)</f>
        <v>91.621999999999986</v>
      </c>
      <c r="CV29" s="14">
        <f t="shared" si="41"/>
        <v>24.956004748327132</v>
      </c>
      <c r="CW29" s="22">
        <f t="shared" si="13"/>
        <v>203.04002493666971</v>
      </c>
      <c r="CX29" s="58">
        <f t="shared" si="14"/>
        <v>433.32673898585989</v>
      </c>
      <c r="CY29" s="58">
        <f ca="1">AVERAGE(OFFSET($CX$3,0,0,'Données projet'!$E$13+1,1))-AVERAGE(OFFSET($H$3,0,0,'Données projet'!$E$13+1,1))</f>
        <v>397.61813291201469</v>
      </c>
      <c r="CZ29" s="58">
        <f t="shared" si="42"/>
        <v>320.30651625485064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58" t="e">
        <f t="shared" si="17"/>
        <v>#N/A</v>
      </c>
      <c r="DT29" s="58" t="e">
        <f ca="1">AVERAGE(OFFSET($DS$3,0,0,'Données projet'!$E$14+1,1))-AVERAGE(OFFSET($H$3,0,0,'Données projet'!$E$14+1,1))</f>
        <v>#N/A</v>
      </c>
      <c r="DU29" s="58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58" t="e">
        <f t="shared" si="20"/>
        <v>#N/A</v>
      </c>
      <c r="EO29" s="58" t="e">
        <f ca="1">AVERAGE(OFFSET($EN$3,0,0,'Données projet'!$E$15+1,1))-AVERAGE(OFFSET($H$3,0,0,'Données projet'!$E$15+1,1))</f>
        <v>#N/A</v>
      </c>
      <c r="EP29" s="58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58" t="e">
        <f t="shared" si="23"/>
        <v>#N/A</v>
      </c>
      <c r="FJ29" s="58" t="e">
        <f ca="1">AVERAGE(OFFSET($FI$3,0,0,'Données projet'!$E$16+1,1))-AVERAGE(OFFSET($H$3,0,0,'Données projet'!$E$16+1,1))</f>
        <v>#N/A</v>
      </c>
      <c r="FK29" s="58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58" t="e">
        <f t="shared" si="26"/>
        <v>#N/A</v>
      </c>
      <c r="GE29" s="58" t="e">
        <f ca="1">AVERAGE(OFFSET($GD$3,0,0,'Données projet'!$E$17+1,1))-AVERAGE(OFFSET($H$3,0,0,'Données projet'!$E$17+1,1))</f>
        <v>#N/A</v>
      </c>
      <c r="GF29" s="58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58" t="e">
        <f t="shared" si="29"/>
        <v>#N/A</v>
      </c>
      <c r="GZ29" s="58" t="e">
        <f ca="1">AVERAGE(OFFSET($GY$3,0,0,'Données projet'!$E$18+1,1))-AVERAGE(OFFSET($H$3,0,0,'Données projet'!$E$18+1,1))</f>
        <v>#N/A</v>
      </c>
      <c r="HA29" s="58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0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3">
        <f t="shared" si="1"/>
        <v>183.33333333333334</v>
      </c>
      <c r="I30" s="6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78.680160000000029</v>
      </c>
      <c r="P30" s="14">
        <f t="shared" si="33"/>
        <v>21.814164609384523</v>
      </c>
      <c r="Q30" s="22">
        <f t="shared" si="2"/>
        <v>175.02761536134474</v>
      </c>
      <c r="R30" s="58">
        <f t="shared" si="0"/>
        <v>407.54545823390822</v>
      </c>
      <c r="S30" s="58">
        <f ca="1">AVERAGE(OFFSET($R$3,0,0,'Données projet'!$E$9+1,1))-AVERAGE(OFFSET($H$3,0,0,'Données projet'!$E$9+1,1))</f>
        <v>527.70171871461309</v>
      </c>
      <c r="T30" s="58">
        <f t="shared" si="34"/>
        <v>281.06176764290592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8.8000000000000007</v>
      </c>
      <c r="AI30" s="14">
        <f>IF('Données projet'!$A$62&gt;35,AI29+AH30-AQ29,IF(A30&lt;'Données projet'!$A$62,$AF$205^A30,IF(A30='Données projet'!$A$62,'Données projet'!$B$62,AI29+AH30-AQ29)))</f>
        <v>155.6</v>
      </c>
      <c r="AJ30" s="14">
        <f>AI30*VLOOKUP('Données projet'!$B$10,Paramètres!$A$1:$I$89,3,0)*VLOOKUP('Données projet'!$B$10,Paramètres!$A$1:$I$89,5,0)</f>
        <v>101.94911999999999</v>
      </c>
      <c r="AK30" s="14">
        <f t="shared" si="35"/>
        <v>27.425825538347155</v>
      </c>
      <c r="AL30" s="22">
        <f t="shared" si="4"/>
        <v>225.32803014595461</v>
      </c>
      <c r="AM30" s="58">
        <f t="shared" si="5"/>
        <v>457.84587301851809</v>
      </c>
      <c r="AN30" s="58">
        <f ca="1">AVERAGE(OFFSET($AM$3,0,0,'Données projet'!$E$10+1,1))-AVERAGE(OFFSET($H$3,0,0,'Données projet'!$E$10+1,1))</f>
        <v>302.53318056366777</v>
      </c>
      <c r="AO30" s="58">
        <f t="shared" si="36"/>
        <v>318.32262615164541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138.5</v>
      </c>
      <c r="BE30" s="14">
        <f>BD30*VLOOKUP('Données projet'!$B$11,Paramètres!$A$1:$I$89,3,0)*VLOOKUP('Données projet'!$B$11,Paramètres!$A$1:$I$89,5,0)</f>
        <v>110.19060000000002</v>
      </c>
      <c r="BF30" s="14">
        <f t="shared" si="37"/>
        <v>29.375886893482836</v>
      </c>
      <c r="BG30" s="22">
        <f t="shared" si="7"/>
        <v>243.07829800614925</v>
      </c>
      <c r="BH30" s="58">
        <f t="shared" si="8"/>
        <v>475.59614087871273</v>
      </c>
      <c r="BI30" s="58">
        <f ca="1">AVERAGE(OFFSET($BH$3,0,0,'Données projet'!$E$11+1,1))-AVERAGE(OFFSET($H$3,0,0,'Données projet'!$E$11+1,1))</f>
        <v>336.25341821407534</v>
      </c>
      <c r="BJ30" s="58">
        <f t="shared" si="38"/>
        <v>360.3246221345039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</v>
      </c>
      <c r="BY30" s="13">
        <f>IF('Données projet'!$A$114&gt;35,BY29+BX30-CG29,IF(A30&lt;'Données projet'!$A$114,$BV$205^A30,IF(A30='Données projet'!$A$114,'Données projet'!$B$114,BY29+BX30-CG29)))</f>
        <v>94.999999999999986</v>
      </c>
      <c r="BZ30" s="14">
        <f>BY30*VLOOKUP('Données projet'!$B$12,Paramètres!$A$1:$I$89,3,0)*VLOOKUP('Données projet'!$B$12,Paramètres!$A$1:$I$89,5,0)</f>
        <v>77.063999999999993</v>
      </c>
      <c r="CA30" s="14">
        <f t="shared" si="39"/>
        <v>21.417762186678065</v>
      </c>
      <c r="CB30" s="22">
        <f t="shared" si="10"/>
        <v>171.52240247513092</v>
      </c>
      <c r="CC30" s="58">
        <f t="shared" si="11"/>
        <v>404.04024534769439</v>
      </c>
      <c r="CD30" s="58">
        <f ca="1">AVERAGE(OFFSET($CC$3,0,0,'Données projet'!$E$12+1,1))-AVERAGE(OFFSET($H$3,0,0,'Données projet'!$E$12+1,1))</f>
        <v>308.58270639204238</v>
      </c>
      <c r="CE30" s="58">
        <f t="shared" si="40"/>
        <v>258.90832875500325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7.5000000000000018</v>
      </c>
      <c r="CT30" s="13">
        <f>IF('Données projet'!$A$140&gt;35,CT29+CS30-DB29,IF(A30&lt;'Données projet'!$A$140,$CQ$205^A30,IF(A30='Données projet'!$A$140,'Données projet'!$B$140,CT29+CS30-DB29)))</f>
        <v>103.78205128205127</v>
      </c>
      <c r="CU30" s="18">
        <f>CT30*VLOOKUP('Données projet'!$B$13,Paramètres!$A$1:$I$89,3,0)*VLOOKUP('Données projet'!$B$13,Paramètres!$A$1:$I$89,5,0)</f>
        <v>98.759</v>
      </c>
      <c r="CV30" s="14">
        <f t="shared" si="41"/>
        <v>26.666131881061361</v>
      </c>
      <c r="CW30" s="22">
        <f t="shared" si="13"/>
        <v>218.44877135951518</v>
      </c>
      <c r="CX30" s="58">
        <f t="shared" si="14"/>
        <v>450.96661423207865</v>
      </c>
      <c r="CY30" s="58">
        <f ca="1">AVERAGE(OFFSET($CX$3,0,0,'Données projet'!$E$13+1,1))-AVERAGE(OFFSET($H$3,0,0,'Données projet'!$E$13+1,1))</f>
        <v>397.61813291201469</v>
      </c>
      <c r="CZ30" s="58">
        <f t="shared" si="42"/>
        <v>320.30651625485064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58" t="e">
        <f t="shared" si="17"/>
        <v>#N/A</v>
      </c>
      <c r="DT30" s="58" t="e">
        <f ca="1">AVERAGE(OFFSET($DS$3,0,0,'Données projet'!$E$14+1,1))-AVERAGE(OFFSET($H$3,0,0,'Données projet'!$E$14+1,1))</f>
        <v>#N/A</v>
      </c>
      <c r="DU30" s="58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58" t="e">
        <f t="shared" si="20"/>
        <v>#N/A</v>
      </c>
      <c r="EO30" s="58" t="e">
        <f ca="1">AVERAGE(OFFSET($EN$3,0,0,'Données projet'!$E$15+1,1))-AVERAGE(OFFSET($H$3,0,0,'Données projet'!$E$15+1,1))</f>
        <v>#N/A</v>
      </c>
      <c r="EP30" s="58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58" t="e">
        <f t="shared" si="23"/>
        <v>#N/A</v>
      </c>
      <c r="FJ30" s="58" t="e">
        <f ca="1">AVERAGE(OFFSET($FI$3,0,0,'Données projet'!$E$16+1,1))-AVERAGE(OFFSET($H$3,0,0,'Données projet'!$E$16+1,1))</f>
        <v>#N/A</v>
      </c>
      <c r="FK30" s="58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58" t="e">
        <f t="shared" si="26"/>
        <v>#N/A</v>
      </c>
      <c r="GE30" s="58" t="e">
        <f ca="1">AVERAGE(OFFSET($GD$3,0,0,'Données projet'!$E$17+1,1))-AVERAGE(OFFSET($H$3,0,0,'Données projet'!$E$17+1,1))</f>
        <v>#N/A</v>
      </c>
      <c r="GF30" s="58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58" t="e">
        <f t="shared" si="29"/>
        <v>#N/A</v>
      </c>
      <c r="GZ30" s="58" t="e">
        <f ca="1">AVERAGE(OFFSET($GY$3,0,0,'Données projet'!$E$18+1,1))-AVERAGE(OFFSET($H$3,0,0,'Données projet'!$E$18+1,1))</f>
        <v>#N/A</v>
      </c>
      <c r="HA30" s="58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0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3">
        <f t="shared" si="1"/>
        <v>183.33333333333334</v>
      </c>
      <c r="I31" s="6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86.430240000000026</v>
      </c>
      <c r="P31" s="14">
        <f t="shared" si="33"/>
        <v>23.702267442352529</v>
      </c>
      <c r="Q31" s="22">
        <f t="shared" si="2"/>
        <v>191.81411712876402</v>
      </c>
      <c r="R31" s="58">
        <f t="shared" si="0"/>
        <v>426.54558655074811</v>
      </c>
      <c r="S31" s="58">
        <f ca="1">AVERAGE(OFFSET($R$3,0,0,'Données projet'!$E$9+1,1))-AVERAGE(OFFSET($H$3,0,0,'Données projet'!$E$9+1,1))</f>
        <v>527.70171871461309</v>
      </c>
      <c r="T31" s="58">
        <f t="shared" si="34"/>
        <v>281.06176764290592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8.8000000000000007</v>
      </c>
      <c r="AI31" s="14">
        <f>IF('Données projet'!$A$62&gt;35,AI30+AH31-AQ30,IF(A31&lt;'Données projet'!$A$62,$AF$205^A31,IF(A31='Données projet'!$A$62,'Données projet'!$B$62,AI30+AH31-AQ30)))</f>
        <v>164.4</v>
      </c>
      <c r="AJ31" s="14">
        <f>AI31*VLOOKUP('Données projet'!$B$10,Paramètres!$A$1:$I$89,3,0)*VLOOKUP('Données projet'!$B$10,Paramètres!$A$1:$I$89,5,0)</f>
        <v>107.71488000000001</v>
      </c>
      <c r="AK31" s="14">
        <f t="shared" si="35"/>
        <v>28.791936453559611</v>
      </c>
      <c r="AL31" s="22">
        <f t="shared" si="4"/>
        <v>237.74937198994965</v>
      </c>
      <c r="AM31" s="58">
        <f t="shared" si="5"/>
        <v>472.48084141193374</v>
      </c>
      <c r="AN31" s="58">
        <f ca="1">AVERAGE(OFFSET($AM$3,0,0,'Données projet'!$E$10+1,1))-AVERAGE(OFFSET($H$3,0,0,'Données projet'!$E$10+1,1))</f>
        <v>302.53318056366777</v>
      </c>
      <c r="AO31" s="58">
        <f t="shared" si="36"/>
        <v>318.32262615164541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150.5</v>
      </c>
      <c r="BE31" s="14">
        <f>BD31*VLOOKUP('Données projet'!$B$11,Paramètres!$A$1:$I$89,3,0)*VLOOKUP('Données projet'!$B$11,Paramètres!$A$1:$I$89,5,0)</f>
        <v>119.73779999999999</v>
      </c>
      <c r="BF31" s="14">
        <f t="shared" si="37"/>
        <v>31.61383766685427</v>
      </c>
      <c r="BG31" s="22">
        <f t="shared" si="7"/>
        <v>263.6041022697712</v>
      </c>
      <c r="BH31" s="58">
        <f t="shared" si="8"/>
        <v>498.33557169175526</v>
      </c>
      <c r="BI31" s="58">
        <f ca="1">AVERAGE(OFFSET($BH$3,0,0,'Données projet'!$E$11+1,1))-AVERAGE(OFFSET($H$3,0,0,'Données projet'!$E$11+1,1))</f>
        <v>336.25341821407534</v>
      </c>
      <c r="BJ31" s="58">
        <f t="shared" si="38"/>
        <v>360.3246221345039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</v>
      </c>
      <c r="BY31" s="13">
        <f>IF('Données projet'!$A$114&gt;35,BY30+BX31-CG30,IF(A31&lt;'Données projet'!$A$114,$BV$205^A31,IF(A31='Données projet'!$A$114,'Données projet'!$B$114,BY30+BX31-CG30)))</f>
        <v>100.99999999999999</v>
      </c>
      <c r="BZ31" s="14">
        <f>BY31*VLOOKUP('Données projet'!$B$12,Paramètres!$A$1:$I$89,3,0)*VLOOKUP('Données projet'!$B$12,Paramètres!$A$1:$I$89,5,0)</f>
        <v>81.93119999999999</v>
      </c>
      <c r="CA31" s="14">
        <f t="shared" si="39"/>
        <v>22.608715052719766</v>
      </c>
      <c r="CB31" s="22">
        <f t="shared" si="10"/>
        <v>182.07368538348692</v>
      </c>
      <c r="CC31" s="58">
        <f t="shared" si="11"/>
        <v>416.80515480547103</v>
      </c>
      <c r="CD31" s="58">
        <f ca="1">AVERAGE(OFFSET($CC$3,0,0,'Données projet'!$E$12+1,1))-AVERAGE(OFFSET($H$3,0,0,'Données projet'!$E$12+1,1))</f>
        <v>308.58270639204238</v>
      </c>
      <c r="CE31" s="58">
        <f t="shared" si="40"/>
        <v>258.90832875500325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7.5000000000000018</v>
      </c>
      <c r="CT31" s="13">
        <f>IF('Données projet'!$A$140&gt;35,CT30+CS31-DB30,IF(A31&lt;'Données projet'!$A$140,$CQ$205^A31,IF(A31='Données projet'!$A$140,'Données projet'!$B$140,CT30+CS31-DB30)))</f>
        <v>111.28205128205127</v>
      </c>
      <c r="CU31" s="18">
        <f>CT31*VLOOKUP('Données projet'!$B$13,Paramètres!$A$1:$I$89,3,0)*VLOOKUP('Données projet'!$B$13,Paramètres!$A$1:$I$89,5,0)</f>
        <v>105.896</v>
      </c>
      <c r="CV31" s="14">
        <f t="shared" si="41"/>
        <v>28.361920831910446</v>
      </c>
      <c r="CW31" s="22">
        <f t="shared" si="13"/>
        <v>233.83254544891068</v>
      </c>
      <c r="CX31" s="58">
        <f t="shared" si="14"/>
        <v>468.56401487089477</v>
      </c>
      <c r="CY31" s="58">
        <f ca="1">AVERAGE(OFFSET($CX$3,0,0,'Données projet'!$E$13+1,1))-AVERAGE(OFFSET($H$3,0,0,'Données projet'!$E$13+1,1))</f>
        <v>397.61813291201469</v>
      </c>
      <c r="CZ31" s="58">
        <f t="shared" si="42"/>
        <v>320.30651625485064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58" t="e">
        <f t="shared" si="17"/>
        <v>#N/A</v>
      </c>
      <c r="DT31" s="58" t="e">
        <f ca="1">AVERAGE(OFFSET($DS$3,0,0,'Données projet'!$E$14+1,1))-AVERAGE(OFFSET($H$3,0,0,'Données projet'!$E$14+1,1))</f>
        <v>#N/A</v>
      </c>
      <c r="DU31" s="58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58" t="e">
        <f t="shared" si="20"/>
        <v>#N/A</v>
      </c>
      <c r="EO31" s="58" t="e">
        <f ca="1">AVERAGE(OFFSET($EN$3,0,0,'Données projet'!$E$15+1,1))-AVERAGE(OFFSET($H$3,0,0,'Données projet'!$E$15+1,1))</f>
        <v>#N/A</v>
      </c>
      <c r="EP31" s="58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58" t="e">
        <f t="shared" si="23"/>
        <v>#N/A</v>
      </c>
      <c r="FJ31" s="58" t="e">
        <f ca="1">AVERAGE(OFFSET($FI$3,0,0,'Données projet'!$E$16+1,1))-AVERAGE(OFFSET($H$3,0,0,'Données projet'!$E$16+1,1))</f>
        <v>#N/A</v>
      </c>
      <c r="FK31" s="58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58" t="e">
        <f t="shared" si="26"/>
        <v>#N/A</v>
      </c>
      <c r="GE31" s="58" t="e">
        <f ca="1">AVERAGE(OFFSET($GD$3,0,0,'Données projet'!$E$17+1,1))-AVERAGE(OFFSET($H$3,0,0,'Données projet'!$E$17+1,1))</f>
        <v>#N/A</v>
      </c>
      <c r="GF31" s="58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58" t="e">
        <f t="shared" si="29"/>
        <v>#N/A</v>
      </c>
      <c r="GZ31" s="58" t="e">
        <f ca="1">AVERAGE(OFFSET($GY$3,0,0,'Données projet'!$E$18+1,1))-AVERAGE(OFFSET($H$3,0,0,'Données projet'!$E$18+1,1))</f>
        <v>#N/A</v>
      </c>
      <c r="HA31" s="58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0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3">
        <f t="shared" si="1"/>
        <v>183.33333333333334</v>
      </c>
      <c r="I32" s="6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94.180320000000037</v>
      </c>
      <c r="P32" s="14">
        <f t="shared" si="33"/>
        <v>25.570738079029208</v>
      </c>
      <c r="Q32" s="22">
        <f t="shared" si="2"/>
        <v>208.56642615430928</v>
      </c>
      <c r="R32" s="58">
        <f t="shared" si="0"/>
        <v>445.49432347708512</v>
      </c>
      <c r="S32" s="58">
        <f ca="1">AVERAGE(OFFSET($R$3,0,0,'Données projet'!$E$9+1,1))-AVERAGE(OFFSET($H$3,0,0,'Données projet'!$E$9+1,1))</f>
        <v>527.70171871461309</v>
      </c>
      <c r="T32" s="58">
        <f t="shared" si="34"/>
        <v>281.06176764290592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8.8000000000000007</v>
      </c>
      <c r="AI32" s="14">
        <f>IF('Données projet'!$A$62&gt;35,AI31+AH32-AQ31,IF(A32&lt;'Données projet'!$A$62,$AF$205^A32,IF(A32='Données projet'!$A$62,'Données projet'!$B$62,AI31+AH32-AQ31)))</f>
        <v>173.20000000000002</v>
      </c>
      <c r="AJ32" s="14">
        <f>AI32*VLOOKUP('Données projet'!$B$10,Paramètres!$A$1:$I$89,3,0)*VLOOKUP('Données projet'!$B$10,Paramètres!$A$1:$I$89,5,0)</f>
        <v>113.48064000000001</v>
      </c>
      <c r="AK32" s="14">
        <f t="shared" si="35"/>
        <v>30.149557782596045</v>
      </c>
      <c r="AL32" s="22">
        <f t="shared" si="4"/>
        <v>250.15592780468808</v>
      </c>
      <c r="AM32" s="58">
        <f t="shared" si="5"/>
        <v>487.08382512746391</v>
      </c>
      <c r="AN32" s="58">
        <f ca="1">AVERAGE(OFFSET($AM$3,0,0,'Données projet'!$E$10+1,1))-AVERAGE(OFFSET($H$3,0,0,'Données projet'!$E$10+1,1))</f>
        <v>302.53318056366777</v>
      </c>
      <c r="AO32" s="58">
        <f t="shared" si="36"/>
        <v>318.32262615164541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162.5</v>
      </c>
      <c r="BE32" s="14">
        <f>BD32*VLOOKUP('Données projet'!$B$11,Paramètres!$A$1:$I$89,3,0)*VLOOKUP('Données projet'!$B$11,Paramètres!$A$1:$I$89,5,0)</f>
        <v>129.285</v>
      </c>
      <c r="BF32" s="14">
        <f t="shared" si="37"/>
        <v>33.831090831224039</v>
      </c>
      <c r="BG32" s="22">
        <f t="shared" si="7"/>
        <v>284.09385819771518</v>
      </c>
      <c r="BH32" s="58">
        <f t="shared" si="8"/>
        <v>521.02175552049107</v>
      </c>
      <c r="BI32" s="58">
        <f ca="1">AVERAGE(OFFSET($BH$3,0,0,'Données projet'!$E$11+1,1))-AVERAGE(OFFSET($H$3,0,0,'Données projet'!$E$11+1,1))</f>
        <v>336.25341821407534</v>
      </c>
      <c r="BJ32" s="58">
        <f t="shared" si="38"/>
        <v>360.3246221345039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</v>
      </c>
      <c r="BY32" s="13">
        <f>IF('Données projet'!$A$114&gt;35,BY31+BX32-CG31,IF(A32&lt;'Données projet'!$A$114,$BV$205^A32,IF(A32='Données projet'!$A$114,'Données projet'!$B$114,BY31+BX32-CG31)))</f>
        <v>106.99999999999999</v>
      </c>
      <c r="BZ32" s="14">
        <f>BY32*VLOOKUP('Données projet'!$B$12,Paramètres!$A$1:$I$89,3,0)*VLOOKUP('Données projet'!$B$12,Paramètres!$A$1:$I$89,5,0)</f>
        <v>86.798399999999987</v>
      </c>
      <c r="CA32" s="14">
        <f t="shared" si="39"/>
        <v>23.79145596594833</v>
      </c>
      <c r="CB32" s="22">
        <f t="shared" si="10"/>
        <v>192.61066580735996</v>
      </c>
      <c r="CC32" s="58">
        <f t="shared" si="11"/>
        <v>429.5385631301358</v>
      </c>
      <c r="CD32" s="58">
        <f ca="1">AVERAGE(OFFSET($CC$3,0,0,'Données projet'!$E$12+1,1))-AVERAGE(OFFSET($H$3,0,0,'Données projet'!$E$12+1,1))</f>
        <v>308.58270639204238</v>
      </c>
      <c r="CE32" s="58">
        <f t="shared" si="40"/>
        <v>258.90832875500325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7.5000000000000018</v>
      </c>
      <c r="CT32" s="13">
        <f>IF('Données projet'!$A$140&gt;35,CT31+CS32-DB31,IF(A32&lt;'Données projet'!$A$140,$CQ$205^A32,IF(A32='Données projet'!$A$140,'Données projet'!$B$140,CT31+CS32-DB31)))</f>
        <v>118.78205128205127</v>
      </c>
      <c r="CU32" s="18">
        <f>CT32*VLOOKUP('Données projet'!$B$13,Paramètres!$A$1:$I$89,3,0)*VLOOKUP('Données projet'!$B$13,Paramètres!$A$1:$I$89,5,0)</f>
        <v>113.03299999999999</v>
      </c>
      <c r="CV32" s="14">
        <f t="shared" si="41"/>
        <v>30.044447887179736</v>
      </c>
      <c r="CW32" s="22">
        <f t="shared" si="13"/>
        <v>249.19322173683801</v>
      </c>
      <c r="CX32" s="58">
        <f t="shared" si="14"/>
        <v>486.12111905961387</v>
      </c>
      <c r="CY32" s="58">
        <f ca="1">AVERAGE(OFFSET($CX$3,0,0,'Données projet'!$E$13+1,1))-AVERAGE(OFFSET($H$3,0,0,'Données projet'!$E$13+1,1))</f>
        <v>397.61813291201469</v>
      </c>
      <c r="CZ32" s="58">
        <f t="shared" si="42"/>
        <v>320.30651625485064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58" t="e">
        <f t="shared" si="17"/>
        <v>#N/A</v>
      </c>
      <c r="DT32" s="58" t="e">
        <f ca="1">AVERAGE(OFFSET($DS$3,0,0,'Données projet'!$E$14+1,1))-AVERAGE(OFFSET($H$3,0,0,'Données projet'!$E$14+1,1))</f>
        <v>#N/A</v>
      </c>
      <c r="DU32" s="58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58" t="e">
        <f t="shared" si="20"/>
        <v>#N/A</v>
      </c>
      <c r="EO32" s="58" t="e">
        <f ca="1">AVERAGE(OFFSET($EN$3,0,0,'Données projet'!$E$15+1,1))-AVERAGE(OFFSET($H$3,0,0,'Données projet'!$E$15+1,1))</f>
        <v>#N/A</v>
      </c>
      <c r="EP32" s="58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58" t="e">
        <f t="shared" si="23"/>
        <v>#N/A</v>
      </c>
      <c r="FJ32" s="58" t="e">
        <f ca="1">AVERAGE(OFFSET($FI$3,0,0,'Données projet'!$E$16+1,1))-AVERAGE(OFFSET($H$3,0,0,'Données projet'!$E$16+1,1))</f>
        <v>#N/A</v>
      </c>
      <c r="FK32" s="58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58" t="e">
        <f t="shared" si="26"/>
        <v>#N/A</v>
      </c>
      <c r="GE32" s="58" t="e">
        <f ca="1">AVERAGE(OFFSET($GD$3,0,0,'Données projet'!$E$17+1,1))-AVERAGE(OFFSET($H$3,0,0,'Données projet'!$E$17+1,1))</f>
        <v>#N/A</v>
      </c>
      <c r="GF32" s="58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58" t="e">
        <f t="shared" si="29"/>
        <v>#N/A</v>
      </c>
      <c r="GZ32" s="58" t="e">
        <f ca="1">AVERAGE(OFFSET($GY$3,0,0,'Données projet'!$E$18+1,1))-AVERAGE(OFFSET($H$3,0,0,'Données projet'!$E$18+1,1))</f>
        <v>#N/A</v>
      </c>
      <c r="HA32" s="58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0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3">
        <f t="shared" si="1"/>
        <v>183.33333333333334</v>
      </c>
      <c r="I33" s="6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101.93040000000003</v>
      </c>
      <c r="P33" s="14">
        <f t="shared" si="33"/>
        <v>27.421375718582158</v>
      </c>
      <c r="Q33" s="22">
        <f t="shared" si="2"/>
        <v>225.28767604319731</v>
      </c>
      <c r="R33" s="58">
        <f t="shared" si="0"/>
        <v>464.39510097623929</v>
      </c>
      <c r="S33" s="58">
        <f ca="1">AVERAGE(OFFSET($R$3,0,0,'Données projet'!$E$9+1,1))-AVERAGE(OFFSET($H$3,0,0,'Données projet'!$E$9+1,1))</f>
        <v>527.70171871461309</v>
      </c>
      <c r="T33" s="58">
        <f t="shared" si="34"/>
        <v>281.06176764290592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182</v>
      </c>
      <c r="AG33" s="13">
        <f>VLOOKUP(A33,'Données projet'!$A$61:$I$81,9,0)</f>
        <v>8.8000000000000007</v>
      </c>
      <c r="AH33" s="13">
        <f t="array" ref="AH33">INDEX(AG:AG,MIN(IF(ISNUMBER(AG33:AG229),ROW(AG33:AG229),"")))</f>
        <v>8.8000000000000007</v>
      </c>
      <c r="AI33" s="14">
        <f>IF('Données projet'!$A$62&gt;35,AI32+AH33-AQ32,IF(A33&lt;'Données projet'!$A$62,$AF$205^A33,IF(A33='Données projet'!$A$62,'Données projet'!$B$62,AI32+AH33-AQ32)))</f>
        <v>182.00000000000003</v>
      </c>
      <c r="AJ33" s="14">
        <f>AI33*VLOOKUP('Données projet'!$B$10,Paramètres!$A$1:$I$89,3,0)*VLOOKUP('Données projet'!$B$10,Paramètres!$A$1:$I$89,5,0)</f>
        <v>119.24640000000002</v>
      </c>
      <c r="AK33" s="14">
        <f t="shared" si="35"/>
        <v>31.499170077667042</v>
      </c>
      <c r="AL33" s="22">
        <f t="shared" si="4"/>
        <v>262.54853455193677</v>
      </c>
      <c r="AM33" s="58">
        <f t="shared" si="5"/>
        <v>501.65595948497878</v>
      </c>
      <c r="AN33" s="58">
        <f ca="1">AVERAGE(OFFSET($AM$3,0,0,'Données projet'!$E$10+1,1))-AVERAGE(OFFSET($H$3,0,0,'Données projet'!$E$10+1,1))</f>
        <v>302.53318056366777</v>
      </c>
      <c r="AO33" s="58">
        <f t="shared" si="36"/>
        <v>318.32262615164541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44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8.6000000000000007E-2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2.7299756208139598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2.7299756208139598</v>
      </c>
      <c r="AY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174.5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174.5</v>
      </c>
      <c r="BE33" s="14">
        <f>BD33*VLOOKUP('Données projet'!$B$11,Paramètres!$A$1:$I$89,3,0)*VLOOKUP('Données projet'!$B$11,Paramètres!$A$1:$I$89,5,0)</f>
        <v>138.8322</v>
      </c>
      <c r="BF33" s="14">
        <f t="shared" si="37"/>
        <v>36.029348632418326</v>
      </c>
      <c r="BG33" s="22">
        <f t="shared" si="7"/>
        <v>304.55053053479526</v>
      </c>
      <c r="BH33" s="58">
        <f t="shared" si="8"/>
        <v>543.65795546783727</v>
      </c>
      <c r="BI33" s="58">
        <f ca="1">AVERAGE(OFFSET($BH$3,0,0,'Données projet'!$E$11+1,1))-AVERAGE(OFFSET($H$3,0,0,'Données projet'!$E$11+1,1))</f>
        <v>336.25341821407534</v>
      </c>
      <c r="BJ33" s="58">
        <f t="shared" si="38"/>
        <v>360.3246221345039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0.10600000000000001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5.2002284024384311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5.2002284024384311</v>
      </c>
      <c r="BT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113</v>
      </c>
      <c r="BW33" s="13">
        <f>VLOOKUP(A33,'Données projet'!$A$113:$I$133,9,0)</f>
        <v>6</v>
      </c>
      <c r="BX33" s="13">
        <f t="array" ref="BX33">INDEX(BW:BW,MIN(IF(ISNUMBER(BW33:BW229),ROW(BW33:BW229),"")))</f>
        <v>6</v>
      </c>
      <c r="BY33" s="13">
        <f>IF('Données projet'!$A$114&gt;35,BY32+BX33-CG32,IF(A33&lt;'Données projet'!$A$114,$BV$205^A33,IF(A33='Données projet'!$A$114,'Données projet'!$B$114,BY32+BX33-CG32)))</f>
        <v>112.99999999999999</v>
      </c>
      <c r="BZ33" s="14">
        <f>BY33*VLOOKUP('Données projet'!$B$12,Paramètres!$A$1:$I$89,3,0)*VLOOKUP('Données projet'!$B$12,Paramètres!$A$1:$I$89,5,0)</f>
        <v>91.665599999999998</v>
      </c>
      <c r="CA33" s="14">
        <f t="shared" si="39"/>
        <v>24.966497888207439</v>
      </c>
      <c r="CB33" s="22">
        <f t="shared" si="10"/>
        <v>203.13423715529461</v>
      </c>
      <c r="CC33" s="58">
        <f t="shared" si="11"/>
        <v>442.24166208833662</v>
      </c>
      <c r="CD33" s="58">
        <f ca="1">AVERAGE(OFFSET($CC$3,0,0,'Données projet'!$E$12+1,1))-AVERAGE(OFFSET($H$3,0,0,'Données projet'!$E$12+1,1))</f>
        <v>308.58270639204238</v>
      </c>
      <c r="CE33" s="58">
        <f t="shared" si="40"/>
        <v>258.90832875500325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126.28205128205128</v>
      </c>
      <c r="CR33" s="13">
        <f>VLOOKUP(A33,'Données projet'!$A$139:$I$159,9,0)</f>
        <v>7.5000000000000018</v>
      </c>
      <c r="CS33" s="13">
        <f t="array" ref="CS33">INDEX(CR:CR,MIN(IF(ISNUMBER(CR33:CR229),ROW(CR33:CR229),"")))</f>
        <v>7.5000000000000018</v>
      </c>
      <c r="CT33" s="13">
        <f>IF('Données projet'!$A$140&gt;35,CT32+CS33-DB32,IF(A33&lt;'Données projet'!$A$140,$CQ$205^A33,IF(A33='Données projet'!$A$140,'Données projet'!$B$140,CT32+CS33-DB32)))</f>
        <v>126.28205128205127</v>
      </c>
      <c r="CU33" s="18">
        <f>CT33*VLOOKUP('Données projet'!$B$13,Paramètres!$A$1:$I$89,3,0)*VLOOKUP('Données projet'!$B$13,Paramètres!$A$1:$I$89,5,0)</f>
        <v>120.16999999999999</v>
      </c>
      <c r="CV33" s="14">
        <f t="shared" si="41"/>
        <v>31.71464573500981</v>
      </c>
      <c r="CW33" s="22">
        <f t="shared" si="13"/>
        <v>264.53242465514205</v>
      </c>
      <c r="CX33" s="58">
        <f t="shared" si="14"/>
        <v>503.63984958818401</v>
      </c>
      <c r="CY33" s="58">
        <f ca="1">AVERAGE(OFFSET($CX$3,0,0,'Données projet'!$E$13+1,1))-AVERAGE(OFFSET($H$3,0,0,'Données projet'!$E$13+1,1))</f>
        <v>397.61813291201469</v>
      </c>
      <c r="CZ33" s="58">
        <f t="shared" si="42"/>
        <v>320.30651625485064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35.256410256410255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8.6000000000000007E-2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3.1770549616462826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3.1770549616462826</v>
      </c>
      <c r="DJ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58" t="e">
        <f t="shared" si="17"/>
        <v>#N/A</v>
      </c>
      <c r="DT33" s="58" t="e">
        <f ca="1">AVERAGE(OFFSET($DS$3,0,0,'Données projet'!$E$14+1,1))-AVERAGE(OFFSET($H$3,0,0,'Données projet'!$E$14+1,1))</f>
        <v>#N/A</v>
      </c>
      <c r="DU33" s="58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58" t="e">
        <f t="shared" si="20"/>
        <v>#N/A</v>
      </c>
      <c r="EO33" s="58" t="e">
        <f ca="1">AVERAGE(OFFSET($EN$3,0,0,'Données projet'!$E$15+1,1))-AVERAGE(OFFSET($H$3,0,0,'Données projet'!$E$15+1,1))</f>
        <v>#N/A</v>
      </c>
      <c r="EP33" s="58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58" t="e">
        <f t="shared" si="23"/>
        <v>#N/A</v>
      </c>
      <c r="FJ33" s="58" t="e">
        <f ca="1">AVERAGE(OFFSET($FI$3,0,0,'Données projet'!$E$16+1,1))-AVERAGE(OFFSET($H$3,0,0,'Données projet'!$E$16+1,1))</f>
        <v>#N/A</v>
      </c>
      <c r="FK33" s="58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58" t="e">
        <f t="shared" si="26"/>
        <v>#N/A</v>
      </c>
      <c r="GE33" s="58" t="e">
        <f ca="1">AVERAGE(OFFSET($GD$3,0,0,'Données projet'!$E$17+1,1))-AVERAGE(OFFSET($H$3,0,0,'Données projet'!$E$17+1,1))</f>
        <v>#N/A</v>
      </c>
      <c r="GF33" s="58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58" t="e">
        <f t="shared" si="29"/>
        <v>#N/A</v>
      </c>
      <c r="GZ33" s="58" t="e">
        <f ca="1">AVERAGE(OFFSET($GY$3,0,0,'Données projet'!$E$18+1,1))-AVERAGE(OFFSET($H$3,0,0,'Données projet'!$E$18+1,1))</f>
        <v>#N/A</v>
      </c>
      <c r="HA33" s="58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0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3">
        <f t="shared" si="1"/>
        <v>183.33333333333334</v>
      </c>
      <c r="I34" s="6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111.02832000000005</v>
      </c>
      <c r="P34" s="14">
        <f t="shared" si="33"/>
        <v>29.573133422929669</v>
      </c>
      <c r="Q34" s="22">
        <f t="shared" si="2"/>
        <v>244.88086471160261</v>
      </c>
      <c r="R34" s="58">
        <f t="shared" si="0"/>
        <v>484.9289879244202</v>
      </c>
      <c r="S34" s="58">
        <f ca="1">AVERAGE(OFFSET($R$3,0,0,'Données projet'!$E$9+1,1))-AVERAGE(OFFSET($H$3,0,0,'Données projet'!$E$9+1,1))</f>
        <v>527.70171871461309</v>
      </c>
      <c r="T34" s="58">
        <f t="shared" si="34"/>
        <v>281.06176764290592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8.6</v>
      </c>
      <c r="AI34" s="14">
        <f>IF('Données projet'!$A$62&gt;35,AI33+AH34-AQ33,IF(A34&lt;'Données projet'!$A$62,$AF$205^A34,IF(A34='Données projet'!$A$62,'Données projet'!$B$62,AI33+AH34-AQ33)))</f>
        <v>146.60000000000002</v>
      </c>
      <c r="AJ34" s="14">
        <f>AI34*VLOOKUP('Données projet'!$B$10,Paramètres!$A$1:$I$89,3,0)*VLOOKUP('Données projet'!$B$10,Paramètres!$A$1:$I$89,5,0)</f>
        <v>96.052320000000023</v>
      </c>
      <c r="AK34" s="14">
        <f t="shared" si="35"/>
        <v>26.019324001860248</v>
      </c>
      <c r="AL34" s="22">
        <f t="shared" si="4"/>
        <v>212.60811330323997</v>
      </c>
      <c r="AM34" s="58">
        <f t="shared" si="5"/>
        <v>452.65623651605756</v>
      </c>
      <c r="AN34" s="58">
        <f ca="1">AVERAGE(OFFSET($AM$3,0,0,'Données projet'!$E$10+1,1))-AVERAGE(OFFSET($H$3,0,0,'Données projet'!$E$10+1,1))</f>
        <v>302.53318056366777</v>
      </c>
      <c r="AO34" s="58">
        <f t="shared" si="36"/>
        <v>318.32262615164541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2.6553242938996235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2.6553242938996235</v>
      </c>
      <c r="AY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10.780000000000001</v>
      </c>
      <c r="BD34" s="13">
        <f>IF('Données projet'!$A$88&gt;35,BD33+BC34-BL33,IF(A34&lt;'Données projet'!$A$88,$BA$205^A34,IF(A34='Données projet'!$A$88,'Données projet'!$B$88,BD33+BC34-BL33)))</f>
        <v>129.28</v>
      </c>
      <c r="BE34" s="14">
        <f>BD34*VLOOKUP('Données projet'!$B$11,Paramètres!$A$1:$I$89,3,0)*VLOOKUP('Données projet'!$B$11,Paramètres!$A$1:$I$89,5,0)</f>
        <v>102.85516800000001</v>
      </c>
      <c r="BF34" s="14">
        <f t="shared" si="37"/>
        <v>27.641083482825984</v>
      </c>
      <c r="BG34" s="22">
        <f t="shared" si="7"/>
        <v>227.28097133258856</v>
      </c>
      <c r="BH34" s="58">
        <f t="shared" si="8"/>
        <v>467.32909454540612</v>
      </c>
      <c r="BI34" s="58">
        <f ca="1">AVERAGE(OFFSET($BH$3,0,0,'Données projet'!$E$11+1,1))-AVERAGE(OFFSET($H$3,0,0,'Données projet'!$E$11+1,1))</f>
        <v>336.25341821407534</v>
      </c>
      <c r="BJ34" s="58">
        <f t="shared" si="38"/>
        <v>360.3246221345039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5.058027883305626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5.058027883305626</v>
      </c>
      <c r="BT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5.8</v>
      </c>
      <c r="BY34" s="13">
        <f>IF('Données projet'!$A$114&gt;35,BY33+BX34-CG33,IF(A34&lt;'Données projet'!$A$114,$BV$205^A34,IF(A34='Données projet'!$A$114,'Données projet'!$B$114,BY33+BX34-CG33)))</f>
        <v>97.799999999999983</v>
      </c>
      <c r="BZ34" s="14">
        <f>BY34*VLOOKUP('Données projet'!$B$12,Paramètres!$A$1:$I$89,3,0)*VLOOKUP('Données projet'!$B$12,Paramètres!$A$1:$I$89,5,0)</f>
        <v>79.335359999999994</v>
      </c>
      <c r="CA34" s="14">
        <f t="shared" si="39"/>
        <v>21.974597372641874</v>
      </c>
      <c r="CB34" s="22">
        <f t="shared" si="10"/>
        <v>176.44817575735124</v>
      </c>
      <c r="CC34" s="58">
        <f t="shared" si="11"/>
        <v>416.49629897016882</v>
      </c>
      <c r="CD34" s="58">
        <f ca="1">AVERAGE(OFFSET($CC$3,0,0,'Données projet'!$E$12+1,1))-AVERAGE(OFFSET($H$3,0,0,'Données projet'!$E$12+1,1))</f>
        <v>308.58270639204238</v>
      </c>
      <c r="CE34" s="58">
        <f t="shared" si="40"/>
        <v>258.90832875500325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6.4102564102564088</v>
      </c>
      <c r="CT34" s="13">
        <f>IF('Données projet'!$A$140&gt;35,CT33+CS34-DB33,IF(A34&lt;'Données projet'!$A$140,$CQ$205^A34,IF(A34='Données projet'!$A$140,'Données projet'!$B$140,CT33+CS34-DB33)))</f>
        <v>97.435897435897431</v>
      </c>
      <c r="CU34" s="18">
        <f>CT34*VLOOKUP('Données projet'!$B$13,Paramètres!$A$1:$I$89,3,0)*VLOOKUP('Données projet'!$B$13,Paramètres!$A$1:$I$89,5,0)</f>
        <v>92.72</v>
      </c>
      <c r="CV34" s="14">
        <f t="shared" si="41"/>
        <v>25.22008241222111</v>
      </c>
      <c r="CW34" s="22">
        <f t="shared" si="13"/>
        <v>205.41231020128509</v>
      </c>
      <c r="CX34" s="58">
        <f t="shared" si="14"/>
        <v>445.46043341410268</v>
      </c>
      <c r="CY34" s="58">
        <f ca="1">AVERAGE(OFFSET($CX$3,0,0,'Données projet'!$E$13+1,1))-AVERAGE(OFFSET($H$3,0,0,'Données projet'!$E$13+1,1))</f>
        <v>397.61813291201469</v>
      </c>
      <c r="CZ34" s="58">
        <f t="shared" si="42"/>
        <v>320.30651625485064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3.0901782266460058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3.0901782266460058</v>
      </c>
      <c r="DJ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58" t="e">
        <f t="shared" si="17"/>
        <v>#N/A</v>
      </c>
      <c r="DT34" s="58" t="e">
        <f ca="1">AVERAGE(OFFSET($DS$3,0,0,'Données projet'!$E$14+1,1))-AVERAGE(OFFSET($H$3,0,0,'Données projet'!$E$14+1,1))</f>
        <v>#N/A</v>
      </c>
      <c r="DU34" s="58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58" t="e">
        <f t="shared" si="20"/>
        <v>#N/A</v>
      </c>
      <c r="EO34" s="58" t="e">
        <f ca="1">AVERAGE(OFFSET($EN$3,0,0,'Données projet'!$E$15+1,1))-AVERAGE(OFFSET($H$3,0,0,'Données projet'!$E$15+1,1))</f>
        <v>#N/A</v>
      </c>
      <c r="EP34" s="58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58" t="e">
        <f t="shared" si="23"/>
        <v>#N/A</v>
      </c>
      <c r="FJ34" s="58" t="e">
        <f ca="1">AVERAGE(OFFSET($FI$3,0,0,'Données projet'!$E$16+1,1))-AVERAGE(OFFSET($H$3,0,0,'Données projet'!$E$16+1,1))</f>
        <v>#N/A</v>
      </c>
      <c r="FK34" s="58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58" t="e">
        <f t="shared" si="26"/>
        <v>#N/A</v>
      </c>
      <c r="GE34" s="58" t="e">
        <f ca="1">AVERAGE(OFFSET($GD$3,0,0,'Données projet'!$E$17+1,1))-AVERAGE(OFFSET($H$3,0,0,'Données projet'!$E$17+1,1))</f>
        <v>#N/A</v>
      </c>
      <c r="GF34" s="58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58" t="e">
        <f t="shared" si="29"/>
        <v>#N/A</v>
      </c>
      <c r="GZ34" s="58" t="e">
        <f ca="1">AVERAGE(OFFSET($GY$3,0,0,'Données projet'!$E$18+1,1))-AVERAGE(OFFSET($H$3,0,0,'Données projet'!$E$18+1,1))</f>
        <v>#N/A</v>
      </c>
      <c r="HA34" s="58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0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3">
        <f t="shared" si="1"/>
        <v>183.33333333333334</v>
      </c>
      <c r="I35" s="6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120.12624000000005</v>
      </c>
      <c r="P35" s="14">
        <f t="shared" si="33"/>
        <v>31.704440899018444</v>
      </c>
      <c r="Q35" s="22">
        <f t="shared" ref="Q35:Q66" si="53">(O35+P35)*0.475*44/12</f>
        <v>264.43843589912387</v>
      </c>
      <c r="R35" s="58">
        <f t="shared" si="0"/>
        <v>505.41093837964922</v>
      </c>
      <c r="S35" s="58">
        <f ca="1">AVERAGE(OFFSET($R$3,0,0,'Données projet'!$E$9+1,1))-AVERAGE(OFFSET($H$3,0,0,'Données projet'!$E$9+1,1))</f>
        <v>527.70171871461309</v>
      </c>
      <c r="T35" s="58">
        <f t="shared" si="34"/>
        <v>281.06176764290592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8.6</v>
      </c>
      <c r="AI35" s="14">
        <f>IF('Données projet'!$A$62&gt;35,AI34+AH35-AQ34,IF(A35&lt;'Données projet'!$A$62,$AF$205^A35,IF(A35='Données projet'!$A$62,'Données projet'!$B$62,AI34+AH35-AQ34)))</f>
        <v>155.20000000000002</v>
      </c>
      <c r="AJ35" s="14">
        <f>AI35*VLOOKUP('Données projet'!$B$10,Paramètres!$A$1:$I$89,3,0)*VLOOKUP('Données projet'!$B$10,Paramètres!$A$1:$I$89,5,0)</f>
        <v>101.68704000000002</v>
      </c>
      <c r="AK35" s="14">
        <f t="shared" si="35"/>
        <v>27.363519398004541</v>
      </c>
      <c r="AL35" s="22">
        <f t="shared" si="4"/>
        <v>224.76305761819128</v>
      </c>
      <c r="AM35" s="58">
        <f t="shared" si="5"/>
        <v>465.73556009871663</v>
      </c>
      <c r="AN35" s="58">
        <f ca="1">AVERAGE(OFFSET($AM$3,0,0,'Données projet'!$E$10+1,1))-AVERAGE(OFFSET($H$3,0,0,'Données projet'!$E$10+1,1))</f>
        <v>302.53318056366777</v>
      </c>
      <c r="AO35" s="58">
        <f t="shared" si="36"/>
        <v>318.32262615164541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2.5827143114455025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2.5827143114455025</v>
      </c>
      <c r="AY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10.780000000000001</v>
      </c>
      <c r="BD35" s="13">
        <f>IF('Données projet'!$A$88&gt;35,BD34+BC35-BL34,IF(A35&lt;'Données projet'!$A$88,$BA$205^A35,IF(A35='Données projet'!$A$88,'Données projet'!$B$88,BD34+BC35-BL34)))</f>
        <v>140.06</v>
      </c>
      <c r="BE35" s="14">
        <f>BD35*VLOOKUP('Données projet'!$B$11,Paramètres!$A$1:$I$89,3,0)*VLOOKUP('Données projet'!$B$11,Paramètres!$A$1:$I$89,5,0)</f>
        <v>111.431736</v>
      </c>
      <c r="BF35" s="14">
        <f t="shared" si="37"/>
        <v>29.668058438201339</v>
      </c>
      <c r="BG35" s="22">
        <f t="shared" si="7"/>
        <v>245.74880864653403</v>
      </c>
      <c r="BH35" s="58">
        <f t="shared" si="8"/>
        <v>486.72131112705938</v>
      </c>
      <c r="BI35" s="58">
        <f ca="1">AVERAGE(OFFSET($BH$3,0,0,'Données projet'!$E$11+1,1))-AVERAGE(OFFSET($H$3,0,0,'Données projet'!$E$11+1,1))</f>
        <v>336.25341821407534</v>
      </c>
      <c r="BJ35" s="58">
        <f t="shared" si="38"/>
        <v>360.3246221345039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4.9197158448465075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4.9197158448465075</v>
      </c>
      <c r="BT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5.8</v>
      </c>
      <c r="BY35" s="13">
        <f>IF('Données projet'!$A$114&gt;35,BY34+BX35-CG34,IF(A35&lt;'Données projet'!$A$114,$BV$205^A35,IF(A35='Données projet'!$A$114,'Données projet'!$B$114,BY34+BX35-CG34)))</f>
        <v>103.59999999999998</v>
      </c>
      <c r="BZ35" s="14">
        <f>BY35*VLOOKUP('Données projet'!$B$12,Paramètres!$A$1:$I$89,3,0)*VLOOKUP('Données projet'!$B$12,Paramètres!$A$1:$I$89,5,0)</f>
        <v>84.040319999999994</v>
      </c>
      <c r="CA35" s="14">
        <f t="shared" si="39"/>
        <v>23.122212826195224</v>
      </c>
      <c r="CB35" s="22">
        <f t="shared" si="10"/>
        <v>186.64141133895666</v>
      </c>
      <c r="CC35" s="58">
        <f t="shared" si="11"/>
        <v>427.61391381948198</v>
      </c>
      <c r="CD35" s="58">
        <f ca="1">AVERAGE(OFFSET($CC$3,0,0,'Données projet'!$E$12+1,1))-AVERAGE(OFFSET($H$3,0,0,'Données projet'!$E$12+1,1))</f>
        <v>308.58270639204238</v>
      </c>
      <c r="CE35" s="58">
        <f t="shared" si="40"/>
        <v>258.90832875500325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6.4102564102564088</v>
      </c>
      <c r="CT35" s="13">
        <f>IF('Données projet'!$A$140&gt;35,CT34+CS35-DB34,IF(A35&lt;'Données projet'!$A$140,$CQ$205^A35,IF(A35='Données projet'!$A$140,'Données projet'!$B$140,CT34+CS35-DB34)))</f>
        <v>103.84615384615384</v>
      </c>
      <c r="CU35" s="18">
        <f>CT35*VLOOKUP('Données projet'!$B$13,Paramètres!$A$1:$I$89,3,0)*VLOOKUP('Données projet'!$B$13,Paramètres!$A$1:$I$89,5,0)</f>
        <v>98.82</v>
      </c>
      <c r="CV35" s="14">
        <f t="shared" si="41"/>
        <v>26.680684905958366</v>
      </c>
      <c r="CW35" s="22">
        <f t="shared" si="13"/>
        <v>218.58035954454417</v>
      </c>
      <c r="CX35" s="58">
        <f t="shared" si="14"/>
        <v>459.55286202506949</v>
      </c>
      <c r="CY35" s="58">
        <f ca="1">AVERAGE(OFFSET($CX$3,0,0,'Données projet'!$E$13+1,1))-AVERAGE(OFFSET($H$3,0,0,'Données projet'!$E$13+1,1))</f>
        <v>397.61813291201469</v>
      </c>
      <c r="CZ35" s="58">
        <f t="shared" si="42"/>
        <v>320.30651625485064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3.0056771405329608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3.0056771405329608</v>
      </c>
      <c r="DJ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58" t="e">
        <f t="shared" si="17"/>
        <v>#N/A</v>
      </c>
      <c r="DT35" s="58" t="e">
        <f ca="1">AVERAGE(OFFSET($DS$3,0,0,'Données projet'!$E$14+1,1))-AVERAGE(OFFSET($H$3,0,0,'Données projet'!$E$14+1,1))</f>
        <v>#N/A</v>
      </c>
      <c r="DU35" s="58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58" t="e">
        <f t="shared" si="20"/>
        <v>#N/A</v>
      </c>
      <c r="EO35" s="58" t="e">
        <f ca="1">AVERAGE(OFFSET($EN$3,0,0,'Données projet'!$E$15+1,1))-AVERAGE(OFFSET($H$3,0,0,'Données projet'!$E$15+1,1))</f>
        <v>#N/A</v>
      </c>
      <c r="EP35" s="58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58" t="e">
        <f t="shared" si="23"/>
        <v>#N/A</v>
      </c>
      <c r="FJ35" s="58" t="e">
        <f ca="1">AVERAGE(OFFSET($FI$3,0,0,'Données projet'!$E$16+1,1))-AVERAGE(OFFSET($H$3,0,0,'Données projet'!$E$16+1,1))</f>
        <v>#N/A</v>
      </c>
      <c r="FK35" s="58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58" t="e">
        <f t="shared" si="26"/>
        <v>#N/A</v>
      </c>
      <c r="GE35" s="58" t="e">
        <f ca="1">AVERAGE(OFFSET($GD$3,0,0,'Données projet'!$E$17+1,1))-AVERAGE(OFFSET($H$3,0,0,'Données projet'!$E$17+1,1))</f>
        <v>#N/A</v>
      </c>
      <c r="GF35" s="58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58" t="e">
        <f t="shared" si="29"/>
        <v>#N/A</v>
      </c>
      <c r="GZ35" s="58" t="e">
        <f ca="1">AVERAGE(OFFSET($GY$3,0,0,'Données projet'!$E$18+1,1))-AVERAGE(OFFSET($H$3,0,0,'Données projet'!$E$18+1,1))</f>
        <v>#N/A</v>
      </c>
      <c r="HA35" s="58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0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3">
        <f t="shared" si="1"/>
        <v>183.33333333333334</v>
      </c>
      <c r="I36" s="6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129.22416000000007</v>
      </c>
      <c r="P36" s="14">
        <f t="shared" si="33"/>
        <v>33.81702308029579</v>
      </c>
      <c r="Q36" s="22">
        <f t="shared" si="53"/>
        <v>283.96339386484857</v>
      </c>
      <c r="R36" s="58">
        <f t="shared" si="0"/>
        <v>525.84423969938928</v>
      </c>
      <c r="S36" s="58">
        <f ca="1">AVERAGE(OFFSET($R$3,0,0,'Données projet'!$E$9+1,1))-AVERAGE(OFFSET($H$3,0,0,'Données projet'!$E$9+1,1))</f>
        <v>527.70171871461309</v>
      </c>
      <c r="T36" s="58">
        <f t="shared" si="34"/>
        <v>281.06176764290592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8.6</v>
      </c>
      <c r="AI36" s="14">
        <f>IF('Données projet'!$A$62&gt;35,AI35+AH36-AQ35,IF(A36&lt;'Données projet'!$A$62,$AF$205^A36,IF(A36='Données projet'!$A$62,'Données projet'!$B$62,AI35+AH36-AQ35)))</f>
        <v>163.80000000000001</v>
      </c>
      <c r="AJ36" s="14">
        <f>AI36*VLOOKUP('Données projet'!$B$10,Paramètres!$A$1:$I$89,3,0)*VLOOKUP('Données projet'!$B$10,Paramètres!$A$1:$I$89,5,0)</f>
        <v>107.32176000000001</v>
      </c>
      <c r="AK36" s="14">
        <f t="shared" si="35"/>
        <v>28.699067963776873</v>
      </c>
      <c r="AL36" s="22">
        <f t="shared" si="4"/>
        <v>236.90294203691141</v>
      </c>
      <c r="AM36" s="58">
        <f t="shared" si="5"/>
        <v>478.78378787145215</v>
      </c>
      <c r="AN36" s="58">
        <f ca="1">AVERAGE(OFFSET($AM$3,0,0,'Données projet'!$E$10+1,1))-AVERAGE(OFFSET($H$3,0,0,'Données projet'!$E$10+1,1))</f>
        <v>302.53318056366777</v>
      </c>
      <c r="AO36" s="58">
        <f t="shared" si="36"/>
        <v>318.32262615164541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2.5120898527799822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2.5120898527799822</v>
      </c>
      <c r="AY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10.780000000000001</v>
      </c>
      <c r="BD36" s="13">
        <f>IF('Données projet'!$A$88&gt;35,BD35+BC36-BL35,IF(A36&lt;'Données projet'!$A$88,$BA$205^A36,IF(A36='Données projet'!$A$88,'Données projet'!$B$88,BD35+BC36-BL35)))</f>
        <v>150.84</v>
      </c>
      <c r="BE36" s="14">
        <f>BD36*VLOOKUP('Données projet'!$B$11,Paramètres!$A$1:$I$89,3,0)*VLOOKUP('Données projet'!$B$11,Paramètres!$A$1:$I$89,5,0)</f>
        <v>120.008304</v>
      </c>
      <c r="BF36" s="14">
        <f t="shared" si="37"/>
        <v>31.676936057955846</v>
      </c>
      <c r="BG36" s="22">
        <f t="shared" si="7"/>
        <v>264.18512643427306</v>
      </c>
      <c r="BH36" s="58">
        <f t="shared" si="8"/>
        <v>506.06597226881377</v>
      </c>
      <c r="BI36" s="58">
        <f ca="1">AVERAGE(OFFSET($BH$3,0,0,'Données projet'!$E$11+1,1))-AVERAGE(OFFSET($H$3,0,0,'Données projet'!$E$11+1,1))</f>
        <v>336.25341821407534</v>
      </c>
      <c r="BJ36" s="58">
        <f t="shared" si="38"/>
        <v>360.3246221345039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4.785185956352568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4.785185956352568</v>
      </c>
      <c r="BT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5.8</v>
      </c>
      <c r="BY36" s="13">
        <f>IF('Données projet'!$A$114&gt;35,BY35+BX36-CG35,IF(A36&lt;'Données projet'!$A$114,$BV$205^A36,IF(A36='Données projet'!$A$114,'Données projet'!$B$114,BY35+BX36-CG35)))</f>
        <v>109.39999999999998</v>
      </c>
      <c r="BZ36" s="14">
        <f>BY36*VLOOKUP('Données projet'!$B$12,Paramètres!$A$1:$I$89,3,0)*VLOOKUP('Données projet'!$B$12,Paramètres!$A$1:$I$89,5,0)</f>
        <v>88.745279999999994</v>
      </c>
      <c r="CA36" s="14">
        <f t="shared" si="39"/>
        <v>24.262369928218718</v>
      </c>
      <c r="CB36" s="22">
        <f t="shared" si="10"/>
        <v>196.82165695831426</v>
      </c>
      <c r="CC36" s="58">
        <f t="shared" si="11"/>
        <v>438.702502792855</v>
      </c>
      <c r="CD36" s="58">
        <f ca="1">AVERAGE(OFFSET($CC$3,0,0,'Données projet'!$E$12+1,1))-AVERAGE(OFFSET($H$3,0,0,'Données projet'!$E$12+1,1))</f>
        <v>308.58270639204238</v>
      </c>
      <c r="CE36" s="58">
        <f t="shared" si="40"/>
        <v>258.90832875500325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6.4102564102564088</v>
      </c>
      <c r="CT36" s="13">
        <f>IF('Données projet'!$A$140&gt;35,CT35+CS36-DB35,IF(A36&lt;'Données projet'!$A$140,$CQ$205^A36,IF(A36='Données projet'!$A$140,'Données projet'!$B$140,CT35+CS36-DB35)))</f>
        <v>110.25641025641025</v>
      </c>
      <c r="CU36" s="18">
        <f>CT36*VLOOKUP('Données projet'!$B$13,Paramètres!$A$1:$I$89,3,0)*VLOOKUP('Données projet'!$B$13,Paramètres!$A$1:$I$89,5,0)</f>
        <v>104.91999999999999</v>
      </c>
      <c r="CV36" s="14">
        <f t="shared" si="41"/>
        <v>28.130823299932707</v>
      </c>
      <c r="CW36" s="22">
        <f t="shared" si="13"/>
        <v>231.73018391404943</v>
      </c>
      <c r="CX36" s="58">
        <f t="shared" si="14"/>
        <v>473.61102974859017</v>
      </c>
      <c r="CY36" s="58">
        <f ca="1">AVERAGE(OFFSET($CX$3,0,0,'Données projet'!$E$13+1,1))-AVERAGE(OFFSET($H$3,0,0,'Données projet'!$E$13+1,1))</f>
        <v>397.61813291201469</v>
      </c>
      <c r="CZ36" s="58">
        <f t="shared" si="42"/>
        <v>320.30651625485064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2.9234867410633956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2.9234867410633956</v>
      </c>
      <c r="DJ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58" t="e">
        <f t="shared" si="17"/>
        <v>#N/A</v>
      </c>
      <c r="DT36" s="58" t="e">
        <f ca="1">AVERAGE(OFFSET($DS$3,0,0,'Données projet'!$E$14+1,1))-AVERAGE(OFFSET($H$3,0,0,'Données projet'!$E$14+1,1))</f>
        <v>#N/A</v>
      </c>
      <c r="DU36" s="58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58" t="e">
        <f t="shared" si="20"/>
        <v>#N/A</v>
      </c>
      <c r="EO36" s="58" t="e">
        <f ca="1">AVERAGE(OFFSET($EN$3,0,0,'Données projet'!$E$15+1,1))-AVERAGE(OFFSET($H$3,0,0,'Données projet'!$E$15+1,1))</f>
        <v>#N/A</v>
      </c>
      <c r="EP36" s="58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58" t="e">
        <f t="shared" si="23"/>
        <v>#N/A</v>
      </c>
      <c r="FJ36" s="58" t="e">
        <f ca="1">AVERAGE(OFFSET($FI$3,0,0,'Données projet'!$E$16+1,1))-AVERAGE(OFFSET($H$3,0,0,'Données projet'!$E$16+1,1))</f>
        <v>#N/A</v>
      </c>
      <c r="FK36" s="58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58" t="e">
        <f t="shared" si="26"/>
        <v>#N/A</v>
      </c>
      <c r="GE36" s="58" t="e">
        <f ca="1">AVERAGE(OFFSET($GD$3,0,0,'Données projet'!$E$17+1,1))-AVERAGE(OFFSET($H$3,0,0,'Données projet'!$E$17+1,1))</f>
        <v>#N/A</v>
      </c>
      <c r="GF36" s="58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58" t="e">
        <f t="shared" si="29"/>
        <v>#N/A</v>
      </c>
      <c r="GZ36" s="58" t="e">
        <f ca="1">AVERAGE(OFFSET($GY$3,0,0,'Données projet'!$E$18+1,1))-AVERAGE(OFFSET($H$3,0,0,'Données projet'!$E$18+1,1))</f>
        <v>#N/A</v>
      </c>
      <c r="HA36" s="58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0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3">
        <f t="shared" si="1"/>
        <v>183.33333333333334</v>
      </c>
      <c r="I37" s="6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138.32208000000008</v>
      </c>
      <c r="P37" s="14">
        <f t="shared" si="33"/>
        <v>35.912348257500334</v>
      </c>
      <c r="Q37" s="22">
        <f t="shared" si="53"/>
        <v>303.45829588181323</v>
      </c>
      <c r="R37" s="58">
        <f t="shared" si="0"/>
        <v>546.23172734392881</v>
      </c>
      <c r="S37" s="58">
        <f ca="1">AVERAGE(OFFSET($R$3,0,0,'Données projet'!$E$9+1,1))-AVERAGE(OFFSET($H$3,0,0,'Données projet'!$E$9+1,1))</f>
        <v>527.70171871461309</v>
      </c>
      <c r="T37" s="58">
        <f t="shared" si="34"/>
        <v>281.06176764290592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8.6</v>
      </c>
      <c r="AI37" s="14">
        <f>IF('Données projet'!$A$62&gt;35,AI36+AH37-AQ36,IF(A37&lt;'Données projet'!$A$62,$AF$205^A37,IF(A37='Données projet'!$A$62,'Données projet'!$B$62,AI36+AH37-AQ36)))</f>
        <v>172.4</v>
      </c>
      <c r="AJ37" s="14">
        <f>AI37*VLOOKUP('Données projet'!$B$10,Paramètres!$A$1:$I$89,3,0)*VLOOKUP('Données projet'!$B$10,Paramètres!$A$1:$I$89,5,0)</f>
        <v>112.95648</v>
      </c>
      <c r="AK37" s="14">
        <f t="shared" si="35"/>
        <v>30.026475458997034</v>
      </c>
      <c r="AL37" s="22">
        <f t="shared" si="4"/>
        <v>249.0286474244198</v>
      </c>
      <c r="AM37" s="58">
        <f t="shared" si="5"/>
        <v>491.80207888653536</v>
      </c>
      <c r="AN37" s="58">
        <f ca="1">AVERAGE(OFFSET($AM$3,0,0,'Données projet'!$E$10+1,1))-AVERAGE(OFFSET($H$3,0,0,'Données projet'!$E$10+1,1))</f>
        <v>302.53318056366777</v>
      </c>
      <c r="AO37" s="58">
        <f t="shared" si="36"/>
        <v>318.32262615164541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2.4433966236506497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2.4433966236506497</v>
      </c>
      <c r="AY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10.780000000000001</v>
      </c>
      <c r="BD37" s="13">
        <f>IF('Données projet'!$A$88&gt;35,BD36+BC37-BL36,IF(A37&lt;'Données projet'!$A$88,$BA$205^A37,IF(A37='Données projet'!$A$88,'Données projet'!$B$88,BD36+BC37-BL36)))</f>
        <v>161.62</v>
      </c>
      <c r="BE37" s="14">
        <f>BD37*VLOOKUP('Données projet'!$B$11,Paramètres!$A$1:$I$89,3,0)*VLOOKUP('Données projet'!$B$11,Paramètres!$A$1:$I$89,5,0)</f>
        <v>128.58487200000002</v>
      </c>
      <c r="BF37" s="14">
        <f t="shared" si="37"/>
        <v>33.669156791917978</v>
      </c>
      <c r="BG37" s="22">
        <f t="shared" si="7"/>
        <v>282.59243347925718</v>
      </c>
      <c r="BH37" s="58">
        <f t="shared" si="8"/>
        <v>525.36586494137282</v>
      </c>
      <c r="BI37" s="58">
        <f ca="1">AVERAGE(OFFSET($BH$3,0,0,'Données projet'!$E$11+1,1))-AVERAGE(OFFSET($H$3,0,0,'Données projet'!$E$11+1,1))</f>
        <v>336.25341821407534</v>
      </c>
      <c r="BJ37" s="58">
        <f t="shared" si="38"/>
        <v>360.3246221345039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4.6543347947341145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4.6543347947341145</v>
      </c>
      <c r="BT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5.8</v>
      </c>
      <c r="BY37" s="13">
        <f>IF('Données projet'!$A$114&gt;35,BY36+BX37-CG36,IF(A37&lt;'Données projet'!$A$114,$BV$205^A37,IF(A37='Données projet'!$A$114,'Données projet'!$B$114,BY36+BX37-CG36)))</f>
        <v>115.19999999999997</v>
      </c>
      <c r="BZ37" s="14">
        <f>BY37*VLOOKUP('Données projet'!$B$12,Paramètres!$A$1:$I$89,3,0)*VLOOKUP('Données projet'!$B$12,Paramètres!$A$1:$I$89,5,0)</f>
        <v>93.45023999999998</v>
      </c>
      <c r="CA37" s="14">
        <f t="shared" si="39"/>
        <v>25.395509184428445</v>
      </c>
      <c r="CB37" s="22">
        <f t="shared" si="10"/>
        <v>206.98967982954616</v>
      </c>
      <c r="CC37" s="58">
        <f t="shared" si="11"/>
        <v>449.76311129166174</v>
      </c>
      <c r="CD37" s="58">
        <f ca="1">AVERAGE(OFFSET($CC$3,0,0,'Données projet'!$E$12+1,1))-AVERAGE(OFFSET($H$3,0,0,'Données projet'!$E$12+1,1))</f>
        <v>308.58270639204238</v>
      </c>
      <c r="CE37" s="58">
        <f t="shared" si="40"/>
        <v>258.90832875500325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6.4102564102564088</v>
      </c>
      <c r="CT37" s="13">
        <f>IF('Données projet'!$A$140&gt;35,CT36+CS37-DB36,IF(A37&lt;'Données projet'!$A$140,$CQ$205^A37,IF(A37='Données projet'!$A$140,'Données projet'!$B$140,CT36+CS37-DB36)))</f>
        <v>116.66666666666666</v>
      </c>
      <c r="CU37" s="18">
        <f>CT37*VLOOKUP('Données projet'!$B$13,Paramètres!$A$1:$I$89,3,0)*VLOOKUP('Données projet'!$B$13,Paramètres!$A$1:$I$89,5,0)</f>
        <v>111.02</v>
      </c>
      <c r="CV37" s="14">
        <f t="shared" si="41"/>
        <v>29.571175279490561</v>
      </c>
      <c r="CW37" s="22">
        <f t="shared" si="13"/>
        <v>244.86296361177938</v>
      </c>
      <c r="CX37" s="58">
        <f t="shared" si="14"/>
        <v>487.63639507389496</v>
      </c>
      <c r="CY37" s="58">
        <f ca="1">AVERAGE(OFFSET($CX$3,0,0,'Données projet'!$E$13+1,1))-AVERAGE(OFFSET($H$3,0,0,'Données projet'!$E$13+1,1))</f>
        <v>397.61813291201469</v>
      </c>
      <c r="CZ37" s="58">
        <f t="shared" si="42"/>
        <v>320.30651625485064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2.843543842389531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2.843543842389531</v>
      </c>
      <c r="DJ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58" t="e">
        <f t="shared" si="17"/>
        <v>#N/A</v>
      </c>
      <c r="DT37" s="58" t="e">
        <f ca="1">AVERAGE(OFFSET($DS$3,0,0,'Données projet'!$E$14+1,1))-AVERAGE(OFFSET($H$3,0,0,'Données projet'!$E$14+1,1))</f>
        <v>#N/A</v>
      </c>
      <c r="DU37" s="58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58" t="e">
        <f t="shared" si="20"/>
        <v>#N/A</v>
      </c>
      <c r="EO37" s="58" t="e">
        <f ca="1">AVERAGE(OFFSET($EN$3,0,0,'Données projet'!$E$15+1,1))-AVERAGE(OFFSET($H$3,0,0,'Données projet'!$E$15+1,1))</f>
        <v>#N/A</v>
      </c>
      <c r="EP37" s="58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58" t="e">
        <f t="shared" si="23"/>
        <v>#N/A</v>
      </c>
      <c r="FJ37" s="58" t="e">
        <f ca="1">AVERAGE(OFFSET($FI$3,0,0,'Données projet'!$E$16+1,1))-AVERAGE(OFFSET($H$3,0,0,'Données projet'!$E$16+1,1))</f>
        <v>#N/A</v>
      </c>
      <c r="FK37" s="58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58" t="e">
        <f t="shared" si="26"/>
        <v>#N/A</v>
      </c>
      <c r="GE37" s="58" t="e">
        <f ca="1">AVERAGE(OFFSET($GD$3,0,0,'Données projet'!$E$17+1,1))-AVERAGE(OFFSET($H$3,0,0,'Données projet'!$E$17+1,1))</f>
        <v>#N/A</v>
      </c>
      <c r="GF37" s="58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58" t="e">
        <f t="shared" si="29"/>
        <v>#N/A</v>
      </c>
      <c r="GZ37" s="58" t="e">
        <f ca="1">AVERAGE(OFFSET($GY$3,0,0,'Données projet'!$E$18+1,1))-AVERAGE(OFFSET($H$3,0,0,'Données projet'!$E$18+1,1))</f>
        <v>#N/A</v>
      </c>
      <c r="HA37" s="58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0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3">
        <f t="shared" si="1"/>
        <v>183.33333333333334</v>
      </c>
      <c r="I38" s="6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147.4200000000001</v>
      </c>
      <c r="P38" s="14">
        <f t="shared" si="33"/>
        <v>37.991680647570327</v>
      </c>
      <c r="Q38" s="22">
        <f t="shared" si="53"/>
        <v>322.92534379451848</v>
      </c>
      <c r="R38" s="58">
        <f t="shared" si="0"/>
        <v>566.57587651909296</v>
      </c>
      <c r="S38" s="58">
        <f ca="1">AVERAGE(OFFSET($R$3,0,0,'Données projet'!$E$9+1,1))-AVERAGE(OFFSET($H$3,0,0,'Données projet'!$E$9+1,1))</f>
        <v>527.70171871461309</v>
      </c>
      <c r="T38" s="58">
        <f t="shared" si="34"/>
        <v>281.06176764290592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181</v>
      </c>
      <c r="AG38" s="13">
        <f>VLOOKUP(A38,'Données projet'!$A$61:$I$81,9,0)</f>
        <v>8.6</v>
      </c>
      <c r="AH38" s="13">
        <f t="array" ref="AH38">INDEX(AG:AG,MIN(IF(ISNUMBER(AG38:AG234),ROW(AG38:AG234),"")))</f>
        <v>8.6</v>
      </c>
      <c r="AI38" s="14">
        <f>IF('Données projet'!$A$62&gt;35,AI37+AH38-AQ37,IF(A38&lt;'Données projet'!$A$62,$AF$205^A38,IF(A38='Données projet'!$A$62,'Données projet'!$B$62,AI37+AH38-AQ37)))</f>
        <v>181</v>
      </c>
      <c r="AJ38" s="14">
        <f>AI38*VLOOKUP('Données projet'!$B$10,Paramètres!$A$1:$I$89,3,0)*VLOOKUP('Données projet'!$B$10,Paramètres!$A$1:$I$89,5,0)</f>
        <v>118.5912</v>
      </c>
      <c r="AK38" s="14">
        <f t="shared" si="35"/>
        <v>31.346194334434067</v>
      </c>
      <c r="AL38" s="22">
        <f t="shared" si="4"/>
        <v>261.14096179913935</v>
      </c>
      <c r="AM38" s="58">
        <f t="shared" si="5"/>
        <v>504.79149452371382</v>
      </c>
      <c r="AN38" s="58">
        <f ca="1">AVERAGE(OFFSET($AM$3,0,0,'Données projet'!$E$10+1,1))-AVERAGE(OFFSET($H$3,0,0,'Données projet'!$E$10+1,1))</f>
        <v>302.53318056366777</v>
      </c>
      <c r="AO38" s="58">
        <f t="shared" si="36"/>
        <v>318.32262615164541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2.3765818144842785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2.3765818144842785</v>
      </c>
      <c r="AY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172.4</v>
      </c>
      <c r="BB38" s="13">
        <f>VLOOKUP(A38,'Données projet'!$A$87:$I$107,9,0)</f>
        <v>10.780000000000001</v>
      </c>
      <c r="BC38" s="13">
        <f t="array" ref="BC38">INDEX(BB:BB,MIN(IF(ISNUMBER(BB38:BB234),ROW(BB38:BB234),"")))</f>
        <v>10.780000000000001</v>
      </c>
      <c r="BD38" s="13">
        <f>IF('Données projet'!$A$88&gt;35,BD37+BC38-BL37,IF(A38&lt;'Données projet'!$A$88,$BA$205^A38,IF(A38='Données projet'!$A$88,'Données projet'!$B$88,BD37+BC38-BL37)))</f>
        <v>172.4</v>
      </c>
      <c r="BE38" s="14">
        <f>BD38*VLOOKUP('Données projet'!$B$11,Paramètres!$A$1:$I$89,3,0)*VLOOKUP('Données projet'!$B$11,Paramètres!$A$1:$I$89,5,0)</f>
        <v>137.16144000000003</v>
      </c>
      <c r="BF38" s="14">
        <f t="shared" si="37"/>
        <v>35.64595806367339</v>
      </c>
      <c r="BG38" s="22">
        <f t="shared" si="7"/>
        <v>300.97288496089783</v>
      </c>
      <c r="BH38" s="58">
        <f t="shared" si="8"/>
        <v>544.6234176854723</v>
      </c>
      <c r="BI38" s="58">
        <f ca="1">AVERAGE(OFFSET($BH$3,0,0,'Données projet'!$E$11+1,1))-AVERAGE(OFFSET($H$3,0,0,'Données projet'!$E$11+1,1))</f>
        <v>336.25341821407534</v>
      </c>
      <c r="BJ38" s="58">
        <f t="shared" si="38"/>
        <v>360.3246221345039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4.5270617650112808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4.5270617650112808</v>
      </c>
      <c r="BT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121</v>
      </c>
      <c r="BW38" s="13">
        <f>VLOOKUP(A38,'Données projet'!$A$113:$I$133,9,0)</f>
        <v>5.8</v>
      </c>
      <c r="BX38" s="13">
        <f t="array" ref="BX38">INDEX(BW:BW,MIN(IF(ISNUMBER(BW38:BW234),ROW(BW38:BW234),"")))</f>
        <v>5.8</v>
      </c>
      <c r="BY38" s="13">
        <f>IF('Données projet'!$A$114&gt;35,BY37+BX38-CG37,IF(A38&lt;'Données projet'!$A$114,$BV$205^A38,IF(A38='Données projet'!$A$114,'Données projet'!$B$114,BY37+BX38-CG37)))</f>
        <v>120.99999999999997</v>
      </c>
      <c r="BZ38" s="14">
        <f>BY38*VLOOKUP('Données projet'!$B$12,Paramètres!$A$1:$I$89,3,0)*VLOOKUP('Données projet'!$B$12,Paramètres!$A$1:$I$89,5,0)</f>
        <v>98.155199999999979</v>
      </c>
      <c r="CA38" s="14">
        <f t="shared" si="39"/>
        <v>26.522024238465775</v>
      </c>
      <c r="CB38" s="22">
        <f t="shared" si="10"/>
        <v>217.14616554866117</v>
      </c>
      <c r="CC38" s="58">
        <f t="shared" si="11"/>
        <v>460.79669827323568</v>
      </c>
      <c r="CD38" s="58">
        <f ca="1">AVERAGE(OFFSET($CC$3,0,0,'Données projet'!$E$12+1,1))-AVERAGE(OFFSET($H$3,0,0,'Données projet'!$E$12+1,1))</f>
        <v>308.58270639204238</v>
      </c>
      <c r="CE38" s="58">
        <f t="shared" si="40"/>
        <v>258.90832875500325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123.07692307692307</v>
      </c>
      <c r="CR38" s="13">
        <f>VLOOKUP(A38,'Données projet'!$A$139:$I$159,9,0)</f>
        <v>6.4102564102564088</v>
      </c>
      <c r="CS38" s="13">
        <f t="array" ref="CS38">INDEX(CR:CR,MIN(IF(ISNUMBER(CR38:CR234),ROW(CR38:CR234),"")))</f>
        <v>6.4102564102564088</v>
      </c>
      <c r="CT38" s="13">
        <f>IF('Données projet'!$A$140&gt;35,CT37+CS38-DB37,IF(A38&lt;'Données projet'!$A$140,$CQ$205^A38,IF(A38='Données projet'!$A$140,'Données projet'!$B$140,CT37+CS38-DB37)))</f>
        <v>123.07692307692307</v>
      </c>
      <c r="CU38" s="18">
        <f>CT38*VLOOKUP('Données projet'!$B$13,Paramètres!$A$1:$I$89,3,0)*VLOOKUP('Données projet'!$B$13,Paramètres!$A$1:$I$89,5,0)</f>
        <v>117.11999999999999</v>
      </c>
      <c r="CV38" s="14">
        <f t="shared" si="41"/>
        <v>31.002339853075508</v>
      </c>
      <c r="CW38" s="22">
        <f t="shared" si="13"/>
        <v>257.97974191077316</v>
      </c>
      <c r="CX38" s="58">
        <f t="shared" si="14"/>
        <v>501.63027463534763</v>
      </c>
      <c r="CY38" s="58">
        <f ca="1">AVERAGE(OFFSET($CX$3,0,0,'Données projet'!$E$13+1,1))-AVERAGE(OFFSET($H$3,0,0,'Données projet'!$E$13+1,1))</f>
        <v>397.61813291201469</v>
      </c>
      <c r="CZ38" s="58">
        <f t="shared" si="42"/>
        <v>320.30651625485064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2.7657869864839175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2.7657869864839175</v>
      </c>
      <c r="DJ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58" t="e">
        <f t="shared" si="17"/>
        <v>#N/A</v>
      </c>
      <c r="DT38" s="58" t="e">
        <f ca="1">AVERAGE(OFFSET($DS$3,0,0,'Données projet'!$E$14+1,1))-AVERAGE(OFFSET($H$3,0,0,'Données projet'!$E$14+1,1))</f>
        <v>#N/A</v>
      </c>
      <c r="DU38" s="58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58" t="e">
        <f t="shared" si="20"/>
        <v>#N/A</v>
      </c>
      <c r="EO38" s="58" t="e">
        <f ca="1">AVERAGE(OFFSET($EN$3,0,0,'Données projet'!$E$15+1,1))-AVERAGE(OFFSET($H$3,0,0,'Données projet'!$E$15+1,1))</f>
        <v>#N/A</v>
      </c>
      <c r="EP38" s="58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58" t="e">
        <f t="shared" si="23"/>
        <v>#N/A</v>
      </c>
      <c r="FJ38" s="58" t="e">
        <f ca="1">AVERAGE(OFFSET($FI$3,0,0,'Données projet'!$E$16+1,1))-AVERAGE(OFFSET($H$3,0,0,'Données projet'!$E$16+1,1))</f>
        <v>#N/A</v>
      </c>
      <c r="FK38" s="58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58" t="e">
        <f t="shared" si="26"/>
        <v>#N/A</v>
      </c>
      <c r="GE38" s="58" t="e">
        <f ca="1">AVERAGE(OFFSET($GD$3,0,0,'Données projet'!$E$17+1,1))-AVERAGE(OFFSET($H$3,0,0,'Données projet'!$E$17+1,1))</f>
        <v>#N/A</v>
      </c>
      <c r="GF38" s="58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58" t="e">
        <f t="shared" si="29"/>
        <v>#N/A</v>
      </c>
      <c r="GZ38" s="58" t="e">
        <f ca="1">AVERAGE(OFFSET($GY$3,0,0,'Données projet'!$E$18+1,1))-AVERAGE(OFFSET($H$3,0,0,'Données projet'!$E$18+1,1))</f>
        <v>#N/A</v>
      </c>
      <c r="HA38" s="58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0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3">
        <f t="shared" si="1"/>
        <v>183.33333333333334</v>
      </c>
      <c r="I39" s="6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109.68048000000009</v>
      </c>
      <c r="P39" s="14">
        <f t="shared" si="33"/>
        <v>29.255690427909659</v>
      </c>
      <c r="Q39" s="22">
        <f t="shared" si="53"/>
        <v>241.98049682860949</v>
      </c>
      <c r="R39" s="58">
        <f t="shared" si="0"/>
        <v>486.49291506964391</v>
      </c>
      <c r="S39" s="58">
        <f ca="1">AVERAGE(OFFSET($R$3,0,0,'Données projet'!$E$9+1,1))-AVERAGE(OFFSET($H$3,0,0,'Données projet'!$E$9+1,1))</f>
        <v>527.70171871461309</v>
      </c>
      <c r="T39" s="58">
        <f t="shared" si="34"/>
        <v>281.06176764290592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7.8</v>
      </c>
      <c r="AI39" s="14">
        <f>IF('Données projet'!$A$62&gt;35,AI38+AH39-AQ38,IF(A39&lt;'Données projet'!$A$62,$AF$205^A39,IF(A39='Données projet'!$A$62,'Données projet'!$B$62,AI38+AH39-AQ38)))</f>
        <v>188.8</v>
      </c>
      <c r="AJ39" s="14">
        <f>AI39*VLOOKUP('Données projet'!$B$10,Paramètres!$A$1:$I$89,3,0)*VLOOKUP('Données projet'!$B$10,Paramètres!$A$1:$I$89,5,0)</f>
        <v>123.70176000000001</v>
      </c>
      <c r="AK39" s="14">
        <f t="shared" si="35"/>
        <v>32.536841470486884</v>
      </c>
      <c r="AL39" s="22">
        <f t="shared" si="4"/>
        <v>272.11556422776465</v>
      </c>
      <c r="AM39" s="58">
        <f t="shared" si="5"/>
        <v>516.62798246879902</v>
      </c>
      <c r="AN39" s="58">
        <f ca="1">AVERAGE(OFFSET($AM$3,0,0,'Données projet'!$E$10+1,1))-AVERAGE(OFFSET($H$3,0,0,'Données projet'!$E$10+1,1))</f>
        <v>302.53318056366777</v>
      </c>
      <c r="AO39" s="58">
        <f t="shared" si="36"/>
        <v>318.32262615164541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2.3115940597882001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2.3115940597882001</v>
      </c>
      <c r="AY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9.4399999999999977</v>
      </c>
      <c r="BD39" s="13">
        <f>IF('Données projet'!$A$88&gt;35,BD38+BC39-BL38,IF(A39&lt;'Données projet'!$A$88,$BA$205^A39,IF(A39='Données projet'!$A$88,'Données projet'!$B$88,BD38+BC39-BL38)))</f>
        <v>181.84</v>
      </c>
      <c r="BE39" s="14">
        <f>BD39*VLOOKUP('Données projet'!$B$11,Paramètres!$A$1:$I$89,3,0)*VLOOKUP('Données projet'!$B$11,Paramètres!$A$1:$I$89,5,0)</f>
        <v>144.67190400000001</v>
      </c>
      <c r="BF39" s="14">
        <f t="shared" si="37"/>
        <v>37.365219813928285</v>
      </c>
      <c r="BG39" s="22">
        <f t="shared" si="7"/>
        <v>317.04799064259174</v>
      </c>
      <c r="BH39" s="58">
        <f t="shared" si="8"/>
        <v>561.56040888362622</v>
      </c>
      <c r="BI39" s="58">
        <f ca="1">AVERAGE(OFFSET($BH$3,0,0,'Données projet'!$E$11+1,1))-AVERAGE(OFFSET($H$3,0,0,'Données projet'!$E$11+1,1))</f>
        <v>336.25341821407534</v>
      </c>
      <c r="BJ39" s="58">
        <f t="shared" si="38"/>
        <v>360.3246221345039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4.4032690229792157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4.4032690229792157</v>
      </c>
      <c r="BT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6</v>
      </c>
      <c r="BY39" s="13">
        <f>IF('Données projet'!$A$114&gt;35,BY38+BX39-CG38,IF(A39&lt;'Données projet'!$A$114,$BV$205^A39,IF(A39='Données projet'!$A$114,'Données projet'!$B$114,BY38+BX39-CG38)))</f>
        <v>126.99999999999997</v>
      </c>
      <c r="BZ39" s="14">
        <f>BY39*VLOOKUP('Données projet'!$B$12,Paramètres!$A$1:$I$89,3,0)*VLOOKUP('Données projet'!$B$12,Paramètres!$A$1:$I$89,5,0)</f>
        <v>103.02239999999999</v>
      </c>
      <c r="CA39" s="14">
        <f t="shared" si="39"/>
        <v>27.680790106744631</v>
      </c>
      <c r="CB39" s="22">
        <f t="shared" si="10"/>
        <v>227.64138943591354</v>
      </c>
      <c r="CC39" s="58">
        <f t="shared" si="11"/>
        <v>472.15380767694796</v>
      </c>
      <c r="CD39" s="58">
        <f ca="1">AVERAGE(OFFSET($CC$3,0,0,'Données projet'!$E$12+1,1))-AVERAGE(OFFSET($H$3,0,0,'Données projet'!$E$12+1,1))</f>
        <v>308.58270639204238</v>
      </c>
      <c r="CE39" s="58">
        <f t="shared" si="40"/>
        <v>258.90832875500325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5.8974358974359005</v>
      </c>
      <c r="CT39" s="13">
        <f>IF('Données projet'!$A$140&gt;35,CT38+CS39-DB38,IF(A39&lt;'Données projet'!$A$140,$CQ$205^A39,IF(A39='Données projet'!$A$140,'Données projet'!$B$140,CT38+CS39-DB38)))</f>
        <v>128.97435897435898</v>
      </c>
      <c r="CU39" s="18">
        <f>CT39*VLOOKUP('Données projet'!$B$13,Paramètres!$A$1:$I$89,3,0)*VLOOKUP('Données projet'!$B$13,Paramètres!$A$1:$I$89,5,0)</f>
        <v>122.73200000000001</v>
      </c>
      <c r="CV39" s="14">
        <f t="shared" si="41"/>
        <v>32.311356202721527</v>
      </c>
      <c r="CW39" s="22">
        <f t="shared" si="13"/>
        <v>270.03384538640671</v>
      </c>
      <c r="CX39" s="58">
        <f t="shared" si="14"/>
        <v>514.54626362744114</v>
      </c>
      <c r="CY39" s="58">
        <f ca="1">AVERAGE(OFFSET($CX$3,0,0,'Données projet'!$E$13+1,1))-AVERAGE(OFFSET($H$3,0,0,'Données projet'!$E$13+1,1))</f>
        <v>397.61813291201469</v>
      </c>
      <c r="CZ39" s="58">
        <f t="shared" si="42"/>
        <v>320.30651625485064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2.6901563958920987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2.6901563958920987</v>
      </c>
      <c r="DJ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58" t="e">
        <f t="shared" si="17"/>
        <v>#N/A</v>
      </c>
      <c r="DT39" s="58" t="e">
        <f ca="1">AVERAGE(OFFSET($DS$3,0,0,'Données projet'!$E$14+1,1))-AVERAGE(OFFSET($H$3,0,0,'Données projet'!$E$14+1,1))</f>
        <v>#N/A</v>
      </c>
      <c r="DU39" s="58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58" t="e">
        <f t="shared" si="20"/>
        <v>#N/A</v>
      </c>
      <c r="EO39" s="58" t="e">
        <f ca="1">AVERAGE(OFFSET($EN$3,0,0,'Données projet'!$E$15+1,1))-AVERAGE(OFFSET($H$3,0,0,'Données projet'!$E$15+1,1))</f>
        <v>#N/A</v>
      </c>
      <c r="EP39" s="58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58" t="e">
        <f t="shared" si="23"/>
        <v>#N/A</v>
      </c>
      <c r="FJ39" s="58" t="e">
        <f ca="1">AVERAGE(OFFSET($FI$3,0,0,'Données projet'!$E$16+1,1))-AVERAGE(OFFSET($H$3,0,0,'Données projet'!$E$16+1,1))</f>
        <v>#N/A</v>
      </c>
      <c r="FK39" s="58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58" t="e">
        <f t="shared" si="26"/>
        <v>#N/A</v>
      </c>
      <c r="GE39" s="58" t="e">
        <f ca="1">AVERAGE(OFFSET($GD$3,0,0,'Données projet'!$E$17+1,1))-AVERAGE(OFFSET($H$3,0,0,'Données projet'!$E$17+1,1))</f>
        <v>#N/A</v>
      </c>
      <c r="GF39" s="58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58" t="e">
        <f t="shared" si="29"/>
        <v>#N/A</v>
      </c>
      <c r="GZ39" s="58" t="e">
        <f ca="1">AVERAGE(OFFSET($GY$3,0,0,'Données projet'!$E$18+1,1))-AVERAGE(OFFSET($H$3,0,0,'Données projet'!$E$18+1,1))</f>
        <v>#N/A</v>
      </c>
      <c r="HA39" s="58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0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3">
        <f t="shared" si="1"/>
        <v>183.33333333333334</v>
      </c>
      <c r="I40" s="6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119.11536000000007</v>
      </c>
      <c r="P40" s="14">
        <f t="shared" si="33"/>
        <v>31.468582772748093</v>
      </c>
      <c r="Q40" s="22">
        <f t="shared" si="53"/>
        <v>262.26703366253639</v>
      </c>
      <c r="R40" s="58">
        <f t="shared" si="0"/>
        <v>507.62638563320752</v>
      </c>
      <c r="S40" s="58">
        <f ca="1">AVERAGE(OFFSET($R$3,0,0,'Données projet'!$E$9+1,1))-AVERAGE(OFFSET($H$3,0,0,'Données projet'!$E$9+1,1))</f>
        <v>527.70171871461309</v>
      </c>
      <c r="T40" s="58">
        <f t="shared" si="34"/>
        <v>281.06176764290592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7.8</v>
      </c>
      <c r="AI40" s="14">
        <f>IF('Données projet'!$A$62&gt;35,AI39+AH40-AQ39,IF(A40&lt;'Données projet'!$A$62,$AF$205^A40,IF(A40='Données projet'!$A$62,'Données projet'!$B$62,AI39+AH40-AQ39)))</f>
        <v>196.60000000000002</v>
      </c>
      <c r="AJ40" s="14">
        <f>AI40*VLOOKUP('Données projet'!$B$10,Paramètres!$A$1:$I$89,3,0)*VLOOKUP('Données projet'!$B$10,Paramètres!$A$1:$I$89,5,0)</f>
        <v>128.81232</v>
      </c>
      <c r="AK40" s="14">
        <f t="shared" si="35"/>
        <v>33.721774934127183</v>
      </c>
      <c r="AL40" s="22">
        <f t="shared" si="4"/>
        <v>283.08021534360483</v>
      </c>
      <c r="AM40" s="58">
        <f t="shared" si="5"/>
        <v>528.43956731427591</v>
      </c>
      <c r="AN40" s="58">
        <f ca="1">AVERAGE(OFFSET($AM$3,0,0,'Données projet'!$E$10+1,1))-AVERAGE(OFFSET($H$3,0,0,'Données projet'!$E$10+1,1))</f>
        <v>302.53318056366777</v>
      </c>
      <c r="AO40" s="58">
        <f t="shared" si="36"/>
        <v>318.32262615164541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2.2483833986618436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2.2483833986618436</v>
      </c>
      <c r="AY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9.4399999999999977</v>
      </c>
      <c r="BD40" s="13">
        <f>IF('Données projet'!$A$88&gt;35,BD39+BC40-BL39,IF(A40&lt;'Données projet'!$A$88,$BA$205^A40,IF(A40='Données projet'!$A$88,'Données projet'!$B$88,BD39+BC40-BL39)))</f>
        <v>191.28</v>
      </c>
      <c r="BE40" s="14">
        <f>BD40*VLOOKUP('Données projet'!$B$11,Paramètres!$A$1:$I$89,3,0)*VLOOKUP('Données projet'!$B$11,Paramètres!$A$1:$I$89,5,0)</f>
        <v>152.18236800000003</v>
      </c>
      <c r="BF40" s="14">
        <f t="shared" si="37"/>
        <v>39.074118885510551</v>
      </c>
      <c r="BG40" s="22">
        <f t="shared" si="7"/>
        <v>333.10504799226425</v>
      </c>
      <c r="BH40" s="58">
        <f t="shared" si="8"/>
        <v>578.46439996293532</v>
      </c>
      <c r="BI40" s="58">
        <f ca="1">AVERAGE(OFFSET($BH$3,0,0,'Données projet'!$E$11+1,1))-AVERAGE(OFFSET($H$3,0,0,'Données projet'!$E$11+1,1))</f>
        <v>336.25341821407534</v>
      </c>
      <c r="BJ40" s="58">
        <f t="shared" si="38"/>
        <v>360.3246221345039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4.2828613999879952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4.2828613999879952</v>
      </c>
      <c r="BT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6</v>
      </c>
      <c r="BY40" s="13">
        <f>IF('Données projet'!$A$114&gt;35,BY39+BX40-CG39,IF(A40&lt;'Données projet'!$A$114,$BV$205^A40,IF(A40='Données projet'!$A$114,'Données projet'!$B$114,BY39+BX40-CG39)))</f>
        <v>132.99999999999997</v>
      </c>
      <c r="BZ40" s="14">
        <f>BY40*VLOOKUP('Données projet'!$B$12,Paramètres!$A$1:$I$89,3,0)*VLOOKUP('Données projet'!$B$12,Paramètres!$A$1:$I$89,5,0)</f>
        <v>107.88959999999997</v>
      </c>
      <c r="CA40" s="14">
        <f t="shared" si="39"/>
        <v>28.833198667365593</v>
      </c>
      <c r="CB40" s="22">
        <f t="shared" si="10"/>
        <v>238.12554101232834</v>
      </c>
      <c r="CC40" s="58">
        <f t="shared" si="11"/>
        <v>483.48489298299944</v>
      </c>
      <c r="CD40" s="58">
        <f ca="1">AVERAGE(OFFSET($CC$3,0,0,'Données projet'!$E$12+1,1))-AVERAGE(OFFSET($H$3,0,0,'Données projet'!$E$12+1,1))</f>
        <v>308.58270639204238</v>
      </c>
      <c r="CE40" s="58">
        <f t="shared" si="40"/>
        <v>258.90832875500325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5.8974358974359005</v>
      </c>
      <c r="CT40" s="13">
        <f>IF('Données projet'!$A$140&gt;35,CT39+CS40-DB39,IF(A40&lt;'Données projet'!$A$140,$CQ$205^A40,IF(A40='Données projet'!$A$140,'Données projet'!$B$140,CT39+CS40-DB39)))</f>
        <v>134.87179487179489</v>
      </c>
      <c r="CU40" s="18">
        <f>CT40*VLOOKUP('Données projet'!$B$13,Paramètres!$A$1:$I$89,3,0)*VLOOKUP('Données projet'!$B$13,Paramètres!$A$1:$I$89,5,0)</f>
        <v>128.34400000000002</v>
      </c>
      <c r="CV40" s="14">
        <f t="shared" si="41"/>
        <v>33.613421309084202</v>
      </c>
      <c r="CW40" s="22">
        <f t="shared" si="13"/>
        <v>282.07584211332164</v>
      </c>
      <c r="CX40" s="58">
        <f t="shared" si="14"/>
        <v>527.43519408399277</v>
      </c>
      <c r="CY40" s="58">
        <f ca="1">AVERAGE(OFFSET($CX$3,0,0,'Données projet'!$E$13+1,1))-AVERAGE(OFFSET($H$3,0,0,'Données projet'!$E$13+1,1))</f>
        <v>397.61813291201469</v>
      </c>
      <c r="CZ40" s="58">
        <f t="shared" si="42"/>
        <v>320.30651625485064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2.6165939277772527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2.6165939277772527</v>
      </c>
      <c r="DJ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58" t="e">
        <f t="shared" si="17"/>
        <v>#N/A</v>
      </c>
      <c r="DT40" s="58" t="e">
        <f ca="1">AVERAGE(OFFSET($DS$3,0,0,'Données projet'!$E$14+1,1))-AVERAGE(OFFSET($H$3,0,0,'Données projet'!$E$14+1,1))</f>
        <v>#N/A</v>
      </c>
      <c r="DU40" s="58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58" t="e">
        <f t="shared" si="20"/>
        <v>#N/A</v>
      </c>
      <c r="EO40" s="58" t="e">
        <f ca="1">AVERAGE(OFFSET($EN$3,0,0,'Données projet'!$E$15+1,1))-AVERAGE(OFFSET($H$3,0,0,'Données projet'!$E$15+1,1))</f>
        <v>#N/A</v>
      </c>
      <c r="EP40" s="58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58" t="e">
        <f t="shared" si="23"/>
        <v>#N/A</v>
      </c>
      <c r="FJ40" s="58" t="e">
        <f ca="1">AVERAGE(OFFSET($FI$3,0,0,'Données projet'!$E$16+1,1))-AVERAGE(OFFSET($H$3,0,0,'Données projet'!$E$16+1,1))</f>
        <v>#N/A</v>
      </c>
      <c r="FK40" s="58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58" t="e">
        <f t="shared" si="26"/>
        <v>#N/A</v>
      </c>
      <c r="GE40" s="58" t="e">
        <f ca="1">AVERAGE(OFFSET($GD$3,0,0,'Données projet'!$E$17+1,1))-AVERAGE(OFFSET($H$3,0,0,'Données projet'!$E$17+1,1))</f>
        <v>#N/A</v>
      </c>
      <c r="GF40" s="58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58" t="e">
        <f t="shared" si="29"/>
        <v>#N/A</v>
      </c>
      <c r="GZ40" s="58" t="e">
        <f ca="1">AVERAGE(OFFSET($GY$3,0,0,'Données projet'!$E$18+1,1))-AVERAGE(OFFSET($H$3,0,0,'Données projet'!$E$18+1,1))</f>
        <v>#N/A</v>
      </c>
      <c r="HA40" s="58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0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3">
        <f t="shared" si="1"/>
        <v>183.33333333333334</v>
      </c>
      <c r="I41" s="6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128.55024000000006</v>
      </c>
      <c r="P41" s="14">
        <f t="shared" si="33"/>
        <v>33.661144026076698</v>
      </c>
      <c r="Q41" s="22">
        <f t="shared" si="53"/>
        <v>282.51816051208368</v>
      </c>
      <c r="R41" s="58">
        <f t="shared" si="0"/>
        <v>528.70975380564244</v>
      </c>
      <c r="S41" s="58">
        <f ca="1">AVERAGE(OFFSET($R$3,0,0,'Données projet'!$E$9+1,1))-AVERAGE(OFFSET($H$3,0,0,'Données projet'!$E$9+1,1))</f>
        <v>527.70171871461309</v>
      </c>
      <c r="T41" s="58">
        <f t="shared" si="34"/>
        <v>281.06176764290592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7.8</v>
      </c>
      <c r="AI41" s="14">
        <f>IF('Données projet'!$A$62&gt;35,AI40+AH41-AQ40,IF(A41&lt;'Données projet'!$A$62,$AF$205^A41,IF(A41='Données projet'!$A$62,'Données projet'!$B$62,AI40+AH41-AQ40)))</f>
        <v>204.40000000000003</v>
      </c>
      <c r="AJ41" s="14">
        <f>AI41*VLOOKUP('Données projet'!$B$10,Paramètres!$A$1:$I$89,3,0)*VLOOKUP('Données projet'!$B$10,Paramètres!$A$1:$I$89,5,0)</f>
        <v>133.92288000000002</v>
      </c>
      <c r="AK41" s="14">
        <f t="shared" si="35"/>
        <v>34.901247350186132</v>
      </c>
      <c r="AL41" s="22">
        <f t="shared" si="4"/>
        <v>294.03535513490755</v>
      </c>
      <c r="AM41" s="58">
        <f t="shared" si="5"/>
        <v>540.22694842846624</v>
      </c>
      <c r="AN41" s="58">
        <f ca="1">AVERAGE(OFFSET($AM$3,0,0,'Données projet'!$E$10+1,1))-AVERAGE(OFFSET($H$3,0,0,'Données projet'!$E$10+1,1))</f>
        <v>302.53318056366777</v>
      </c>
      <c r="AO41" s="58">
        <f t="shared" si="36"/>
        <v>318.32262615164541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2.1869012363880911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2.1869012363880911</v>
      </c>
      <c r="AY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9.4399999999999977</v>
      </c>
      <c r="BD41" s="13">
        <f>IF('Données projet'!$A$88&gt;35,BD40+BC41-BL40,IF(A41&lt;'Données projet'!$A$88,$BA$205^A41,IF(A41='Données projet'!$A$88,'Données projet'!$B$88,BD40+BC41-BL40)))</f>
        <v>200.72</v>
      </c>
      <c r="BE41" s="14">
        <f>BD41*VLOOKUP('Données projet'!$B$11,Paramètres!$A$1:$I$89,3,0)*VLOOKUP('Données projet'!$B$11,Paramètres!$A$1:$I$89,5,0)</f>
        <v>159.69283200000001</v>
      </c>
      <c r="BF41" s="14">
        <f t="shared" si="37"/>
        <v>40.773225060243078</v>
      </c>
      <c r="BG41" s="22">
        <f t="shared" si="7"/>
        <v>349.14504937992336</v>
      </c>
      <c r="BH41" s="58">
        <f t="shared" si="8"/>
        <v>595.33664267348206</v>
      </c>
      <c r="BI41" s="58">
        <f ca="1">AVERAGE(OFFSET($BH$3,0,0,'Données projet'!$E$11+1,1))-AVERAGE(OFFSET($H$3,0,0,'Données projet'!$E$11+1,1))</f>
        <v>336.25341821407534</v>
      </c>
      <c r="BJ41" s="58">
        <f t="shared" si="38"/>
        <v>360.3246221345039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4.1657463297794308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4.1657463297794308</v>
      </c>
      <c r="BT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6</v>
      </c>
      <c r="BY41" s="13">
        <f>IF('Données projet'!$A$114&gt;35,BY40+BX41-CG40,IF(A41&lt;'Données projet'!$A$114,$BV$205^A41,IF(A41='Données projet'!$A$114,'Données projet'!$B$114,BY40+BX41-CG40)))</f>
        <v>138.99999999999997</v>
      </c>
      <c r="BZ41" s="14">
        <f>BY41*VLOOKUP('Données projet'!$B$12,Paramètres!$A$1:$I$89,3,0)*VLOOKUP('Données projet'!$B$12,Paramètres!$A$1:$I$89,5,0)</f>
        <v>112.75679999999998</v>
      </c>
      <c r="CA41" s="14">
        <f t="shared" si="39"/>
        <v>29.979569481474449</v>
      </c>
      <c r="CB41" s="22">
        <f t="shared" si="10"/>
        <v>248.59917684690132</v>
      </c>
      <c r="CC41" s="58">
        <f t="shared" si="11"/>
        <v>494.79077014046004</v>
      </c>
      <c r="CD41" s="58">
        <f ca="1">AVERAGE(OFFSET($CC$3,0,0,'Données projet'!$E$12+1,1))-AVERAGE(OFFSET($H$3,0,0,'Données projet'!$E$12+1,1))</f>
        <v>308.58270639204238</v>
      </c>
      <c r="CE41" s="58">
        <f t="shared" si="40"/>
        <v>258.90832875500325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5.8974358974359005</v>
      </c>
      <c r="CT41" s="13">
        <f>IF('Données projet'!$A$140&gt;35,CT40+CS41-DB40,IF(A41&lt;'Données projet'!$A$140,$CQ$205^A41,IF(A41='Données projet'!$A$140,'Données projet'!$B$140,CT40+CS41-DB40)))</f>
        <v>140.7692307692308</v>
      </c>
      <c r="CU41" s="18">
        <f>CT41*VLOOKUP('Données projet'!$B$13,Paramètres!$A$1:$I$89,3,0)*VLOOKUP('Données projet'!$B$13,Paramètres!$A$1:$I$89,5,0)</f>
        <v>133.95600000000002</v>
      </c>
      <c r="CV41" s="14">
        <f t="shared" si="41"/>
        <v>34.908873862106219</v>
      </c>
      <c r="CW41" s="22">
        <f t="shared" si="13"/>
        <v>294.10632197650165</v>
      </c>
      <c r="CX41" s="58">
        <f t="shared" si="14"/>
        <v>540.29791527006034</v>
      </c>
      <c r="CY41" s="58">
        <f ca="1">AVERAGE(OFFSET($CX$3,0,0,'Données projet'!$E$13+1,1))-AVERAGE(OFFSET($H$3,0,0,'Données projet'!$E$13+1,1))</f>
        <v>397.61813291201469</v>
      </c>
      <c r="CZ41" s="58">
        <f t="shared" si="42"/>
        <v>320.30651625485064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2.5450430292214894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2.5450430292214894</v>
      </c>
      <c r="DJ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58" t="e">
        <f t="shared" si="17"/>
        <v>#N/A</v>
      </c>
      <c r="DT41" s="58" t="e">
        <f ca="1">AVERAGE(OFFSET($DS$3,0,0,'Données projet'!$E$14+1,1))-AVERAGE(OFFSET($H$3,0,0,'Données projet'!$E$14+1,1))</f>
        <v>#N/A</v>
      </c>
      <c r="DU41" s="58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58" t="e">
        <f t="shared" si="20"/>
        <v>#N/A</v>
      </c>
      <c r="EO41" s="58" t="e">
        <f ca="1">AVERAGE(OFFSET($EN$3,0,0,'Données projet'!$E$15+1,1))-AVERAGE(OFFSET($H$3,0,0,'Données projet'!$E$15+1,1))</f>
        <v>#N/A</v>
      </c>
      <c r="EP41" s="58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58" t="e">
        <f t="shared" si="23"/>
        <v>#N/A</v>
      </c>
      <c r="FJ41" s="58" t="e">
        <f ca="1">AVERAGE(OFFSET($FI$3,0,0,'Données projet'!$E$16+1,1))-AVERAGE(OFFSET($H$3,0,0,'Données projet'!$E$16+1,1))</f>
        <v>#N/A</v>
      </c>
      <c r="FK41" s="58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58" t="e">
        <f t="shared" si="26"/>
        <v>#N/A</v>
      </c>
      <c r="GE41" s="58" t="e">
        <f ca="1">AVERAGE(OFFSET($GD$3,0,0,'Données projet'!$E$17+1,1))-AVERAGE(OFFSET($H$3,0,0,'Données projet'!$E$17+1,1))</f>
        <v>#N/A</v>
      </c>
      <c r="GF41" s="58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58" t="e">
        <f t="shared" si="29"/>
        <v>#N/A</v>
      </c>
      <c r="GZ41" s="58" t="e">
        <f ca="1">AVERAGE(OFFSET($GY$3,0,0,'Données projet'!$E$18+1,1))-AVERAGE(OFFSET($H$3,0,0,'Données projet'!$E$18+1,1))</f>
        <v>#N/A</v>
      </c>
      <c r="HA41" s="58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0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3">
        <f t="shared" si="1"/>
        <v>183.33333333333334</v>
      </c>
      <c r="I42" s="6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137.98512000000005</v>
      </c>
      <c r="P42" s="14">
        <f t="shared" si="33"/>
        <v>35.835036067646342</v>
      </c>
      <c r="Q42" s="22">
        <f t="shared" si="53"/>
        <v>302.73677181781744</v>
      </c>
      <c r="R42" s="58">
        <f t="shared" si="0"/>
        <v>549.74616890792458</v>
      </c>
      <c r="S42" s="58">
        <f ca="1">AVERAGE(OFFSET($R$3,0,0,'Données projet'!$E$9+1,1))-AVERAGE(OFFSET($H$3,0,0,'Données projet'!$E$9+1,1))</f>
        <v>527.70171871461309</v>
      </c>
      <c r="T42" s="58">
        <f t="shared" si="34"/>
        <v>281.06176764290592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7.8</v>
      </c>
      <c r="AI42" s="14">
        <f>IF('Données projet'!$A$62&gt;35,AI41+AH42-AQ41,IF(A42&lt;'Données projet'!$A$62,$AF$205^A42,IF(A42='Données projet'!$A$62,'Données projet'!$B$62,AI41+AH42-AQ41)))</f>
        <v>212.20000000000005</v>
      </c>
      <c r="AJ42" s="14">
        <f>AI42*VLOOKUP('Données projet'!$B$10,Paramètres!$A$1:$I$89,3,0)*VLOOKUP('Données projet'!$B$10,Paramètres!$A$1:$I$89,5,0)</f>
        <v>139.03344000000001</v>
      </c>
      <c r="AK42" s="14">
        <f t="shared" si="35"/>
        <v>36.075490970935512</v>
      </c>
      <c r="AL42" s="22">
        <f t="shared" si="4"/>
        <v>304.98138810771269</v>
      </c>
      <c r="AM42" s="58">
        <f t="shared" si="5"/>
        <v>551.99078519781983</v>
      </c>
      <c r="AN42" s="58">
        <f ca="1">AVERAGE(OFFSET($AM$3,0,0,'Données projet'!$E$10+1,1))-AVERAGE(OFFSET($H$3,0,0,'Données projet'!$E$10+1,1))</f>
        <v>302.53318056366777</v>
      </c>
      <c r="AO42" s="58">
        <f t="shared" si="36"/>
        <v>318.32262615164541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2.127100307074921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2.127100307074921</v>
      </c>
      <c r="AY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9.4399999999999977</v>
      </c>
      <c r="BD42" s="13">
        <f>IF('Données projet'!$A$88&gt;35,BD41+BC42-BL41,IF(A42&lt;'Données projet'!$A$88,$BA$205^A42,IF(A42='Données projet'!$A$88,'Données projet'!$B$88,BD41+BC42-BL41)))</f>
        <v>210.16</v>
      </c>
      <c r="BE42" s="14">
        <f>BD42*VLOOKUP('Données projet'!$B$11,Paramètres!$A$1:$I$89,3,0)*VLOOKUP('Données projet'!$B$11,Paramètres!$A$1:$I$89,5,0)</f>
        <v>167.20329600000002</v>
      </c>
      <c r="BF42" s="14">
        <f t="shared" si="37"/>
        <v>42.463051496825123</v>
      </c>
      <c r="BG42" s="22">
        <f t="shared" si="7"/>
        <v>365.16888855697044</v>
      </c>
      <c r="BH42" s="58">
        <f t="shared" si="8"/>
        <v>612.17828564707759</v>
      </c>
      <c r="BI42" s="58">
        <f ca="1">AVERAGE(OFFSET($BH$3,0,0,'Données projet'!$E$11+1,1))-AVERAGE(OFFSET($H$3,0,0,'Données projet'!$E$11+1,1))</f>
        <v>336.25341821407534</v>
      </c>
      <c r="BJ42" s="58">
        <f t="shared" si="38"/>
        <v>360.3246221345039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4.0518337773245339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4.0518337773245339</v>
      </c>
      <c r="BT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6</v>
      </c>
      <c r="BY42" s="13">
        <f>IF('Données projet'!$A$114&gt;35,BY41+BX42-CG41,IF(A42&lt;'Données projet'!$A$114,$BV$205^A42,IF(A42='Données projet'!$A$114,'Données projet'!$B$114,BY41+BX42-CG41)))</f>
        <v>144.99999999999997</v>
      </c>
      <c r="BZ42" s="14">
        <f>BY42*VLOOKUP('Données projet'!$B$12,Paramètres!$A$1:$I$89,3,0)*VLOOKUP('Données projet'!$B$12,Paramètres!$A$1:$I$89,5,0)</f>
        <v>117.624</v>
      </c>
      <c r="CA42" s="14">
        <f t="shared" si="39"/>
        <v>31.120192961985413</v>
      </c>
      <c r="CB42" s="22">
        <f t="shared" si="10"/>
        <v>259.06280274212457</v>
      </c>
      <c r="CC42" s="58">
        <f t="shared" si="11"/>
        <v>506.07219983223172</v>
      </c>
      <c r="CD42" s="58">
        <f ca="1">AVERAGE(OFFSET($CC$3,0,0,'Données projet'!$E$12+1,1))-AVERAGE(OFFSET($H$3,0,0,'Données projet'!$E$12+1,1))</f>
        <v>308.58270639204238</v>
      </c>
      <c r="CE42" s="58">
        <f t="shared" si="40"/>
        <v>258.90832875500325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5.8974358974359005</v>
      </c>
      <c r="CT42" s="13">
        <f>IF('Données projet'!$A$140&gt;35,CT41+CS42-DB41,IF(A42&lt;'Données projet'!$A$140,$CQ$205^A42,IF(A42='Données projet'!$A$140,'Données projet'!$B$140,CT41+CS42-DB41)))</f>
        <v>146.66666666666671</v>
      </c>
      <c r="CU42" s="18">
        <f>CT42*VLOOKUP('Données projet'!$B$13,Paramètres!$A$1:$I$89,3,0)*VLOOKUP('Données projet'!$B$13,Paramètres!$A$1:$I$89,5,0)</f>
        <v>139.56800000000004</v>
      </c>
      <c r="CV42" s="14">
        <f t="shared" si="41"/>
        <v>36.198022567902328</v>
      </c>
      <c r="CW42" s="22">
        <f t="shared" si="13"/>
        <v>306.12582263909667</v>
      </c>
      <c r="CX42" s="58">
        <f t="shared" si="14"/>
        <v>553.13521972920375</v>
      </c>
      <c r="CY42" s="58">
        <f ca="1">AVERAGE(OFFSET($CX$3,0,0,'Données projet'!$E$13+1,1))-AVERAGE(OFFSET($H$3,0,0,'Données projet'!$E$13+1,1))</f>
        <v>397.61813291201469</v>
      </c>
      <c r="CZ42" s="58">
        <f t="shared" si="42"/>
        <v>320.30651625485064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2.4754486937494318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2.4754486937494318</v>
      </c>
      <c r="DJ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58" t="e">
        <f t="shared" si="17"/>
        <v>#N/A</v>
      </c>
      <c r="DT42" s="58" t="e">
        <f ca="1">AVERAGE(OFFSET($DS$3,0,0,'Données projet'!$E$14+1,1))-AVERAGE(OFFSET($H$3,0,0,'Données projet'!$E$14+1,1))</f>
        <v>#N/A</v>
      </c>
      <c r="DU42" s="58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58" t="e">
        <f t="shared" si="20"/>
        <v>#N/A</v>
      </c>
      <c r="EO42" s="58" t="e">
        <f ca="1">AVERAGE(OFFSET($EN$3,0,0,'Données projet'!$E$15+1,1))-AVERAGE(OFFSET($H$3,0,0,'Données projet'!$E$15+1,1))</f>
        <v>#N/A</v>
      </c>
      <c r="EP42" s="58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58" t="e">
        <f t="shared" si="23"/>
        <v>#N/A</v>
      </c>
      <c r="FJ42" s="58" t="e">
        <f ca="1">AVERAGE(OFFSET($FI$3,0,0,'Données projet'!$E$16+1,1))-AVERAGE(OFFSET($H$3,0,0,'Données projet'!$E$16+1,1))</f>
        <v>#N/A</v>
      </c>
      <c r="FK42" s="58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58" t="e">
        <f t="shared" si="26"/>
        <v>#N/A</v>
      </c>
      <c r="GE42" s="58" t="e">
        <f ca="1">AVERAGE(OFFSET($GD$3,0,0,'Données projet'!$E$17+1,1))-AVERAGE(OFFSET($H$3,0,0,'Données projet'!$E$17+1,1))</f>
        <v>#N/A</v>
      </c>
      <c r="GF42" s="58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58" t="e">
        <f t="shared" si="29"/>
        <v>#N/A</v>
      </c>
      <c r="GZ42" s="58" t="e">
        <f ca="1">AVERAGE(OFFSET($GY$3,0,0,'Données projet'!$E$18+1,1))-AVERAGE(OFFSET($H$3,0,0,'Données projet'!$E$18+1,1))</f>
        <v>#N/A</v>
      </c>
      <c r="HA42" s="58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0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3">
        <f t="shared" si="1"/>
        <v>183.33333333333334</v>
      </c>
      <c r="I43" s="6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147.42000000000004</v>
      </c>
      <c r="P43" s="14">
        <f t="shared" si="33"/>
        <v>37.991680647570327</v>
      </c>
      <c r="Q43" s="22">
        <f t="shared" si="53"/>
        <v>322.92534379451837</v>
      </c>
      <c r="R43" s="58">
        <f t="shared" si="0"/>
        <v>570.73835761363921</v>
      </c>
      <c r="S43" s="58">
        <f ca="1">AVERAGE(OFFSET($R$3,0,0,'Données projet'!$E$9+1,1))-AVERAGE(OFFSET($H$3,0,0,'Données projet'!$E$9+1,1))</f>
        <v>527.70171871461309</v>
      </c>
      <c r="T43" s="58">
        <f t="shared" si="34"/>
        <v>281.06176764290592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220</v>
      </c>
      <c r="AG43" s="13">
        <f>VLOOKUP(A43,'Données projet'!$A$61:$I$81,9,0)</f>
        <v>7.8</v>
      </c>
      <c r="AH43" s="13">
        <f t="array" ref="AH43">INDEX(AG:AG,MIN(IF(ISNUMBER(AG43:AG239),ROW(AG43:AG239),"")))</f>
        <v>7.8</v>
      </c>
      <c r="AI43" s="14">
        <f>IF('Données projet'!$A$62&gt;35,AI42+AH43-AQ42,IF(A43&lt;'Données projet'!$A$62,$AF$205^A43,IF(A43='Données projet'!$A$62,'Données projet'!$B$62,AI42+AH43-AQ42)))</f>
        <v>220.00000000000006</v>
      </c>
      <c r="AJ43" s="14">
        <f>AI43*VLOOKUP('Données projet'!$B$10,Paramètres!$A$1:$I$89,3,0)*VLOOKUP('Données projet'!$B$10,Paramètres!$A$1:$I$89,5,0)</f>
        <v>144.14400000000003</v>
      </c>
      <c r="AK43" s="14">
        <f t="shared" si="35"/>
        <v>37.244720006976252</v>
      </c>
      <c r="AL43" s="22">
        <f t="shared" si="4"/>
        <v>315.9186873454837</v>
      </c>
      <c r="AM43" s="58">
        <f t="shared" si="5"/>
        <v>563.73170116460449</v>
      </c>
      <c r="AN43" s="58">
        <f ca="1">AVERAGE(OFFSET($AM$3,0,0,'Données projet'!$E$10+1,1))-AVERAGE(OFFSET($H$3,0,0,'Données projet'!$E$10+1,1))</f>
        <v>302.53318056366777</v>
      </c>
      <c r="AO43" s="58">
        <f t="shared" si="36"/>
        <v>318.32262615164541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50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2.0689346373186139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2.0689346373186139</v>
      </c>
      <c r="AY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219.6</v>
      </c>
      <c r="BB43" s="13">
        <f>VLOOKUP(A43,'Données projet'!$A$87:$I$107,9,0)</f>
        <v>9.4399999999999977</v>
      </c>
      <c r="BC43" s="13">
        <f t="array" ref="BC43">INDEX(BB:BB,MIN(IF(ISNUMBER(BB43:BB239),ROW(BB43:BB239),"")))</f>
        <v>9.4399999999999977</v>
      </c>
      <c r="BD43" s="13">
        <f>IF('Données projet'!$A$88&gt;35,BD42+BC43-BL42,IF(A43&lt;'Données projet'!$A$88,$BA$205^A43,IF(A43='Données projet'!$A$88,'Données projet'!$B$88,BD42+BC43-BL42)))</f>
        <v>219.6</v>
      </c>
      <c r="BE43" s="14">
        <f>BD43*VLOOKUP('Données projet'!$B$11,Paramètres!$A$1:$I$89,3,0)*VLOOKUP('Données projet'!$B$11,Paramètres!$A$1:$I$89,5,0)</f>
        <v>174.71376000000001</v>
      </c>
      <c r="BF43" s="14">
        <f t="shared" si="37"/>
        <v>44.144062647515817</v>
      </c>
      <c r="BG43" s="22">
        <f t="shared" si="7"/>
        <v>381.17737444442338</v>
      </c>
      <c r="BH43" s="58">
        <f t="shared" si="8"/>
        <v>628.99038826354422</v>
      </c>
      <c r="BI43" s="58">
        <f ca="1">AVERAGE(OFFSET($BH$3,0,0,'Données projet'!$E$11+1,1))-AVERAGE(OFFSET($H$3,0,0,'Données projet'!$E$11+1,1))</f>
        <v>336.25341821407534</v>
      </c>
      <c r="BJ43" s="58">
        <f t="shared" si="38"/>
        <v>360.3246221345039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3.9410361696069169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3.9410361696069169</v>
      </c>
      <c r="BT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151</v>
      </c>
      <c r="BW43" s="13">
        <f>VLOOKUP(A43,'Données projet'!$A$113:$I$133,9,0)</f>
        <v>6</v>
      </c>
      <c r="BX43" s="13">
        <f t="array" ref="BX43">INDEX(BW:BW,MIN(IF(ISNUMBER(BW43:BW239),ROW(BW43:BW239),"")))</f>
        <v>6</v>
      </c>
      <c r="BY43" s="13">
        <f>IF('Données projet'!$A$114&gt;35,BY42+BX43-CG42,IF(A43&lt;'Données projet'!$A$114,$BV$205^A43,IF(A43='Données projet'!$A$114,'Données projet'!$B$114,BY42+BX43-CG42)))</f>
        <v>150.99999999999997</v>
      </c>
      <c r="BZ43" s="14">
        <f>BY43*VLOOKUP('Données projet'!$B$12,Paramètres!$A$1:$I$89,3,0)*VLOOKUP('Données projet'!$B$12,Paramètres!$A$1:$I$89,5,0)</f>
        <v>122.49119999999998</v>
      </c>
      <c r="CA43" s="14">
        <f t="shared" si="39"/>
        <v>32.255334127777445</v>
      </c>
      <c r="CB43" s="22">
        <f t="shared" si="10"/>
        <v>269.51688027254562</v>
      </c>
      <c r="CC43" s="58">
        <f t="shared" si="11"/>
        <v>517.32989409166646</v>
      </c>
      <c r="CD43" s="58">
        <f ca="1">AVERAGE(OFFSET($CC$3,0,0,'Données projet'!$E$12+1,1))-AVERAGE(OFFSET($H$3,0,0,'Données projet'!$E$12+1,1))</f>
        <v>308.58270639204238</v>
      </c>
      <c r="CE43" s="58">
        <f t="shared" si="40"/>
        <v>258.90832875500325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27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152.56410256410257</v>
      </c>
      <c r="CR43" s="13">
        <f>VLOOKUP(A43,'Données projet'!$A$139:$I$159,9,0)</f>
        <v>5.8974358974359005</v>
      </c>
      <c r="CS43" s="13">
        <f t="array" ref="CS43">INDEX(CR:CR,MIN(IF(ISNUMBER(CR43:CR239),ROW(CR43:CR239),"")))</f>
        <v>5.8974358974359005</v>
      </c>
      <c r="CT43" s="13">
        <f>IF('Données projet'!$A$140&gt;35,CT42+CS43-DB42,IF(A43&lt;'Données projet'!$A$140,$CQ$205^A43,IF(A43='Données projet'!$A$140,'Données projet'!$B$140,CT42+CS43-DB42)))</f>
        <v>152.56410256410263</v>
      </c>
      <c r="CU43" s="18">
        <f>CT43*VLOOKUP('Données projet'!$B$13,Paramètres!$A$1:$I$89,3,0)*VLOOKUP('Données projet'!$B$13,Paramètres!$A$1:$I$89,5,0)</f>
        <v>145.18000000000006</v>
      </c>
      <c r="CV43" s="14">
        <f t="shared" si="41"/>
        <v>37.481149901429063</v>
      </c>
      <c r="CW43" s="22">
        <f t="shared" si="13"/>
        <v>318.13483607832239</v>
      </c>
      <c r="CX43" s="58">
        <f t="shared" si="14"/>
        <v>565.94784989744323</v>
      </c>
      <c r="CY43" s="58">
        <f ca="1">AVERAGE(OFFSET($CX$3,0,0,'Données projet'!$E$13+1,1))-AVERAGE(OFFSET($H$3,0,0,'Données projet'!$E$13+1,1))</f>
        <v>397.61813291201469</v>
      </c>
      <c r="CZ43" s="58">
        <f t="shared" si="42"/>
        <v>320.30651625485064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28.846153846153847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2.4077574190406645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2.4077574190406645</v>
      </c>
      <c r="DJ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58" t="e">
        <f t="shared" si="17"/>
        <v>#N/A</v>
      </c>
      <c r="DT43" s="58" t="e">
        <f ca="1">AVERAGE(OFFSET($DS$3,0,0,'Données projet'!$E$14+1,1))-AVERAGE(OFFSET($H$3,0,0,'Données projet'!$E$14+1,1))</f>
        <v>#N/A</v>
      </c>
      <c r="DU43" s="58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58" t="e">
        <f t="shared" si="20"/>
        <v>#N/A</v>
      </c>
      <c r="EO43" s="58" t="e">
        <f ca="1">AVERAGE(OFFSET($EN$3,0,0,'Données projet'!$E$15+1,1))-AVERAGE(OFFSET($H$3,0,0,'Données projet'!$E$15+1,1))</f>
        <v>#N/A</v>
      </c>
      <c r="EP43" s="58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58" t="e">
        <f t="shared" si="23"/>
        <v>#N/A</v>
      </c>
      <c r="FJ43" s="58" t="e">
        <f ca="1">AVERAGE(OFFSET($FI$3,0,0,'Données projet'!$E$16+1,1))-AVERAGE(OFFSET($H$3,0,0,'Données projet'!$E$16+1,1))</f>
        <v>#N/A</v>
      </c>
      <c r="FK43" s="58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58" t="e">
        <f t="shared" si="26"/>
        <v>#N/A</v>
      </c>
      <c r="GE43" s="58" t="e">
        <f ca="1">AVERAGE(OFFSET($GD$3,0,0,'Données projet'!$E$17+1,1))-AVERAGE(OFFSET($H$3,0,0,'Données projet'!$E$17+1,1))</f>
        <v>#N/A</v>
      </c>
      <c r="GF43" s="58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58" t="e">
        <f t="shared" si="29"/>
        <v>#N/A</v>
      </c>
      <c r="GZ43" s="58" t="e">
        <f ca="1">AVERAGE(OFFSET($GY$3,0,0,'Données projet'!$E$18+1,1))-AVERAGE(OFFSET($H$3,0,0,'Données projet'!$E$18+1,1))</f>
        <v>#N/A</v>
      </c>
      <c r="HA43" s="58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0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3">
        <f t="shared" si="1"/>
        <v>183.33333333333334</v>
      </c>
      <c r="I44" s="6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157.02336000000003</v>
      </c>
      <c r="P44" s="14">
        <f t="shared" si="33"/>
        <v>40.170393914171662</v>
      </c>
      <c r="Q44" s="22">
        <f t="shared" si="53"/>
        <v>343.44578806718232</v>
      </c>
      <c r="R44" s="58">
        <f t="shared" si="0"/>
        <v>592.04847766168632</v>
      </c>
      <c r="S44" s="58">
        <f ca="1">AVERAGE(OFFSET($R$3,0,0,'Données projet'!$E$9+1,1))-AVERAGE(OFFSET($H$3,0,0,'Données projet'!$E$9+1,1))</f>
        <v>527.70171871461309</v>
      </c>
      <c r="T44" s="58">
        <f t="shared" si="34"/>
        <v>281.06176764290592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7.4</v>
      </c>
      <c r="AI44" s="14">
        <f>IF('Données projet'!$A$62&gt;35,AI43+AH44-AQ43,IF(A44&lt;'Données projet'!$A$62,$AF$205^A44,IF(A44='Données projet'!$A$62,'Données projet'!$B$62,AI43+AH44-AQ43)))</f>
        <v>177.40000000000006</v>
      </c>
      <c r="AJ44" s="14">
        <f>AI44*VLOOKUP('Données projet'!$B$10,Paramètres!$A$1:$I$89,3,0)*VLOOKUP('Données projet'!$B$10,Paramètres!$A$1:$I$89,5,0)</f>
        <v>116.23248000000004</v>
      </c>
      <c r="AK44" s="14">
        <f t="shared" si="35"/>
        <v>30.794662422308217</v>
      </c>
      <c r="AL44" s="22">
        <f t="shared" si="4"/>
        <v>256.07227305218686</v>
      </c>
      <c r="AM44" s="58">
        <f t="shared" si="5"/>
        <v>504.6749626466908</v>
      </c>
      <c r="AN44" s="58">
        <f ca="1">AVERAGE(OFFSET($AM$3,0,0,'Données projet'!$E$10+1,1))-AVERAGE(OFFSET($H$3,0,0,'Données projet'!$E$10+1,1))</f>
        <v>302.53318056366777</v>
      </c>
      <c r="AO44" s="58">
        <f t="shared" si="36"/>
        <v>318.32262615164541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2.0123595108605925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2.0123595108605925</v>
      </c>
      <c r="AY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8.2000000000000064</v>
      </c>
      <c r="BD44" s="13">
        <f>IF('Données projet'!$A$88&gt;35,BD43+BC44-BL43,IF(A44&lt;'Données projet'!$A$88,$BA$205^A44,IF(A44='Données projet'!$A$88,'Données projet'!$B$88,BD43+BC44-BL43)))</f>
        <v>171.8</v>
      </c>
      <c r="BE44" s="14">
        <f>BD44*VLOOKUP('Données projet'!$B$11,Paramètres!$A$1:$I$89,3,0)*VLOOKUP('Données projet'!$B$11,Paramètres!$A$1:$I$89,5,0)</f>
        <v>136.68408000000002</v>
      </c>
      <c r="BF44" s="14">
        <f t="shared" si="37"/>
        <v>35.536318307654433</v>
      </c>
      <c r="BG44" s="22">
        <f t="shared" si="7"/>
        <v>299.9505270524981</v>
      </c>
      <c r="BH44" s="58">
        <f t="shared" si="8"/>
        <v>548.55321664700205</v>
      </c>
      <c r="BI44" s="58">
        <f ca="1">AVERAGE(OFFSET($BH$3,0,0,'Données projet'!$E$11+1,1))-AVERAGE(OFFSET($H$3,0,0,'Données projet'!$E$11+1,1))</f>
        <v>336.25341821407534</v>
      </c>
      <c r="BJ44" s="58">
        <f t="shared" si="38"/>
        <v>360.3246221345039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3.833268328298931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3.833268328298931</v>
      </c>
      <c r="BT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6.4</v>
      </c>
      <c r="BY44" s="13">
        <f>IF('Données projet'!$A$114&gt;35,BY43+BX44-CG43,IF(A44&lt;'Données projet'!$A$114,$BV$205^A44,IF(A44='Données projet'!$A$114,'Données projet'!$B$114,BY43+BX44-CG43)))</f>
        <v>130.39999999999998</v>
      </c>
      <c r="BZ44" s="14">
        <f>BY44*VLOOKUP('Données projet'!$B$12,Paramètres!$A$1:$I$89,3,0)*VLOOKUP('Données projet'!$B$12,Paramètres!$A$1:$I$89,5,0)</f>
        <v>105.78048</v>
      </c>
      <c r="CA44" s="14">
        <f t="shared" si="39"/>
        <v>28.334580954973664</v>
      </c>
      <c r="CB44" s="22">
        <f t="shared" si="10"/>
        <v>233.5837311632458</v>
      </c>
      <c r="CC44" s="58">
        <f t="shared" si="11"/>
        <v>482.18642075774977</v>
      </c>
      <c r="CD44" s="58">
        <f ca="1">AVERAGE(OFFSET($CC$3,0,0,'Données projet'!$E$12+1,1))-AVERAGE(OFFSET($H$3,0,0,'Données projet'!$E$12+1,1))</f>
        <v>308.58270639204238</v>
      </c>
      <c r="CE44" s="58">
        <f t="shared" si="40"/>
        <v>258.90832875500325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5.7692307692307683</v>
      </c>
      <c r="CT44" s="13">
        <f>IF('Données projet'!$A$140&gt;35,CT43+CS44-DB43,IF(A44&lt;'Données projet'!$A$140,$CQ$205^A44,IF(A44='Données projet'!$A$140,'Données projet'!$B$140,CT43+CS44-DB43)))</f>
        <v>129.48717948717956</v>
      </c>
      <c r="CU44" s="18">
        <f>CT44*VLOOKUP('Données projet'!$B$13,Paramètres!$A$1:$I$89,3,0)*VLOOKUP('Données projet'!$B$13,Paramètres!$A$1:$I$89,5,0)</f>
        <v>123.22000000000007</v>
      </c>
      <c r="CV44" s="14">
        <f t="shared" si="41"/>
        <v>32.42485010818541</v>
      </c>
      <c r="CW44" s="22">
        <f t="shared" si="13"/>
        <v>271.08144727175642</v>
      </c>
      <c r="CX44" s="58">
        <f t="shared" si="14"/>
        <v>519.68413686626036</v>
      </c>
      <c r="CY44" s="58">
        <f ca="1">AVERAGE(OFFSET($CX$3,0,0,'Données projet'!$E$13+1,1))-AVERAGE(OFFSET($H$3,0,0,'Données projet'!$E$13+1,1))</f>
        <v>397.61813291201469</v>
      </c>
      <c r="CZ44" s="58">
        <f t="shared" si="42"/>
        <v>320.30651625485064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2.341917165798538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2.341917165798538</v>
      </c>
      <c r="DJ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58" t="e">
        <f t="shared" si="17"/>
        <v>#N/A</v>
      </c>
      <c r="DT44" s="58" t="e">
        <f ca="1">AVERAGE(OFFSET($DS$3,0,0,'Données projet'!$E$14+1,1))-AVERAGE(OFFSET($H$3,0,0,'Données projet'!$E$14+1,1))</f>
        <v>#N/A</v>
      </c>
      <c r="DU44" s="58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58" t="e">
        <f t="shared" si="20"/>
        <v>#N/A</v>
      </c>
      <c r="EO44" s="58" t="e">
        <f ca="1">AVERAGE(OFFSET($EN$3,0,0,'Données projet'!$E$15+1,1))-AVERAGE(OFFSET($H$3,0,0,'Données projet'!$E$15+1,1))</f>
        <v>#N/A</v>
      </c>
      <c r="EP44" s="58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58" t="e">
        <f t="shared" si="23"/>
        <v>#N/A</v>
      </c>
      <c r="FJ44" s="58" t="e">
        <f ca="1">AVERAGE(OFFSET($FI$3,0,0,'Données projet'!$E$16+1,1))-AVERAGE(OFFSET($H$3,0,0,'Données projet'!$E$16+1,1))</f>
        <v>#N/A</v>
      </c>
      <c r="FK44" s="58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58" t="e">
        <f t="shared" si="26"/>
        <v>#N/A</v>
      </c>
      <c r="GE44" s="58" t="e">
        <f ca="1">AVERAGE(OFFSET($GD$3,0,0,'Données projet'!$E$17+1,1))-AVERAGE(OFFSET($H$3,0,0,'Données projet'!$E$17+1,1))</f>
        <v>#N/A</v>
      </c>
      <c r="GF44" s="58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58" t="e">
        <f t="shared" si="29"/>
        <v>#N/A</v>
      </c>
      <c r="GZ44" s="58" t="e">
        <f ca="1">AVERAGE(OFFSET($GY$3,0,0,'Données projet'!$E$18+1,1))-AVERAGE(OFFSET($H$3,0,0,'Données projet'!$E$18+1,1))</f>
        <v>#N/A</v>
      </c>
      <c r="HA44" s="58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0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3">
        <f t="shared" si="1"/>
        <v>183.33333333333334</v>
      </c>
      <c r="I45" s="6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166.62672000000003</v>
      </c>
      <c r="P45" s="14">
        <f t="shared" si="33"/>
        <v>42.333642074689422</v>
      </c>
      <c r="Q45" s="22">
        <f t="shared" si="53"/>
        <v>363.93929728008408</v>
      </c>
      <c r="R45" s="58">
        <f t="shared" si="0"/>
        <v>613.31796354071878</v>
      </c>
      <c r="S45" s="58">
        <f ca="1">AVERAGE(OFFSET($R$3,0,0,'Données projet'!$E$9+1,1))-AVERAGE(OFFSET($H$3,0,0,'Données projet'!$E$9+1,1))</f>
        <v>527.70171871461309</v>
      </c>
      <c r="T45" s="58">
        <f t="shared" si="34"/>
        <v>281.06176764290592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7.4</v>
      </c>
      <c r="AI45" s="14">
        <f>IF('Données projet'!$A$62&gt;35,AI44+AH45-AQ44,IF(A45&lt;'Données projet'!$A$62,$AF$205^A45,IF(A45='Données projet'!$A$62,'Données projet'!$B$62,AI44+AH45-AQ44)))</f>
        <v>184.80000000000007</v>
      </c>
      <c r="AJ45" s="14">
        <f>AI45*VLOOKUP('Données projet'!$B$10,Paramètres!$A$1:$I$89,3,0)*VLOOKUP('Données projet'!$B$10,Paramètres!$A$1:$I$89,5,0)</f>
        <v>121.08096000000005</v>
      </c>
      <c r="AK45" s="14">
        <f t="shared" si="35"/>
        <v>31.92698372788707</v>
      </c>
      <c r="AL45" s="22">
        <f t="shared" si="4"/>
        <v>266.48883532607005</v>
      </c>
      <c r="AM45" s="58">
        <f t="shared" si="5"/>
        <v>515.86750158670475</v>
      </c>
      <c r="AN45" s="58">
        <f ca="1">AVERAGE(OFFSET($AM$3,0,0,'Données projet'!$E$10+1,1))-AVERAGE(OFFSET($H$3,0,0,'Données projet'!$E$10+1,1))</f>
        <v>302.53318056366777</v>
      </c>
      <c r="AO45" s="58">
        <f t="shared" si="36"/>
        <v>318.32262615164541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1.9573314342107222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1.9573314342107222</v>
      </c>
      <c r="AY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8.2000000000000064</v>
      </c>
      <c r="BD45" s="13">
        <f>IF('Données projet'!$A$88&gt;35,BD44+BC45-BL44,IF(A45&lt;'Données projet'!$A$88,$BA$205^A45,IF(A45='Données projet'!$A$88,'Données projet'!$B$88,BD44+BC45-BL44)))</f>
        <v>180.00000000000003</v>
      </c>
      <c r="BE45" s="14">
        <f>BD45*VLOOKUP('Données projet'!$B$11,Paramètres!$A$1:$I$89,3,0)*VLOOKUP('Données projet'!$B$11,Paramètres!$A$1:$I$89,5,0)</f>
        <v>143.20800000000003</v>
      </c>
      <c r="BF45" s="14">
        <f t="shared" si="37"/>
        <v>37.030941422835831</v>
      </c>
      <c r="BG45" s="22">
        <f t="shared" si="7"/>
        <v>313.91615631143912</v>
      </c>
      <c r="BH45" s="58">
        <f t="shared" si="8"/>
        <v>563.29482257207383</v>
      </c>
      <c r="BI45" s="58">
        <f ca="1">AVERAGE(OFFSET($BH$3,0,0,'Données projet'!$E$11+1,1))-AVERAGE(OFFSET($H$3,0,0,'Données projet'!$E$11+1,1))</f>
        <v>336.25341821407534</v>
      </c>
      <c r="BJ45" s="58">
        <f t="shared" si="38"/>
        <v>360.3246221345039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3.7284474042787763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3.7284474042787763</v>
      </c>
      <c r="BT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6.4</v>
      </c>
      <c r="BY45" s="13">
        <f>IF('Données projet'!$A$114&gt;35,BY44+BX45-CG44,IF(A45&lt;'Données projet'!$A$114,$BV$205^A45,IF(A45='Données projet'!$A$114,'Données projet'!$B$114,BY44+BX45-CG44)))</f>
        <v>136.79999999999998</v>
      </c>
      <c r="BZ45" s="14">
        <f>BY45*VLOOKUP('Données projet'!$B$12,Paramètres!$A$1:$I$89,3,0)*VLOOKUP('Données projet'!$B$12,Paramètres!$A$1:$I$89,5,0)</f>
        <v>110.97216</v>
      </c>
      <c r="CA45" s="14">
        <f t="shared" si="39"/>
        <v>29.559915623187329</v>
      </c>
      <c r="CB45" s="22">
        <f t="shared" si="10"/>
        <v>244.7600317103846</v>
      </c>
      <c r="CC45" s="58">
        <f t="shared" si="11"/>
        <v>494.13869797101933</v>
      </c>
      <c r="CD45" s="58">
        <f ca="1">AVERAGE(OFFSET($CC$3,0,0,'Données projet'!$E$12+1,1))-AVERAGE(OFFSET($H$3,0,0,'Données projet'!$E$12+1,1))</f>
        <v>308.58270639204238</v>
      </c>
      <c r="CE45" s="58">
        <f t="shared" si="40"/>
        <v>258.90832875500325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5.7692307692307683</v>
      </c>
      <c r="CT45" s="13">
        <f>IF('Données projet'!$A$140&gt;35,CT44+CS45-DB44,IF(A45&lt;'Données projet'!$A$140,$CQ$205^A45,IF(A45='Données projet'!$A$140,'Données projet'!$B$140,CT44+CS45-DB44)))</f>
        <v>135.25641025641033</v>
      </c>
      <c r="CU45" s="18">
        <f>CT45*VLOOKUP('Données projet'!$B$13,Paramètres!$A$1:$I$89,3,0)*VLOOKUP('Données projet'!$B$13,Paramètres!$A$1:$I$89,5,0)</f>
        <v>128.71000000000009</v>
      </c>
      <c r="CV45" s="14">
        <f t="shared" si="41"/>
        <v>33.698105419900322</v>
      </c>
      <c r="CW45" s="22">
        <f t="shared" si="13"/>
        <v>282.86078360632649</v>
      </c>
      <c r="CX45" s="58">
        <f t="shared" si="14"/>
        <v>532.23944986696119</v>
      </c>
      <c r="CY45" s="58">
        <f ca="1">AVERAGE(OFFSET($CX$3,0,0,'Données projet'!$E$13+1,1))-AVERAGE(OFFSET($H$3,0,0,'Données projet'!$E$13+1,1))</f>
        <v>397.61813291201469</v>
      </c>
      <c r="CZ45" s="58">
        <f t="shared" si="42"/>
        <v>320.30651625485064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2.2778773177437057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2.2778773177437057</v>
      </c>
      <c r="DJ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58" t="e">
        <f t="shared" si="17"/>
        <v>#N/A</v>
      </c>
      <c r="DT45" s="58" t="e">
        <f ca="1">AVERAGE(OFFSET($DS$3,0,0,'Données projet'!$E$14+1,1))-AVERAGE(OFFSET($H$3,0,0,'Données projet'!$E$14+1,1))</f>
        <v>#N/A</v>
      </c>
      <c r="DU45" s="58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58" t="e">
        <f t="shared" si="20"/>
        <v>#N/A</v>
      </c>
      <c r="EO45" s="58" t="e">
        <f ca="1">AVERAGE(OFFSET($EN$3,0,0,'Données projet'!$E$15+1,1))-AVERAGE(OFFSET($H$3,0,0,'Données projet'!$E$15+1,1))</f>
        <v>#N/A</v>
      </c>
      <c r="EP45" s="58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58" t="e">
        <f t="shared" si="23"/>
        <v>#N/A</v>
      </c>
      <c r="FJ45" s="58" t="e">
        <f ca="1">AVERAGE(OFFSET($FI$3,0,0,'Données projet'!$E$16+1,1))-AVERAGE(OFFSET($H$3,0,0,'Données projet'!$E$16+1,1))</f>
        <v>#N/A</v>
      </c>
      <c r="FK45" s="58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58" t="e">
        <f t="shared" si="26"/>
        <v>#N/A</v>
      </c>
      <c r="GE45" s="58" t="e">
        <f ca="1">AVERAGE(OFFSET($GD$3,0,0,'Données projet'!$E$17+1,1))-AVERAGE(OFFSET($H$3,0,0,'Données projet'!$E$17+1,1))</f>
        <v>#N/A</v>
      </c>
      <c r="GF45" s="58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58" t="e">
        <f t="shared" si="29"/>
        <v>#N/A</v>
      </c>
      <c r="GZ45" s="58" t="e">
        <f ca="1">AVERAGE(OFFSET($GY$3,0,0,'Données projet'!$E$18+1,1))-AVERAGE(OFFSET($H$3,0,0,'Données projet'!$E$18+1,1))</f>
        <v>#N/A</v>
      </c>
      <c r="HA45" s="58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0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3">
        <f t="shared" si="1"/>
        <v>183.33333333333334</v>
      </c>
      <c r="I46" s="6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176.23008000000004</v>
      </c>
      <c r="P46" s="14">
        <f t="shared" si="33"/>
        <v>44.482417993768294</v>
      </c>
      <c r="Q46" s="22">
        <f t="shared" si="53"/>
        <v>384.40760067247987</v>
      </c>
      <c r="R46" s="58">
        <f t="shared" si="0"/>
        <v>634.54878213891197</v>
      </c>
      <c r="S46" s="58">
        <f ca="1">AVERAGE(OFFSET($R$3,0,0,'Données projet'!$E$9+1,1))-AVERAGE(OFFSET($H$3,0,0,'Données projet'!$E$9+1,1))</f>
        <v>527.70171871461309</v>
      </c>
      <c r="T46" s="58">
        <f t="shared" si="34"/>
        <v>281.06176764290592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7.4</v>
      </c>
      <c r="AI46" s="14">
        <f>IF('Données projet'!$A$62&gt;35,AI45+AH46-AQ45,IF(A46&lt;'Données projet'!$A$62,$AF$205^A46,IF(A46='Données projet'!$A$62,'Données projet'!$B$62,AI45+AH46-AQ45)))</f>
        <v>192.20000000000007</v>
      </c>
      <c r="AJ46" s="14">
        <f>AI46*VLOOKUP('Données projet'!$B$10,Paramètres!$A$1:$I$89,3,0)*VLOOKUP('Données projet'!$B$10,Paramètres!$A$1:$I$89,5,0)</f>
        <v>125.92944000000006</v>
      </c>
      <c r="AK46" s="14">
        <f t="shared" si="35"/>
        <v>33.054038034052077</v>
      </c>
      <c r="AL46" s="22">
        <f t="shared" si="4"/>
        <v>276.89622424264081</v>
      </c>
      <c r="AM46" s="58">
        <f t="shared" si="5"/>
        <v>527.0374057090728</v>
      </c>
      <c r="AN46" s="58">
        <f ca="1">AVERAGE(OFFSET($AM$3,0,0,'Données projet'!$E$10+1,1))-AVERAGE(OFFSET($H$3,0,0,'Données projet'!$E$10+1,1))</f>
        <v>302.53318056366777</v>
      </c>
      <c r="AO46" s="58">
        <f t="shared" si="36"/>
        <v>318.32262615164541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1.9038081032106433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1.9038081032106433</v>
      </c>
      <c r="AY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8.2000000000000064</v>
      </c>
      <c r="BD46" s="13">
        <f>IF('Données projet'!$A$88&gt;35,BD45+BC46-BL45,IF(A46&lt;'Données projet'!$A$88,$BA$205^A46,IF(A46='Données projet'!$A$88,'Données projet'!$B$88,BD45+BC46-BL45)))</f>
        <v>188.20000000000005</v>
      </c>
      <c r="BE46" s="14">
        <f>BD46*VLOOKUP('Données projet'!$B$11,Paramètres!$A$1:$I$89,3,0)*VLOOKUP('Données projet'!$B$11,Paramètres!$A$1:$I$89,5,0)</f>
        <v>149.73192000000006</v>
      </c>
      <c r="BF46" s="14">
        <f t="shared" si="37"/>
        <v>38.517657137847586</v>
      </c>
      <c r="BG46" s="22">
        <f t="shared" si="7"/>
        <v>327.86801351508461</v>
      </c>
      <c r="BH46" s="58">
        <f t="shared" si="8"/>
        <v>578.00919498151666</v>
      </c>
      <c r="BI46" s="58">
        <f ca="1">AVERAGE(OFFSET($BH$3,0,0,'Données projet'!$E$11+1,1))-AVERAGE(OFFSET($H$3,0,0,'Données projet'!$E$11+1,1))</f>
        <v>336.25341821407534</v>
      </c>
      <c r="BJ46" s="58">
        <f t="shared" si="38"/>
        <v>360.3246221345039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3.6264928139382455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3.6264928139382455</v>
      </c>
      <c r="BT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6.4</v>
      </c>
      <c r="BY46" s="13">
        <f>IF('Données projet'!$A$114&gt;35,BY45+BX46-CG45,IF(A46&lt;'Données projet'!$A$114,$BV$205^A46,IF(A46='Données projet'!$A$114,'Données projet'!$B$114,BY45+BX46-CG45)))</f>
        <v>143.19999999999999</v>
      </c>
      <c r="BZ46" s="14">
        <f>BY46*VLOOKUP('Données projet'!$B$12,Paramètres!$A$1:$I$89,3,0)*VLOOKUP('Données projet'!$B$12,Paramètres!$A$1:$I$89,5,0)</f>
        <v>116.16384000000001</v>
      </c>
      <c r="CA46" s="14">
        <f t="shared" si="39"/>
        <v>30.778593163150692</v>
      </c>
      <c r="CB46" s="22">
        <f t="shared" si="10"/>
        <v>255.92473775915414</v>
      </c>
      <c r="CC46" s="58">
        <f t="shared" si="11"/>
        <v>506.06591922558619</v>
      </c>
      <c r="CD46" s="58">
        <f ca="1">AVERAGE(OFFSET($CC$3,0,0,'Données projet'!$E$12+1,1))-AVERAGE(OFFSET($H$3,0,0,'Données projet'!$E$12+1,1))</f>
        <v>308.58270639204238</v>
      </c>
      <c r="CE46" s="58">
        <f t="shared" si="40"/>
        <v>258.90832875500325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5.7692307692307683</v>
      </c>
      <c r="CT46" s="13">
        <f>IF('Données projet'!$A$140&gt;35,CT45+CS46-DB45,IF(A46&lt;'Données projet'!$A$140,$CQ$205^A46,IF(A46='Données projet'!$A$140,'Données projet'!$B$140,CT45+CS46-DB45)))</f>
        <v>141.02564102564111</v>
      </c>
      <c r="CU46" s="18">
        <f>CT46*VLOOKUP('Données projet'!$B$13,Paramètres!$A$1:$I$89,3,0)*VLOOKUP('Données projet'!$B$13,Paramètres!$A$1:$I$89,5,0)</f>
        <v>134.20000000000007</v>
      </c>
      <c r="CV46" s="14">
        <f t="shared" si="41"/>
        <v>34.965052756825415</v>
      </c>
      <c r="CW46" s="22">
        <f t="shared" si="13"/>
        <v>294.62913355147111</v>
      </c>
      <c r="CX46" s="58">
        <f t="shared" si="14"/>
        <v>544.77031501790316</v>
      </c>
      <c r="CY46" s="58">
        <f ca="1">AVERAGE(OFFSET($CX$3,0,0,'Données projet'!$E$13+1,1))-AVERAGE(OFFSET($H$3,0,0,'Données projet'!$E$13+1,1))</f>
        <v>397.61813291201469</v>
      </c>
      <c r="CZ46" s="58">
        <f t="shared" si="42"/>
        <v>320.30651625485064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2.215588642701642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2.215588642701642</v>
      </c>
      <c r="DJ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58" t="e">
        <f t="shared" si="17"/>
        <v>#N/A</v>
      </c>
      <c r="DT46" s="58" t="e">
        <f ca="1">AVERAGE(OFFSET($DS$3,0,0,'Données projet'!$E$14+1,1))-AVERAGE(OFFSET($H$3,0,0,'Données projet'!$E$14+1,1))</f>
        <v>#N/A</v>
      </c>
      <c r="DU46" s="58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58" t="e">
        <f t="shared" si="20"/>
        <v>#N/A</v>
      </c>
      <c r="EO46" s="58" t="e">
        <f ca="1">AVERAGE(OFFSET($EN$3,0,0,'Données projet'!$E$15+1,1))-AVERAGE(OFFSET($H$3,0,0,'Données projet'!$E$15+1,1))</f>
        <v>#N/A</v>
      </c>
      <c r="EP46" s="58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58" t="e">
        <f t="shared" si="23"/>
        <v>#N/A</v>
      </c>
      <c r="FJ46" s="58" t="e">
        <f ca="1">AVERAGE(OFFSET($FI$3,0,0,'Données projet'!$E$16+1,1))-AVERAGE(OFFSET($H$3,0,0,'Données projet'!$E$16+1,1))</f>
        <v>#N/A</v>
      </c>
      <c r="FK46" s="58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58" t="e">
        <f t="shared" si="26"/>
        <v>#N/A</v>
      </c>
      <c r="GE46" s="58" t="e">
        <f ca="1">AVERAGE(OFFSET($GD$3,0,0,'Données projet'!$E$17+1,1))-AVERAGE(OFFSET($H$3,0,0,'Données projet'!$E$17+1,1))</f>
        <v>#N/A</v>
      </c>
      <c r="GF46" s="58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58" t="e">
        <f t="shared" si="29"/>
        <v>#N/A</v>
      </c>
      <c r="GZ46" s="58" t="e">
        <f ca="1">AVERAGE(OFFSET($GY$3,0,0,'Données projet'!$E$18+1,1))-AVERAGE(OFFSET($H$3,0,0,'Données projet'!$E$18+1,1))</f>
        <v>#N/A</v>
      </c>
      <c r="HA46" s="58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0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3">
        <f t="shared" si="1"/>
        <v>183.33333333333334</v>
      </c>
      <c r="I47" s="6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185.83344000000005</v>
      </c>
      <c r="P47" s="14">
        <f t="shared" si="33"/>
        <v>46.617600215670045</v>
      </c>
      <c r="Q47" s="22">
        <f t="shared" si="53"/>
        <v>404.85222837562537</v>
      </c>
      <c r="R47" s="58">
        <f t="shared" si="0"/>
        <v>655.7426971137628</v>
      </c>
      <c r="S47" s="58">
        <f ca="1">AVERAGE(OFFSET($R$3,0,0,'Données projet'!$E$9+1,1))-AVERAGE(OFFSET($H$3,0,0,'Données projet'!$E$9+1,1))</f>
        <v>527.70171871461309</v>
      </c>
      <c r="T47" s="58">
        <f t="shared" si="34"/>
        <v>281.06176764290592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7.4</v>
      </c>
      <c r="AI47" s="14">
        <f>IF('Données projet'!$A$62&gt;35,AI46+AH47-AQ46,IF(A47&lt;'Données projet'!$A$62,$AF$205^A47,IF(A47='Données projet'!$A$62,'Données projet'!$B$62,AI46+AH47-AQ46)))</f>
        <v>199.60000000000008</v>
      </c>
      <c r="AJ47" s="14">
        <f>AI47*VLOOKUP('Données projet'!$B$10,Paramètres!$A$1:$I$89,3,0)*VLOOKUP('Données projet'!$B$10,Paramètres!$A$1:$I$89,5,0)</f>
        <v>130.77792000000005</v>
      </c>
      <c r="AK47" s="14">
        <f t="shared" si="35"/>
        <v>34.176051340149542</v>
      </c>
      <c r="AL47" s="22">
        <f t="shared" si="4"/>
        <v>287.29483341742718</v>
      </c>
      <c r="AM47" s="58">
        <f t="shared" si="5"/>
        <v>538.18530215556461</v>
      </c>
      <c r="AN47" s="58">
        <f ca="1">AVERAGE(OFFSET($AM$3,0,0,'Données projet'!$E$10+1,1))-AVERAGE(OFFSET($H$3,0,0,'Données projet'!$E$10+1,1))</f>
        <v>302.53318056366777</v>
      </c>
      <c r="AO47" s="58">
        <f t="shared" si="36"/>
        <v>318.32262615164541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1.8517483705114313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1.8517483705114313</v>
      </c>
      <c r="AY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8.2000000000000064</v>
      </c>
      <c r="BD47" s="13">
        <f>IF('Données projet'!$A$88&gt;35,BD46+BC47-BL46,IF(A47&lt;'Données projet'!$A$88,$BA$205^A47,IF(A47='Données projet'!$A$88,'Données projet'!$B$88,BD46+BC47-BL46)))</f>
        <v>196.40000000000006</v>
      </c>
      <c r="BE47" s="14">
        <f>BD47*VLOOKUP('Données projet'!$B$11,Paramètres!$A$1:$I$89,3,0)*VLOOKUP('Données projet'!$B$11,Paramètres!$A$1:$I$89,5,0)</f>
        <v>156.25584000000006</v>
      </c>
      <c r="BF47" s="14">
        <f t="shared" si="37"/>
        <v>39.996849361050039</v>
      </c>
      <c r="BG47" s="22">
        <f t="shared" si="7"/>
        <v>341.80676730382885</v>
      </c>
      <c r="BH47" s="58">
        <f t="shared" si="8"/>
        <v>592.69723604196633</v>
      </c>
      <c r="BI47" s="58">
        <f ca="1">AVERAGE(OFFSET($BH$3,0,0,'Données projet'!$E$11+1,1))-AVERAGE(OFFSET($H$3,0,0,'Données projet'!$E$11+1,1))</f>
        <v>336.25341821407534</v>
      </c>
      <c r="BJ47" s="58">
        <f t="shared" si="38"/>
        <v>360.3246221345039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3.5273261772321356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3.5273261772321356</v>
      </c>
      <c r="BT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6.4</v>
      </c>
      <c r="BY47" s="13">
        <f>IF('Données projet'!$A$114&gt;35,BY46+BX47-CG46,IF(A47&lt;'Données projet'!$A$114,$BV$205^A47,IF(A47='Données projet'!$A$114,'Données projet'!$B$114,BY46+BX47-CG46)))</f>
        <v>149.6</v>
      </c>
      <c r="BZ47" s="14">
        <f>BY47*VLOOKUP('Données projet'!$B$12,Paramètres!$A$1:$I$89,3,0)*VLOOKUP('Données projet'!$B$12,Paramètres!$A$1:$I$89,5,0)</f>
        <v>121.35552000000001</v>
      </c>
      <c r="CA47" s="14">
        <f t="shared" si="39"/>
        <v>31.990945095046595</v>
      </c>
      <c r="CB47" s="22">
        <f t="shared" si="10"/>
        <v>267.07842670720612</v>
      </c>
      <c r="CC47" s="58">
        <f t="shared" si="11"/>
        <v>517.96889544534361</v>
      </c>
      <c r="CD47" s="58">
        <f ca="1">AVERAGE(OFFSET($CC$3,0,0,'Données projet'!$E$12+1,1))-AVERAGE(OFFSET($H$3,0,0,'Données projet'!$E$12+1,1))</f>
        <v>308.58270639204238</v>
      </c>
      <c r="CE47" s="58">
        <f t="shared" si="40"/>
        <v>258.90832875500325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5.7692307692307683</v>
      </c>
      <c r="CT47" s="13">
        <f>IF('Données projet'!$A$140&gt;35,CT46+CS47-DB46,IF(A47&lt;'Données projet'!$A$140,$CQ$205^A47,IF(A47='Données projet'!$A$140,'Données projet'!$B$140,CT46+CS47-DB46)))</f>
        <v>146.79487179487188</v>
      </c>
      <c r="CU47" s="18">
        <f>CT47*VLOOKUP('Données projet'!$B$13,Paramètres!$A$1:$I$89,3,0)*VLOOKUP('Données projet'!$B$13,Paramètres!$A$1:$I$89,5,0)</f>
        <v>139.69000000000008</v>
      </c>
      <c r="CV47" s="14">
        <f t="shared" si="41"/>
        <v>36.225979688604163</v>
      </c>
      <c r="CW47" s="22">
        <f t="shared" si="13"/>
        <v>306.3869979576524</v>
      </c>
      <c r="CX47" s="58">
        <f t="shared" si="14"/>
        <v>557.27746669578983</v>
      </c>
      <c r="CY47" s="58">
        <f ca="1">AVERAGE(OFFSET($CX$3,0,0,'Données projet'!$E$13+1,1))-AVERAGE(OFFSET($H$3,0,0,'Données projet'!$E$13+1,1))</f>
        <v>397.61813291201469</v>
      </c>
      <c r="CZ47" s="58">
        <f t="shared" si="42"/>
        <v>320.30651625485064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2.1550032547542228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2.1550032547542228</v>
      </c>
      <c r="DJ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58" t="e">
        <f t="shared" si="17"/>
        <v>#N/A</v>
      </c>
      <c r="DT47" s="58" t="e">
        <f ca="1">AVERAGE(OFFSET($DS$3,0,0,'Données projet'!$E$14+1,1))-AVERAGE(OFFSET($H$3,0,0,'Données projet'!$E$14+1,1))</f>
        <v>#N/A</v>
      </c>
      <c r="DU47" s="58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58" t="e">
        <f t="shared" si="20"/>
        <v>#N/A</v>
      </c>
      <c r="EO47" s="58" t="e">
        <f ca="1">AVERAGE(OFFSET($EN$3,0,0,'Données projet'!$E$15+1,1))-AVERAGE(OFFSET($H$3,0,0,'Données projet'!$E$15+1,1))</f>
        <v>#N/A</v>
      </c>
      <c r="EP47" s="58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58" t="e">
        <f t="shared" si="23"/>
        <v>#N/A</v>
      </c>
      <c r="FJ47" s="58" t="e">
        <f ca="1">AVERAGE(OFFSET($FI$3,0,0,'Données projet'!$E$16+1,1))-AVERAGE(OFFSET($H$3,0,0,'Données projet'!$E$16+1,1))</f>
        <v>#N/A</v>
      </c>
      <c r="FK47" s="58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58" t="e">
        <f t="shared" si="26"/>
        <v>#N/A</v>
      </c>
      <c r="GE47" s="58" t="e">
        <f ca="1">AVERAGE(OFFSET($GD$3,0,0,'Données projet'!$E$17+1,1))-AVERAGE(OFFSET($H$3,0,0,'Données projet'!$E$17+1,1))</f>
        <v>#N/A</v>
      </c>
      <c r="GF47" s="58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58" t="e">
        <f t="shared" si="29"/>
        <v>#N/A</v>
      </c>
      <c r="GZ47" s="58" t="e">
        <f ca="1">AVERAGE(OFFSET($GY$3,0,0,'Données projet'!$E$18+1,1))-AVERAGE(OFFSET($H$3,0,0,'Données projet'!$E$18+1,1))</f>
        <v>#N/A</v>
      </c>
      <c r="HA47" s="58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0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3">
        <f t="shared" si="1"/>
        <v>183.33333333333334</v>
      </c>
      <c r="I48" s="6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195.43680000000006</v>
      </c>
      <c r="P48" s="14">
        <f t="shared" si="33"/>
        <v>48.739971354487849</v>
      </c>
      <c r="Q48" s="22">
        <f t="shared" si="53"/>
        <v>425.27454344239982</v>
      </c>
      <c r="R48" s="58">
        <f t="shared" si="0"/>
        <v>676.90130099323392</v>
      </c>
      <c r="S48" s="58">
        <f ca="1">AVERAGE(OFFSET($R$3,0,0,'Données projet'!$E$9+1,1))-AVERAGE(OFFSET($H$3,0,0,'Données projet'!$E$9+1,1))</f>
        <v>527.70171871461309</v>
      </c>
      <c r="T48" s="58">
        <f t="shared" si="34"/>
        <v>281.06176764290592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207</v>
      </c>
      <c r="AG48" s="13">
        <f>VLOOKUP(A48,'Données projet'!$A$61:$I$81,9,0)</f>
        <v>7.4</v>
      </c>
      <c r="AH48" s="13">
        <f t="array" ref="AH48">INDEX(AG:AG,MIN(IF(ISNUMBER(AG48:AG244),ROW(AG48:AG244),"")))</f>
        <v>7.4</v>
      </c>
      <c r="AI48" s="14">
        <f>IF('Données projet'!$A$62&gt;35,AI47+AH48-AQ47,IF(A48&lt;'Données projet'!$A$62,$AF$205^A48,IF(A48='Données projet'!$A$62,'Données projet'!$B$62,AI47+AH48-AQ47)))</f>
        <v>207.00000000000009</v>
      </c>
      <c r="AJ48" s="14">
        <f>AI48*VLOOKUP('Données projet'!$B$10,Paramètres!$A$1:$I$89,3,0)*VLOOKUP('Données projet'!$B$10,Paramètres!$A$1:$I$89,5,0)</f>
        <v>135.62640000000005</v>
      </c>
      <c r="AK48" s="14">
        <f t="shared" si="35"/>
        <v>35.293231938598481</v>
      </c>
      <c r="AL48" s="22">
        <f t="shared" si="4"/>
        <v>297.68502562639242</v>
      </c>
      <c r="AM48" s="58">
        <f t="shared" si="5"/>
        <v>549.31178317722652</v>
      </c>
      <c r="AN48" s="58">
        <f ca="1">AVERAGE(OFFSET($AM$3,0,0,'Données projet'!$E$10+1,1))-AVERAGE(OFFSET($H$3,0,0,'Données projet'!$E$10+1,1))</f>
        <v>302.53318056366777</v>
      </c>
      <c r="AO48" s="58">
        <f t="shared" si="36"/>
        <v>318.32262615164541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1.8011122139405815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1.8011122139405815</v>
      </c>
      <c r="AY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204.60000000000002</v>
      </c>
      <c r="BB48" s="13">
        <f>VLOOKUP(A48,'Données projet'!$A$87:$I$107,9,0)</f>
        <v>8.2000000000000064</v>
      </c>
      <c r="BC48" s="13">
        <f t="array" ref="BC48">INDEX(BB:BB,MIN(IF(ISNUMBER(BB48:BB244),ROW(BB48:BB244),"")))</f>
        <v>8.2000000000000064</v>
      </c>
      <c r="BD48" s="13">
        <f>IF('Données projet'!$A$88&gt;35,BD47+BC48-BL47,IF(A48&lt;'Données projet'!$A$88,$BA$205^A48,IF(A48='Données projet'!$A$88,'Données projet'!$B$88,BD47+BC48-BL47)))</f>
        <v>204.60000000000008</v>
      </c>
      <c r="BE48" s="14">
        <f>BD48*VLOOKUP('Données projet'!$B$11,Paramètres!$A$1:$I$89,3,0)*VLOOKUP('Données projet'!$B$11,Paramètres!$A$1:$I$89,5,0)</f>
        <v>162.77976000000007</v>
      </c>
      <c r="BF48" s="14">
        <f t="shared" si="37"/>
        <v>41.468868129640093</v>
      </c>
      <c r="BG48" s="22">
        <f t="shared" si="7"/>
        <v>355.73302732578992</v>
      </c>
      <c r="BH48" s="58">
        <f t="shared" si="8"/>
        <v>607.35978487662408</v>
      </c>
      <c r="BI48" s="58">
        <f ca="1">AVERAGE(OFFSET($BH$3,0,0,'Données projet'!$E$11+1,1))-AVERAGE(OFFSET($H$3,0,0,'Données projet'!$E$11+1,1))</f>
        <v>336.25341821407534</v>
      </c>
      <c r="BJ48" s="58">
        <f t="shared" si="38"/>
        <v>360.3246221345039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3.4308712574217011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3.4308712574217011</v>
      </c>
      <c r="BT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156</v>
      </c>
      <c r="BW48" s="13">
        <f>VLOOKUP(A48,'Données projet'!$A$113:$I$133,9,0)</f>
        <v>6.4</v>
      </c>
      <c r="BX48" s="13">
        <f t="array" ref="BX48">INDEX(BW:BW,MIN(IF(ISNUMBER(BW48:BW244),ROW(BW48:BW244),"")))</f>
        <v>6.4</v>
      </c>
      <c r="BY48" s="13">
        <f>IF('Données projet'!$A$114&gt;35,BY47+BX48-CG47,IF(A48&lt;'Données projet'!$A$114,$BV$205^A48,IF(A48='Données projet'!$A$114,'Données projet'!$B$114,BY47+BX48-CG47)))</f>
        <v>156</v>
      </c>
      <c r="BZ48" s="14">
        <f>BY48*VLOOKUP('Données projet'!$B$12,Paramètres!$A$1:$I$89,3,0)*VLOOKUP('Données projet'!$B$12,Paramètres!$A$1:$I$89,5,0)</f>
        <v>126.54720000000002</v>
      </c>
      <c r="CA48" s="14">
        <f t="shared" si="39"/>
        <v>33.19727296936243</v>
      </c>
      <c r="CB48" s="22">
        <f t="shared" si="10"/>
        <v>278.22162375497288</v>
      </c>
      <c r="CC48" s="58">
        <f t="shared" si="11"/>
        <v>529.84838130580704</v>
      </c>
      <c r="CD48" s="58">
        <f ca="1">AVERAGE(OFFSET($CC$3,0,0,'Données projet'!$E$12+1,1))-AVERAGE(OFFSET($H$3,0,0,'Données projet'!$E$12+1,1))</f>
        <v>308.58270639204238</v>
      </c>
      <c r="CE48" s="58">
        <f t="shared" si="40"/>
        <v>258.90832875500325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152.56410256410257</v>
      </c>
      <c r="CR48" s="13">
        <f>VLOOKUP(A48,'Données projet'!$A$139:$I$159,9,0)</f>
        <v>5.7692307692307683</v>
      </c>
      <c r="CS48" s="13">
        <f t="array" ref="CS48">INDEX(CR:CR,MIN(IF(ISNUMBER(CR48:CR244),ROW(CR48:CR244),"")))</f>
        <v>5.7692307692307683</v>
      </c>
      <c r="CT48" s="13">
        <f>IF('Données projet'!$A$140&gt;35,CT47+CS48-DB47,IF(A48&lt;'Données projet'!$A$140,$CQ$205^A48,IF(A48='Données projet'!$A$140,'Données projet'!$B$140,CT47+CS48-DB47)))</f>
        <v>152.56410256410265</v>
      </c>
      <c r="CU48" s="18">
        <f>CT48*VLOOKUP('Données projet'!$B$13,Paramètres!$A$1:$I$89,3,0)*VLOOKUP('Données projet'!$B$13,Paramètres!$A$1:$I$89,5,0)</f>
        <v>145.18000000000009</v>
      </c>
      <c r="CV48" s="14">
        <f t="shared" si="41"/>
        <v>37.481149901429063</v>
      </c>
      <c r="CW48" s="22">
        <f t="shared" si="13"/>
        <v>318.13483607832245</v>
      </c>
      <c r="CX48" s="58">
        <f t="shared" si="14"/>
        <v>569.76159362915655</v>
      </c>
      <c r="CY48" s="58">
        <f ca="1">AVERAGE(OFFSET($CX$3,0,0,'Données projet'!$E$13+1,1))-AVERAGE(OFFSET($H$3,0,0,'Données projet'!$E$13+1,1))</f>
        <v>397.61813291201469</v>
      </c>
      <c r="CZ48" s="58">
        <f t="shared" si="42"/>
        <v>320.30651625485064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2.0960745774262728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2.0960745774262728</v>
      </c>
      <c r="DJ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58" t="e">
        <f t="shared" si="17"/>
        <v>#N/A</v>
      </c>
      <c r="DT48" s="58" t="e">
        <f ca="1">AVERAGE(OFFSET($DS$3,0,0,'Données projet'!$E$14+1,1))-AVERAGE(OFFSET($H$3,0,0,'Données projet'!$E$14+1,1))</f>
        <v>#N/A</v>
      </c>
      <c r="DU48" s="58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58" t="e">
        <f t="shared" si="20"/>
        <v>#N/A</v>
      </c>
      <c r="EO48" s="58" t="e">
        <f ca="1">AVERAGE(OFFSET($EN$3,0,0,'Données projet'!$E$15+1,1))-AVERAGE(OFFSET($H$3,0,0,'Données projet'!$E$15+1,1))</f>
        <v>#N/A</v>
      </c>
      <c r="EP48" s="58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58" t="e">
        <f t="shared" si="23"/>
        <v>#N/A</v>
      </c>
      <c r="FJ48" s="58" t="e">
        <f ca="1">AVERAGE(OFFSET($FI$3,0,0,'Données projet'!$E$16+1,1))-AVERAGE(OFFSET($H$3,0,0,'Données projet'!$E$16+1,1))</f>
        <v>#N/A</v>
      </c>
      <c r="FK48" s="58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58" t="e">
        <f t="shared" si="26"/>
        <v>#N/A</v>
      </c>
      <c r="GE48" s="58" t="e">
        <f ca="1">AVERAGE(OFFSET($GD$3,0,0,'Données projet'!$E$17+1,1))-AVERAGE(OFFSET($H$3,0,0,'Données projet'!$E$17+1,1))</f>
        <v>#N/A</v>
      </c>
      <c r="GF48" s="58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58" t="e">
        <f t="shared" si="29"/>
        <v>#N/A</v>
      </c>
      <c r="GZ48" s="58" t="e">
        <f ca="1">AVERAGE(OFFSET($GY$3,0,0,'Données projet'!$E$18+1,1))-AVERAGE(OFFSET($H$3,0,0,'Données projet'!$E$18+1,1))</f>
        <v>#N/A</v>
      </c>
      <c r="HA48" s="58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0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3">
        <f t="shared" si="1"/>
        <v>183.33333333333334</v>
      </c>
      <c r="I49" s="6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157.52880000000005</v>
      </c>
      <c r="P49" s="14">
        <f t="shared" si="33"/>
        <v>40.284625411479013</v>
      </c>
      <c r="Q49" s="22">
        <f t="shared" si="53"/>
        <v>344.52504925832596</v>
      </c>
      <c r="R49" s="58">
        <f t="shared" si="0"/>
        <v>596.87532265705158</v>
      </c>
      <c r="S49" s="58">
        <f ca="1">AVERAGE(OFFSET($R$3,0,0,'Données projet'!$E$9+1,1))-AVERAGE(OFFSET($H$3,0,0,'Données projet'!$E$9+1,1))</f>
        <v>527.70171871461309</v>
      </c>
      <c r="T49" s="58">
        <f t="shared" si="34"/>
        <v>281.06176764290592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6.6</v>
      </c>
      <c r="AI49" s="14">
        <f>IF('Données projet'!$A$62&gt;35,AI48+AH49-AQ48,IF(A49&lt;'Données projet'!$A$62,$AF$205^A49,IF(A49='Données projet'!$A$62,'Données projet'!$B$62,AI48+AH49-AQ48)))</f>
        <v>213.60000000000008</v>
      </c>
      <c r="AJ49" s="14">
        <f>AI49*VLOOKUP('Données projet'!$B$10,Paramètres!$A$1:$I$89,3,0)*VLOOKUP('Données projet'!$B$10,Paramètres!$A$1:$I$89,5,0)</f>
        <v>139.95072000000005</v>
      </c>
      <c r="AK49" s="14">
        <f t="shared" si="35"/>
        <v>36.285715907711918</v>
      </c>
      <c r="AL49" s="22">
        <f t="shared" si="4"/>
        <v>306.94512587259828</v>
      </c>
      <c r="AM49" s="58">
        <f t="shared" si="5"/>
        <v>559.29539927132396</v>
      </c>
      <c r="AN49" s="58">
        <f ca="1">AVERAGE(OFFSET($AM$3,0,0,'Données projet'!$E$10+1,1))-AVERAGE(OFFSET($H$3,0,0,'Données projet'!$E$10+1,1))</f>
        <v>302.53318056366777</v>
      </c>
      <c r="AO49" s="58">
        <f t="shared" si="36"/>
        <v>318.32262615164541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1.7518607057340014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1.7518607057340014</v>
      </c>
      <c r="AY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7.1199999999999992</v>
      </c>
      <c r="BD49" s="13">
        <f>IF('Données projet'!$A$88&gt;35,BD48+BC49-BL48,IF(A49&lt;'Données projet'!$A$88,$BA$205^A49,IF(A49='Données projet'!$A$88,'Données projet'!$B$88,BD48+BC49-BL48)))</f>
        <v>211.72000000000008</v>
      </c>
      <c r="BE49" s="14">
        <f>BD49*VLOOKUP('Données projet'!$B$11,Paramètres!$A$1:$I$89,3,0)*VLOOKUP('Données projet'!$B$11,Paramètres!$A$1:$I$89,5,0)</f>
        <v>168.44443200000006</v>
      </c>
      <c r="BF49" s="14">
        <f t="shared" si="37"/>
        <v>42.741441926261587</v>
      </c>
      <c r="BG49" s="22">
        <f t="shared" si="7"/>
        <v>367.81539708823902</v>
      </c>
      <c r="BH49" s="58">
        <f t="shared" si="8"/>
        <v>620.1656704869647</v>
      </c>
      <c r="BI49" s="58">
        <f ca="1">AVERAGE(OFFSET($BH$3,0,0,'Données projet'!$E$11+1,1))-AVERAGE(OFFSET($H$3,0,0,'Données projet'!$E$11+1,1))</f>
        <v>336.25341821407534</v>
      </c>
      <c r="BJ49" s="58">
        <f t="shared" si="38"/>
        <v>360.3246221345039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3.3370539024658266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3.3370539024658266</v>
      </c>
      <c r="BT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5.8</v>
      </c>
      <c r="BY49" s="13">
        <f>IF('Données projet'!$A$114&gt;35,BY48+BX49-CG48,IF(A49&lt;'Données projet'!$A$114,$BV$205^A49,IF(A49='Données projet'!$A$114,'Données projet'!$B$114,BY48+BX49-CG48)))</f>
        <v>161.80000000000001</v>
      </c>
      <c r="BZ49" s="14">
        <f>BY49*VLOOKUP('Données projet'!$B$12,Paramètres!$A$1:$I$89,3,0)*VLOOKUP('Données projet'!$B$12,Paramètres!$A$1:$I$89,5,0)</f>
        <v>131.25216000000003</v>
      </c>
      <c r="CA49" s="14">
        <f t="shared" si="39"/>
        <v>34.285535125000187</v>
      </c>
      <c r="CB49" s="22">
        <f t="shared" si="10"/>
        <v>288.31148567604208</v>
      </c>
      <c r="CC49" s="58">
        <f t="shared" si="11"/>
        <v>540.6617590747677</v>
      </c>
      <c r="CD49" s="58">
        <f ca="1">AVERAGE(OFFSET($CC$3,0,0,'Données projet'!$E$12+1,1))-AVERAGE(OFFSET($H$3,0,0,'Données projet'!$E$12+1,1))</f>
        <v>308.58270639204238</v>
      </c>
      <c r="CE49" s="58">
        <f t="shared" si="40"/>
        <v>258.90832875500325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5.5128205128205083</v>
      </c>
      <c r="CT49" s="13">
        <f>IF('Données projet'!$A$140&gt;35,CT48+CS49-DB48,IF(A49&lt;'Données projet'!$A$140,$CQ$205^A49,IF(A49='Données projet'!$A$140,'Données projet'!$B$140,CT48+CS49-DB48)))</f>
        <v>158.07692307692315</v>
      </c>
      <c r="CU49" s="18">
        <f>CT49*VLOOKUP('Données projet'!$B$13,Paramètres!$A$1:$I$89,3,0)*VLOOKUP('Données projet'!$B$13,Paramètres!$A$1:$I$89,5,0)</f>
        <v>150.42600000000007</v>
      </c>
      <c r="CV49" s="14">
        <f t="shared" si="41"/>
        <v>38.67537966484668</v>
      </c>
      <c r="CW49" s="22">
        <f t="shared" si="13"/>
        <v>329.35156958294141</v>
      </c>
      <c r="CX49" s="58">
        <f t="shared" si="14"/>
        <v>581.70184298166703</v>
      </c>
      <c r="CY49" s="58">
        <f ca="1">AVERAGE(OFFSET($CX$3,0,0,'Données projet'!$E$13+1,1))-AVERAGE(OFFSET($H$3,0,0,'Données projet'!$E$13+1,1))</f>
        <v>397.61813291201469</v>
      </c>
      <c r="CZ49" s="58">
        <f t="shared" si="42"/>
        <v>320.30651625485064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2.0387573078787802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2.0387573078787802</v>
      </c>
      <c r="DJ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58" t="e">
        <f t="shared" si="17"/>
        <v>#N/A</v>
      </c>
      <c r="DT49" s="58" t="e">
        <f ca="1">AVERAGE(OFFSET($DS$3,0,0,'Données projet'!$E$14+1,1))-AVERAGE(OFFSET($H$3,0,0,'Données projet'!$E$14+1,1))</f>
        <v>#N/A</v>
      </c>
      <c r="DU49" s="58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58" t="e">
        <f t="shared" si="20"/>
        <v>#N/A</v>
      </c>
      <c r="EO49" s="58" t="e">
        <f ca="1">AVERAGE(OFFSET($EN$3,0,0,'Données projet'!$E$15+1,1))-AVERAGE(OFFSET($H$3,0,0,'Données projet'!$E$15+1,1))</f>
        <v>#N/A</v>
      </c>
      <c r="EP49" s="58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58" t="e">
        <f t="shared" si="23"/>
        <v>#N/A</v>
      </c>
      <c r="FJ49" s="58" t="e">
        <f ca="1">AVERAGE(OFFSET($FI$3,0,0,'Données projet'!$E$16+1,1))-AVERAGE(OFFSET($H$3,0,0,'Données projet'!$E$16+1,1))</f>
        <v>#N/A</v>
      </c>
      <c r="FK49" s="58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58" t="e">
        <f t="shared" si="26"/>
        <v>#N/A</v>
      </c>
      <c r="GE49" s="58" t="e">
        <f ca="1">AVERAGE(OFFSET($GD$3,0,0,'Données projet'!$E$17+1,1))-AVERAGE(OFFSET($H$3,0,0,'Données projet'!$E$17+1,1))</f>
        <v>#N/A</v>
      </c>
      <c r="GF49" s="58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58" t="e">
        <f t="shared" si="29"/>
        <v>#N/A</v>
      </c>
      <c r="GZ49" s="58" t="e">
        <f ca="1">AVERAGE(OFFSET($GY$3,0,0,'Données projet'!$E$18+1,1))-AVERAGE(OFFSET($H$3,0,0,'Données projet'!$E$18+1,1))</f>
        <v>#N/A</v>
      </c>
      <c r="HA49" s="58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0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3">
        <f t="shared" si="1"/>
        <v>183.33333333333334</v>
      </c>
      <c r="I50" s="6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166.79520000000008</v>
      </c>
      <c r="P50" s="14">
        <f t="shared" si="33"/>
        <v>42.371461898472788</v>
      </c>
      <c r="Q50" s="22">
        <f t="shared" si="53"/>
        <v>364.29860280650684</v>
      </c>
      <c r="R50" s="58">
        <f t="shared" si="0"/>
        <v>617.35984067070217</v>
      </c>
      <c r="S50" s="58">
        <f ca="1">AVERAGE(OFFSET($R$3,0,0,'Données projet'!$E$9+1,1))-AVERAGE(OFFSET($H$3,0,0,'Données projet'!$E$9+1,1))</f>
        <v>527.70171871461309</v>
      </c>
      <c r="T50" s="58">
        <f t="shared" si="34"/>
        <v>281.06176764290592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6.6</v>
      </c>
      <c r="AI50" s="14">
        <f>IF('Données projet'!$A$62&gt;35,AI49+AH50-AQ49,IF(A50&lt;'Données projet'!$A$62,$AF$205^A50,IF(A50='Données projet'!$A$62,'Données projet'!$B$62,AI49+AH50-AQ49)))</f>
        <v>220.20000000000007</v>
      </c>
      <c r="AJ50" s="14">
        <f>AI50*VLOOKUP('Données projet'!$B$10,Paramètres!$A$1:$I$89,3,0)*VLOOKUP('Données projet'!$B$10,Paramètres!$A$1:$I$89,5,0)</f>
        <v>144.27504000000005</v>
      </c>
      <c r="AK50" s="14">
        <f t="shared" si="35"/>
        <v>37.274636092411413</v>
      </c>
      <c r="AL50" s="22">
        <f t="shared" si="4"/>
        <v>316.19901919428327</v>
      </c>
      <c r="AM50" s="58">
        <f t="shared" si="5"/>
        <v>569.2602570584786</v>
      </c>
      <c r="AN50" s="58">
        <f ca="1">AVERAGE(OFFSET($AM$3,0,0,'Données projet'!$E$10+1,1))-AVERAGE(OFFSET($H$3,0,0,'Données projet'!$E$10+1,1))</f>
        <v>302.53318056366777</v>
      </c>
      <c r="AO50" s="58">
        <f t="shared" si="36"/>
        <v>318.32262615164541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1.7039559826093547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1.7039559826093547</v>
      </c>
      <c r="AY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7.1199999999999992</v>
      </c>
      <c r="BD50" s="13">
        <f>IF('Données projet'!$A$88&gt;35,BD49+BC50-BL49,IF(A50&lt;'Données projet'!$A$88,$BA$205^A50,IF(A50='Données projet'!$A$88,'Données projet'!$B$88,BD49+BC50-BL49)))</f>
        <v>218.84000000000009</v>
      </c>
      <c r="BE50" s="14">
        <f>BD50*VLOOKUP('Données projet'!$B$11,Paramètres!$A$1:$I$89,3,0)*VLOOKUP('Données projet'!$B$11,Paramètres!$A$1:$I$89,5,0)</f>
        <v>174.10910400000009</v>
      </c>
      <c r="BF50" s="14">
        <f t="shared" si="37"/>
        <v>44.009043039404553</v>
      </c>
      <c r="BG50" s="22">
        <f t="shared" si="7"/>
        <v>379.88910609362978</v>
      </c>
      <c r="BH50" s="58">
        <f t="shared" si="8"/>
        <v>632.95034395782523</v>
      </c>
      <c r="BI50" s="58">
        <f ca="1">AVERAGE(OFFSET($BH$3,0,0,'Données projet'!$E$11+1,1))-AVERAGE(OFFSET($H$3,0,0,'Données projet'!$E$11+1,1))</f>
        <v>336.25341821407534</v>
      </c>
      <c r="BJ50" s="58">
        <f t="shared" si="38"/>
        <v>360.3246221345039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3.2458019880148608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3.2458019880148608</v>
      </c>
      <c r="BT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5.8</v>
      </c>
      <c r="BY50" s="13">
        <f>IF('Données projet'!$A$114&gt;35,BY49+BX50-CG49,IF(A50&lt;'Données projet'!$A$114,$BV$205^A50,IF(A50='Données projet'!$A$114,'Données projet'!$B$114,BY49+BX50-CG49)))</f>
        <v>167.60000000000002</v>
      </c>
      <c r="BZ50" s="14">
        <f>BY50*VLOOKUP('Données projet'!$B$12,Paramètres!$A$1:$I$89,3,0)*VLOOKUP('Données projet'!$B$12,Paramètres!$A$1:$I$89,5,0)</f>
        <v>135.95712000000003</v>
      </c>
      <c r="CA50" s="14">
        <f t="shared" si="39"/>
        <v>35.369264877838624</v>
      </c>
      <c r="CB50" s="22">
        <f t="shared" si="10"/>
        <v>298.39345366223563</v>
      </c>
      <c r="CC50" s="58">
        <f t="shared" si="11"/>
        <v>551.45469152643102</v>
      </c>
      <c r="CD50" s="58">
        <f ca="1">AVERAGE(OFFSET($CC$3,0,0,'Données projet'!$E$12+1,1))-AVERAGE(OFFSET($H$3,0,0,'Données projet'!$E$12+1,1))</f>
        <v>308.58270639204238</v>
      </c>
      <c r="CE50" s="58">
        <f t="shared" si="40"/>
        <v>258.90832875500325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5.5128205128205083</v>
      </c>
      <c r="CT50" s="13">
        <f>IF('Données projet'!$A$140&gt;35,CT49+CS50-DB49,IF(A50&lt;'Données projet'!$A$140,$CQ$205^A50,IF(A50='Données projet'!$A$140,'Données projet'!$B$140,CT49+CS50-DB49)))</f>
        <v>163.58974358974365</v>
      </c>
      <c r="CU50" s="18">
        <f>CT50*VLOOKUP('Données projet'!$B$13,Paramètres!$A$1:$I$89,3,0)*VLOOKUP('Données projet'!$B$13,Paramètres!$A$1:$I$89,5,0)</f>
        <v>155.67200000000005</v>
      </c>
      <c r="CV50" s="14">
        <f t="shared" si="41"/>
        <v>39.86477040096252</v>
      </c>
      <c r="CW50" s="22">
        <f t="shared" si="13"/>
        <v>340.55987511500985</v>
      </c>
      <c r="CX50" s="58">
        <f t="shared" si="14"/>
        <v>593.62111297920524</v>
      </c>
      <c r="CY50" s="58">
        <f ca="1">AVERAGE(OFFSET($CX$3,0,0,'Données projet'!$E$13+1,1))-AVERAGE(OFFSET($H$3,0,0,'Données projet'!$E$13+1,1))</f>
        <v>397.61813291201469</v>
      </c>
      <c r="CZ50" s="58">
        <f t="shared" si="42"/>
        <v>320.30651625485064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1.9830073820812477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1.9830073820812477</v>
      </c>
      <c r="DJ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58" t="e">
        <f t="shared" si="17"/>
        <v>#N/A</v>
      </c>
      <c r="DT50" s="58" t="e">
        <f ca="1">AVERAGE(OFFSET($DS$3,0,0,'Données projet'!$E$14+1,1))-AVERAGE(OFFSET($H$3,0,0,'Données projet'!$E$14+1,1))</f>
        <v>#N/A</v>
      </c>
      <c r="DU50" s="58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58" t="e">
        <f t="shared" si="20"/>
        <v>#N/A</v>
      </c>
      <c r="EO50" s="58" t="e">
        <f ca="1">AVERAGE(OFFSET($EN$3,0,0,'Données projet'!$E$15+1,1))-AVERAGE(OFFSET($H$3,0,0,'Données projet'!$E$15+1,1))</f>
        <v>#N/A</v>
      </c>
      <c r="EP50" s="58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58" t="e">
        <f t="shared" si="23"/>
        <v>#N/A</v>
      </c>
      <c r="FJ50" s="58" t="e">
        <f ca="1">AVERAGE(OFFSET($FI$3,0,0,'Données projet'!$E$16+1,1))-AVERAGE(OFFSET($H$3,0,0,'Données projet'!$E$16+1,1))</f>
        <v>#N/A</v>
      </c>
      <c r="FK50" s="58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58" t="e">
        <f t="shared" si="26"/>
        <v>#N/A</v>
      </c>
      <c r="GE50" s="58" t="e">
        <f ca="1">AVERAGE(OFFSET($GD$3,0,0,'Données projet'!$E$17+1,1))-AVERAGE(OFFSET($H$3,0,0,'Données projet'!$E$17+1,1))</f>
        <v>#N/A</v>
      </c>
      <c r="GF50" s="58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58" t="e">
        <f t="shared" si="29"/>
        <v>#N/A</v>
      </c>
      <c r="GZ50" s="58" t="e">
        <f ca="1">AVERAGE(OFFSET($GY$3,0,0,'Données projet'!$E$18+1,1))-AVERAGE(OFFSET($H$3,0,0,'Données projet'!$E$18+1,1))</f>
        <v>#N/A</v>
      </c>
      <c r="HA50" s="58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0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3">
        <f t="shared" si="1"/>
        <v>183.33333333333334</v>
      </c>
      <c r="I51" s="6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176.06160000000008</v>
      </c>
      <c r="P51" s="14">
        <f t="shared" si="33"/>
        <v>44.444839741138928</v>
      </c>
      <c r="Q51" s="22">
        <f t="shared" si="53"/>
        <v>384.04871588248375</v>
      </c>
      <c r="R51" s="58">
        <f t="shared" si="0"/>
        <v>637.80858456815145</v>
      </c>
      <c r="S51" s="58">
        <f ca="1">AVERAGE(OFFSET($R$3,0,0,'Données projet'!$E$9+1,1))-AVERAGE(OFFSET($H$3,0,0,'Données projet'!$E$9+1,1))</f>
        <v>527.70171871461309</v>
      </c>
      <c r="T51" s="58">
        <f t="shared" si="34"/>
        <v>281.06176764290592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6.6</v>
      </c>
      <c r="AI51" s="14">
        <f>IF('Données projet'!$A$62&gt;35,AI50+AH51-AQ50,IF(A51&lt;'Données projet'!$A$62,$AF$205^A51,IF(A51='Données projet'!$A$62,'Données projet'!$B$62,AI50+AH51-AQ50)))</f>
        <v>226.80000000000007</v>
      </c>
      <c r="AJ51" s="14">
        <f>AI51*VLOOKUP('Données projet'!$B$10,Paramètres!$A$1:$I$89,3,0)*VLOOKUP('Données projet'!$B$10,Paramètres!$A$1:$I$89,5,0)</f>
        <v>148.59936000000005</v>
      </c>
      <c r="AK51" s="14">
        <f t="shared" si="35"/>
        <v>38.26011157093118</v>
      </c>
      <c r="AL51" s="22">
        <f t="shared" si="4"/>
        <v>325.44691298603851</v>
      </c>
      <c r="AM51" s="58">
        <f t="shared" si="5"/>
        <v>579.20678167170627</v>
      </c>
      <c r="AN51" s="58">
        <f ca="1">AVERAGE(OFFSET($AM$3,0,0,'Données projet'!$E$10+1,1))-AVERAGE(OFFSET($H$3,0,0,'Données projet'!$E$10+1,1))</f>
        <v>302.53318056366777</v>
      </c>
      <c r="AO51" s="58">
        <f t="shared" si="36"/>
        <v>318.32262615164541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1.6573612166577512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1.6573612166577512</v>
      </c>
      <c r="AY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7.1199999999999992</v>
      </c>
      <c r="BD51" s="13">
        <f>IF('Données projet'!$A$88&gt;35,BD50+BC51-BL50,IF(A51&lt;'Données projet'!$A$88,$BA$205^A51,IF(A51='Données projet'!$A$88,'Données projet'!$B$88,BD50+BC51-BL50)))</f>
        <v>225.96000000000009</v>
      </c>
      <c r="BE51" s="14">
        <f>BD51*VLOOKUP('Données projet'!$B$11,Paramètres!$A$1:$I$89,3,0)*VLOOKUP('Données projet'!$B$11,Paramètres!$A$1:$I$89,5,0)</f>
        <v>179.77377600000008</v>
      </c>
      <c r="BF51" s="14">
        <f t="shared" si="37"/>
        <v>45.271851811295718</v>
      </c>
      <c r="BG51" s="22">
        <f t="shared" si="7"/>
        <v>391.95446843800681</v>
      </c>
      <c r="BH51" s="58">
        <f t="shared" si="8"/>
        <v>645.71433712367457</v>
      </c>
      <c r="BI51" s="58">
        <f ca="1">AVERAGE(OFFSET($BH$3,0,0,'Données projet'!$E$11+1,1))-AVERAGE(OFFSET($H$3,0,0,'Données projet'!$E$11+1,1))</f>
        <v>336.25341821407534</v>
      </c>
      <c r="BJ51" s="58">
        <f t="shared" si="38"/>
        <v>360.3246221345039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3.1570453619632861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3.1570453619632861</v>
      </c>
      <c r="BT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5.8</v>
      </c>
      <c r="BY51" s="13">
        <f>IF('Données projet'!$A$114&gt;35,BY50+BX51-CG50,IF(A51&lt;'Données projet'!$A$114,$BV$205^A51,IF(A51='Données projet'!$A$114,'Données projet'!$B$114,BY50+BX51-CG50)))</f>
        <v>173.40000000000003</v>
      </c>
      <c r="BZ51" s="14">
        <f>BY51*VLOOKUP('Données projet'!$B$12,Paramètres!$A$1:$I$89,3,0)*VLOOKUP('Données projet'!$B$12,Paramètres!$A$1:$I$89,5,0)</f>
        <v>140.66208000000003</v>
      </c>
      <c r="CA51" s="14">
        <f t="shared" si="39"/>
        <v>36.448637053108627</v>
      </c>
      <c r="CB51" s="22">
        <f t="shared" si="10"/>
        <v>308.46783220083091</v>
      </c>
      <c r="CC51" s="58">
        <f t="shared" si="11"/>
        <v>562.22770088649861</v>
      </c>
      <c r="CD51" s="58">
        <f ca="1">AVERAGE(OFFSET($CC$3,0,0,'Données projet'!$E$12+1,1))-AVERAGE(OFFSET($H$3,0,0,'Données projet'!$E$12+1,1))</f>
        <v>308.58270639204238</v>
      </c>
      <c r="CE51" s="58">
        <f t="shared" si="40"/>
        <v>258.90832875500325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5.5128205128205083</v>
      </c>
      <c r="CT51" s="13">
        <f>IF('Données projet'!$A$140&gt;35,CT50+CS51-DB50,IF(A51&lt;'Données projet'!$A$140,$CQ$205^A51,IF(A51='Données projet'!$A$140,'Données projet'!$B$140,CT50+CS51-DB50)))</f>
        <v>169.10256410256414</v>
      </c>
      <c r="CU51" s="18">
        <f>CT51*VLOOKUP('Données projet'!$B$13,Paramètres!$A$1:$I$89,3,0)*VLOOKUP('Données projet'!$B$13,Paramètres!$A$1:$I$89,5,0)</f>
        <v>160.91800000000003</v>
      </c>
      <c r="CV51" s="14">
        <f t="shared" si="41"/>
        <v>41.049503875172206</v>
      </c>
      <c r="CW51" s="22">
        <f t="shared" si="13"/>
        <v>351.76006924925832</v>
      </c>
      <c r="CX51" s="58">
        <f t="shared" si="14"/>
        <v>605.51993793492602</v>
      </c>
      <c r="CY51" s="58">
        <f ca="1">AVERAGE(OFFSET($CX$3,0,0,'Données projet'!$E$13+1,1))-AVERAGE(OFFSET($H$3,0,0,'Données projet'!$E$13+1,1))</f>
        <v>397.61813291201469</v>
      </c>
      <c r="CZ51" s="58">
        <f t="shared" si="42"/>
        <v>320.30651625485064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1.92878194093641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1.92878194093641</v>
      </c>
      <c r="DJ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58" t="e">
        <f t="shared" si="17"/>
        <v>#N/A</v>
      </c>
      <c r="DT51" s="58" t="e">
        <f ca="1">AVERAGE(OFFSET($DS$3,0,0,'Données projet'!$E$14+1,1))-AVERAGE(OFFSET($H$3,0,0,'Données projet'!$E$14+1,1))</f>
        <v>#N/A</v>
      </c>
      <c r="DU51" s="58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58" t="e">
        <f t="shared" si="20"/>
        <v>#N/A</v>
      </c>
      <c r="EO51" s="58" t="e">
        <f ca="1">AVERAGE(OFFSET($EN$3,0,0,'Données projet'!$E$15+1,1))-AVERAGE(OFFSET($H$3,0,0,'Données projet'!$E$15+1,1))</f>
        <v>#N/A</v>
      </c>
      <c r="EP51" s="58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58" t="e">
        <f t="shared" si="23"/>
        <v>#N/A</v>
      </c>
      <c r="FJ51" s="58" t="e">
        <f ca="1">AVERAGE(OFFSET($FI$3,0,0,'Données projet'!$E$16+1,1))-AVERAGE(OFFSET($H$3,0,0,'Données projet'!$E$16+1,1))</f>
        <v>#N/A</v>
      </c>
      <c r="FK51" s="58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58" t="e">
        <f t="shared" si="26"/>
        <v>#N/A</v>
      </c>
      <c r="GE51" s="58" t="e">
        <f ca="1">AVERAGE(OFFSET($GD$3,0,0,'Données projet'!$E$17+1,1))-AVERAGE(OFFSET($H$3,0,0,'Données projet'!$E$17+1,1))</f>
        <v>#N/A</v>
      </c>
      <c r="GF51" s="58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58" t="e">
        <f t="shared" si="29"/>
        <v>#N/A</v>
      </c>
      <c r="GZ51" s="58" t="e">
        <f ca="1">AVERAGE(OFFSET($GY$3,0,0,'Données projet'!$E$18+1,1))-AVERAGE(OFFSET($H$3,0,0,'Données projet'!$E$18+1,1))</f>
        <v>#N/A</v>
      </c>
      <c r="HA51" s="58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0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3">
        <f t="shared" si="1"/>
        <v>183.33333333333334</v>
      </c>
      <c r="I52" s="6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185.32800000000006</v>
      </c>
      <c r="P52" s="14">
        <f t="shared" si="33"/>
        <v>46.505548070897625</v>
      </c>
      <c r="Q52" s="22">
        <f t="shared" si="53"/>
        <v>403.77676289014676</v>
      </c>
      <c r="R52" s="58">
        <f t="shared" si="0"/>
        <v>658.22314271443872</v>
      </c>
      <c r="S52" s="58">
        <f ca="1">AVERAGE(OFFSET($R$3,0,0,'Données projet'!$E$9+1,1))-AVERAGE(OFFSET($H$3,0,0,'Données projet'!$E$9+1,1))</f>
        <v>527.70171871461309</v>
      </c>
      <c r="T52" s="58">
        <f t="shared" si="34"/>
        <v>281.06176764290592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6.6</v>
      </c>
      <c r="AI52" s="14">
        <f>IF('Données projet'!$A$62&gt;35,AI51+AH52-AQ51,IF(A52&lt;'Données projet'!$A$62,$AF$205^A52,IF(A52='Données projet'!$A$62,'Données projet'!$B$62,AI51+AH52-AQ51)))</f>
        <v>233.40000000000006</v>
      </c>
      <c r="AJ52" s="14">
        <f>AI52*VLOOKUP('Données projet'!$B$10,Paramètres!$A$1:$I$89,3,0)*VLOOKUP('Données projet'!$B$10,Paramètres!$A$1:$I$89,5,0)</f>
        <v>152.92368000000005</v>
      </c>
      <c r="AK52" s="14">
        <f t="shared" si="35"/>
        <v>39.242254096949601</v>
      </c>
      <c r="AL52" s="22">
        <f t="shared" si="4"/>
        <v>334.68900188552061</v>
      </c>
      <c r="AM52" s="58">
        <f t="shared" si="5"/>
        <v>589.13538170981258</v>
      </c>
      <c r="AN52" s="58">
        <f ca="1">AVERAGE(OFFSET($AM$3,0,0,'Données projet'!$E$10+1,1))-AVERAGE(OFFSET($H$3,0,0,'Données projet'!$E$10+1,1))</f>
        <v>302.53318056366777</v>
      </c>
      <c r="AO52" s="58">
        <f t="shared" si="36"/>
        <v>318.32262615164541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1.6120405870314065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1.6120405870314065</v>
      </c>
      <c r="AY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7.1199999999999992</v>
      </c>
      <c r="BD52" s="13">
        <f>IF('Données projet'!$A$88&gt;35,BD51+BC52-BL51,IF(A52&lt;'Données projet'!$A$88,$BA$205^A52,IF(A52='Données projet'!$A$88,'Données projet'!$B$88,BD51+BC52-BL51)))</f>
        <v>233.0800000000001</v>
      </c>
      <c r="BE52" s="14">
        <f>BD52*VLOOKUP('Données projet'!$B$11,Paramètres!$A$1:$I$89,3,0)*VLOOKUP('Données projet'!$B$11,Paramètres!$A$1:$I$89,5,0)</f>
        <v>185.43844800000008</v>
      </c>
      <c r="BF52" s="14">
        <f t="shared" si="37"/>
        <v>46.530036573537593</v>
      </c>
      <c r="BG52" s="22">
        <f t="shared" si="7"/>
        <v>404.01177729891145</v>
      </c>
      <c r="BH52" s="58">
        <f t="shared" si="8"/>
        <v>658.45815712320336</v>
      </c>
      <c r="BI52" s="58">
        <f ca="1">AVERAGE(OFFSET($BH$3,0,0,'Données projet'!$E$11+1,1))-AVERAGE(OFFSET($H$3,0,0,'Données projet'!$E$11+1,1))</f>
        <v>336.25341821407534</v>
      </c>
      <c r="BJ52" s="58">
        <f t="shared" si="38"/>
        <v>360.3246221345039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3.0707157905185998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3.0707157905185998</v>
      </c>
      <c r="BT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5.8</v>
      </c>
      <c r="BY52" s="13">
        <f>IF('Données projet'!$A$114&gt;35,BY51+BX52-CG51,IF(A52&lt;'Données projet'!$A$114,$BV$205^A52,IF(A52='Données projet'!$A$114,'Données projet'!$B$114,BY51+BX52-CG51)))</f>
        <v>179.20000000000005</v>
      </c>
      <c r="BZ52" s="14">
        <f>BY52*VLOOKUP('Données projet'!$B$12,Paramètres!$A$1:$I$89,3,0)*VLOOKUP('Données projet'!$B$12,Paramètres!$A$1:$I$89,5,0)</f>
        <v>145.36704000000003</v>
      </c>
      <c r="CA52" s="14">
        <f t="shared" si="39"/>
        <v>37.523814117080832</v>
      </c>
      <c r="CB52" s="22">
        <f t="shared" si="10"/>
        <v>318.53490425391578</v>
      </c>
      <c r="CC52" s="58">
        <f t="shared" si="11"/>
        <v>572.98128407820775</v>
      </c>
      <c r="CD52" s="58">
        <f ca="1">AVERAGE(OFFSET($CC$3,0,0,'Données projet'!$E$12+1,1))-AVERAGE(OFFSET($H$3,0,0,'Données projet'!$E$12+1,1))</f>
        <v>308.58270639204238</v>
      </c>
      <c r="CE52" s="58">
        <f t="shared" si="40"/>
        <v>258.90832875500325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5.5128205128205083</v>
      </c>
      <c r="CT52" s="13">
        <f>IF('Données projet'!$A$140&gt;35,CT51+CS52-DB51,IF(A52&lt;'Données projet'!$A$140,$CQ$205^A52,IF(A52='Données projet'!$A$140,'Données projet'!$B$140,CT51+CS52-DB51)))</f>
        <v>174.61538461538464</v>
      </c>
      <c r="CU52" s="18">
        <f>CT52*VLOOKUP('Données projet'!$B$13,Paramètres!$A$1:$I$89,3,0)*VLOOKUP('Données projet'!$B$13,Paramètres!$A$1:$I$89,5,0)</f>
        <v>166.16400000000004</v>
      </c>
      <c r="CV52" s="14">
        <f t="shared" si="41"/>
        <v>42.229749328882683</v>
      </c>
      <c r="CW52" s="22">
        <f t="shared" si="13"/>
        <v>362.95244674780406</v>
      </c>
      <c r="CX52" s="58">
        <f t="shared" si="14"/>
        <v>617.39882657209603</v>
      </c>
      <c r="CY52" s="58">
        <f ca="1">AVERAGE(OFFSET($CX$3,0,0,'Données projet'!$E$13+1,1))-AVERAGE(OFFSET($H$3,0,0,'Données projet'!$E$13+1,1))</f>
        <v>397.61813291201469</v>
      </c>
      <c r="CZ52" s="58">
        <f t="shared" si="42"/>
        <v>320.30651625485064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1.8760392973312698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1.8760392973312698</v>
      </c>
      <c r="DJ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58" t="e">
        <f t="shared" si="17"/>
        <v>#N/A</v>
      </c>
      <c r="DT52" s="58" t="e">
        <f ca="1">AVERAGE(OFFSET($DS$3,0,0,'Données projet'!$E$14+1,1))-AVERAGE(OFFSET($H$3,0,0,'Données projet'!$E$14+1,1))</f>
        <v>#N/A</v>
      </c>
      <c r="DU52" s="58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58" t="e">
        <f t="shared" si="20"/>
        <v>#N/A</v>
      </c>
      <c r="EO52" s="58" t="e">
        <f ca="1">AVERAGE(OFFSET($EN$3,0,0,'Données projet'!$E$15+1,1))-AVERAGE(OFFSET($H$3,0,0,'Données projet'!$E$15+1,1))</f>
        <v>#N/A</v>
      </c>
      <c r="EP52" s="58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58" t="e">
        <f t="shared" si="23"/>
        <v>#N/A</v>
      </c>
      <c r="FJ52" s="58" t="e">
        <f ca="1">AVERAGE(OFFSET($FI$3,0,0,'Données projet'!$E$16+1,1))-AVERAGE(OFFSET($H$3,0,0,'Données projet'!$E$16+1,1))</f>
        <v>#N/A</v>
      </c>
      <c r="FK52" s="58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58" t="e">
        <f t="shared" si="26"/>
        <v>#N/A</v>
      </c>
      <c r="GE52" s="58" t="e">
        <f ca="1">AVERAGE(OFFSET($GD$3,0,0,'Données projet'!$E$17+1,1))-AVERAGE(OFFSET($H$3,0,0,'Données projet'!$E$17+1,1))</f>
        <v>#N/A</v>
      </c>
      <c r="GF52" s="58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58" t="e">
        <f t="shared" si="29"/>
        <v>#N/A</v>
      </c>
      <c r="GZ52" s="58" t="e">
        <f ca="1">AVERAGE(OFFSET($GY$3,0,0,'Données projet'!$E$18+1,1))-AVERAGE(OFFSET($H$3,0,0,'Données projet'!$E$18+1,1))</f>
        <v>#N/A</v>
      </c>
      <c r="HA52" s="58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0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3">
        <f t="shared" si="1"/>
        <v>183.33333333333334</v>
      </c>
      <c r="I53" s="6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194.59440000000006</v>
      </c>
      <c r="P53" s="14">
        <f t="shared" si="33"/>
        <v>48.554292648263456</v>
      </c>
      <c r="Q53" s="22">
        <f t="shared" si="53"/>
        <v>423.48397302905897</v>
      </c>
      <c r="R53" s="58">
        <f t="shared" si="0"/>
        <v>678.60495455852902</v>
      </c>
      <c r="S53" s="58">
        <f ca="1">AVERAGE(OFFSET($R$3,0,0,'Données projet'!$E$9+1,1))-AVERAGE(OFFSET($H$3,0,0,'Données projet'!$E$9+1,1))</f>
        <v>527.70171871461309</v>
      </c>
      <c r="T53" s="58">
        <f t="shared" si="34"/>
        <v>281.06176764290592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240</v>
      </c>
      <c r="AG53" s="13">
        <f>VLOOKUP(A53,'Données projet'!$A$61:$I$81,9,0)</f>
        <v>6.6</v>
      </c>
      <c r="AH53" s="13">
        <f t="array" ref="AH53">INDEX(AG:AG,MIN(IF(ISNUMBER(AG53:AG249),ROW(AG53:AG249),"")))</f>
        <v>6.6</v>
      </c>
      <c r="AI53" s="14">
        <f>IF('Données projet'!$A$62&gt;35,AI52+AH53-AQ52,IF(A53&lt;'Données projet'!$A$62,$AF$205^A53,IF(A53='Données projet'!$A$62,'Données projet'!$B$62,AI52+AH53-AQ52)))</f>
        <v>240.00000000000006</v>
      </c>
      <c r="AJ53" s="14">
        <f>AI53*VLOOKUP('Données projet'!$B$10,Paramètres!$A$1:$I$89,3,0)*VLOOKUP('Données projet'!$B$10,Paramètres!$A$1:$I$89,5,0)</f>
        <v>157.24800000000005</v>
      </c>
      <c r="AK53" s="14">
        <f t="shared" si="35"/>
        <v>40.221168744348645</v>
      </c>
      <c r="AL53" s="22">
        <f t="shared" si="4"/>
        <v>343.92546889640727</v>
      </c>
      <c r="AM53" s="58">
        <f t="shared" si="5"/>
        <v>599.04645042587731</v>
      </c>
      <c r="AN53" s="58">
        <f ca="1">AVERAGE(OFFSET($AM$3,0,0,'Données projet'!$E$10+1,1))-AVERAGE(OFFSET($H$3,0,0,'Données projet'!$E$10+1,1))</f>
        <v>302.53318056366777</v>
      </c>
      <c r="AO53" s="58">
        <f t="shared" si="36"/>
        <v>318.32262615164541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43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1.5679592524055026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1.5679592524055026</v>
      </c>
      <c r="AY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240.20000000000002</v>
      </c>
      <c r="BB53" s="13">
        <f>VLOOKUP(A53,'Données projet'!$A$87:$I$107,9,0)</f>
        <v>7.1199999999999992</v>
      </c>
      <c r="BC53" s="13">
        <f t="array" ref="BC53">INDEX(BB:BB,MIN(IF(ISNUMBER(BB53:BB249),ROW(BB53:BB249),"")))</f>
        <v>7.1199999999999992</v>
      </c>
      <c r="BD53" s="13">
        <f>IF('Données projet'!$A$88&gt;35,BD52+BC53-BL52,IF(A53&lt;'Données projet'!$A$88,$BA$205^A53,IF(A53='Données projet'!$A$88,'Données projet'!$B$88,BD52+BC53-BL52)))</f>
        <v>240.2000000000001</v>
      </c>
      <c r="BE53" s="14">
        <f>BD53*VLOOKUP('Données projet'!$B$11,Paramètres!$A$1:$I$89,3,0)*VLOOKUP('Données projet'!$B$11,Paramètres!$A$1:$I$89,5,0)</f>
        <v>191.10312000000008</v>
      </c>
      <c r="BF53" s="14">
        <f t="shared" si="37"/>
        <v>47.783754789189338</v>
      </c>
      <c r="BG53" s="22">
        <f t="shared" si="7"/>
        <v>416.06130692450489</v>
      </c>
      <c r="BH53" s="58">
        <f t="shared" si="8"/>
        <v>671.18228845397493</v>
      </c>
      <c r="BI53" s="58">
        <f ca="1">AVERAGE(OFFSET($BH$3,0,0,'Données projet'!$E$11+1,1))-AVERAGE(OFFSET($H$3,0,0,'Données projet'!$E$11+1,1))</f>
        <v>336.25341821407534</v>
      </c>
      <c r="BJ53" s="58">
        <f t="shared" si="38"/>
        <v>360.3246221345039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38.299999999999997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2.9867469057449436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2.9867469057449436</v>
      </c>
      <c r="BT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185</v>
      </c>
      <c r="BW53" s="13">
        <f>VLOOKUP(A53,'Données projet'!$A$113:$I$133,9,0)</f>
        <v>5.8</v>
      </c>
      <c r="BX53" s="13">
        <f t="array" ref="BX53">INDEX(BW:BW,MIN(IF(ISNUMBER(BW53:BW249),ROW(BW53:BW249),"")))</f>
        <v>5.8</v>
      </c>
      <c r="BY53" s="13">
        <f>IF('Données projet'!$A$114&gt;35,BY52+BX53-CG52,IF(A53&lt;'Données projet'!$A$114,$BV$205^A53,IF(A53='Données projet'!$A$114,'Données projet'!$B$114,BY52+BX53-CG52)))</f>
        <v>185.00000000000006</v>
      </c>
      <c r="BZ53" s="14">
        <f>BY53*VLOOKUP('Données projet'!$B$12,Paramètres!$A$1:$I$89,3,0)*VLOOKUP('Données projet'!$B$12,Paramètres!$A$1:$I$89,5,0)</f>
        <v>150.07200000000006</v>
      </c>
      <c r="CA53" s="14">
        <f t="shared" si="39"/>
        <v>38.594947422201457</v>
      </c>
      <c r="CB53" s="22">
        <f t="shared" si="10"/>
        <v>328.59493342700102</v>
      </c>
      <c r="CC53" s="58">
        <f t="shared" si="11"/>
        <v>583.71591495647112</v>
      </c>
      <c r="CD53" s="58">
        <f ca="1">AVERAGE(OFFSET($CC$3,0,0,'Données projet'!$E$12+1,1))-AVERAGE(OFFSET($H$3,0,0,'Données projet'!$E$12+1,1))</f>
        <v>308.58270639204238</v>
      </c>
      <c r="CE53" s="58">
        <f t="shared" si="40"/>
        <v>258.90832875500325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180.12820512820511</v>
      </c>
      <c r="CR53" s="13">
        <f>VLOOKUP(A53,'Données projet'!$A$139:$I$159,9,0)</f>
        <v>5.5128205128205083</v>
      </c>
      <c r="CS53" s="13">
        <f t="array" ref="CS53">INDEX(CR:CR,MIN(IF(ISNUMBER(CR53:CR249),ROW(CR53:CR249),"")))</f>
        <v>5.5128205128205083</v>
      </c>
      <c r="CT53" s="13">
        <f>IF('Données projet'!$A$140&gt;35,CT52+CS53-DB52,IF(A53&lt;'Données projet'!$A$140,$CQ$205^A53,IF(A53='Données projet'!$A$140,'Données projet'!$B$140,CT52+CS53-DB52)))</f>
        <v>180.12820512820514</v>
      </c>
      <c r="CU53" s="18">
        <f>CT53*VLOOKUP('Données projet'!$B$13,Paramètres!$A$1:$I$89,3,0)*VLOOKUP('Données projet'!$B$13,Paramètres!$A$1:$I$89,5,0)</f>
        <v>171.41000000000003</v>
      </c>
      <c r="CV53" s="14">
        <f t="shared" si="41"/>
        <v>43.405664710300847</v>
      </c>
      <c r="CW53" s="22">
        <f t="shared" si="13"/>
        <v>374.13728270377402</v>
      </c>
      <c r="CX53" s="58">
        <f t="shared" si="14"/>
        <v>629.25826423324406</v>
      </c>
      <c r="CY53" s="58">
        <f ca="1">AVERAGE(OFFSET($CX$3,0,0,'Données projet'!$E$13+1,1))-AVERAGE(OFFSET($H$3,0,0,'Données projet'!$E$13+1,1))</f>
        <v>397.61813291201469</v>
      </c>
      <c r="CZ53" s="58">
        <f t="shared" si="42"/>
        <v>320.30651625485064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30.769230769230766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1.8247389040891273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1.8247389040891273</v>
      </c>
      <c r="DJ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58" t="e">
        <f t="shared" si="17"/>
        <v>#N/A</v>
      </c>
      <c r="DT53" s="58" t="e">
        <f ca="1">AVERAGE(OFFSET($DS$3,0,0,'Données projet'!$E$14+1,1))-AVERAGE(OFFSET($H$3,0,0,'Données projet'!$E$14+1,1))</f>
        <v>#N/A</v>
      </c>
      <c r="DU53" s="58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58" t="e">
        <f t="shared" si="20"/>
        <v>#N/A</v>
      </c>
      <c r="EO53" s="58" t="e">
        <f ca="1">AVERAGE(OFFSET($EN$3,0,0,'Données projet'!$E$15+1,1))-AVERAGE(OFFSET($H$3,0,0,'Données projet'!$E$15+1,1))</f>
        <v>#N/A</v>
      </c>
      <c r="EP53" s="58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58" t="e">
        <f t="shared" si="23"/>
        <v>#N/A</v>
      </c>
      <c r="FJ53" s="58" t="e">
        <f ca="1">AVERAGE(OFFSET($FI$3,0,0,'Données projet'!$E$16+1,1))-AVERAGE(OFFSET($H$3,0,0,'Données projet'!$E$16+1,1))</f>
        <v>#N/A</v>
      </c>
      <c r="FK53" s="58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58" t="e">
        <f t="shared" si="26"/>
        <v>#N/A</v>
      </c>
      <c r="GE53" s="58" t="e">
        <f ca="1">AVERAGE(OFFSET($GD$3,0,0,'Données projet'!$E$17+1,1))-AVERAGE(OFFSET($H$3,0,0,'Données projet'!$E$17+1,1))</f>
        <v>#N/A</v>
      </c>
      <c r="GF53" s="58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58" t="e">
        <f t="shared" si="29"/>
        <v>#N/A</v>
      </c>
      <c r="GZ53" s="58" t="e">
        <f ca="1">AVERAGE(OFFSET($GY$3,0,0,'Données projet'!$E$18+1,1))-AVERAGE(OFFSET($H$3,0,0,'Données projet'!$E$18+1,1))</f>
        <v>#N/A</v>
      </c>
      <c r="HA53" s="58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0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3">
        <f t="shared" si="1"/>
        <v>183.33333333333334</v>
      </c>
      <c r="I54" s="6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203.18688000000009</v>
      </c>
      <c r="P54" s="14">
        <f t="shared" si="33"/>
        <v>50.443901791793827</v>
      </c>
      <c r="Q54" s="22">
        <f t="shared" si="53"/>
        <v>441.74027828737439</v>
      </c>
      <c r="R54" s="58">
        <f t="shared" si="0"/>
        <v>697.52415869062122</v>
      </c>
      <c r="S54" s="58">
        <f ca="1">AVERAGE(OFFSET($R$3,0,0,'Données projet'!$E$9+1,1))-AVERAGE(OFFSET($H$3,0,0,'Données projet'!$E$9+1,1))</f>
        <v>527.70171871461309</v>
      </c>
      <c r="T54" s="58">
        <f t="shared" si="34"/>
        <v>281.06176764290592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5.2</v>
      </c>
      <c r="AI54" s="14">
        <f>IF('Données projet'!$A$62&gt;35,AI53+AH54-AQ53,IF(A54&lt;'Données projet'!$A$62,$AF$205^A54,IF(A54='Données projet'!$A$62,'Données projet'!$B$62,AI53+AH54-AQ53)))</f>
        <v>202.20000000000005</v>
      </c>
      <c r="AJ54" s="14">
        <f>AI54*VLOOKUP('Données projet'!$B$10,Paramètres!$A$1:$I$89,3,0)*VLOOKUP('Données projet'!$B$10,Paramètres!$A$1:$I$89,5,0)</f>
        <v>132.48144000000005</v>
      </c>
      <c r="AK54" s="14">
        <f t="shared" si="35"/>
        <v>34.569114749996544</v>
      </c>
      <c r="AL54" s="22">
        <f t="shared" si="4"/>
        <v>290.94638285624404</v>
      </c>
      <c r="AM54" s="58">
        <f t="shared" si="5"/>
        <v>546.73026325949081</v>
      </c>
      <c r="AN54" s="58">
        <f ca="1">AVERAGE(OFFSET($AM$3,0,0,'Données projet'!$E$10+1,1))-AVERAGE(OFFSET($H$3,0,0,'Données projet'!$E$10+1,1))</f>
        <v>302.53318056366777</v>
      </c>
      <c r="AO54" s="58">
        <f t="shared" si="36"/>
        <v>318.32262615164541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1.5250833241930806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1.5250833241930806</v>
      </c>
      <c r="AY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6.119999999999993</v>
      </c>
      <c r="BD54" s="13">
        <f>IF('Données projet'!$A$88&gt;35,BD53+BC54-BL53,IF(A54&lt;'Données projet'!$A$88,$BA$205^A54,IF(A54='Données projet'!$A$88,'Données projet'!$B$88,BD53+BC54-BL53)))</f>
        <v>208.0200000000001</v>
      </c>
      <c r="BE54" s="14">
        <f>BD54*VLOOKUP('Données projet'!$B$11,Paramètres!$A$1:$I$89,3,0)*VLOOKUP('Données projet'!$B$11,Paramètres!$A$1:$I$89,5,0)</f>
        <v>165.50071200000008</v>
      </c>
      <c r="BF54" s="14">
        <f t="shared" si="37"/>
        <v>42.080765048766054</v>
      </c>
      <c r="BG54" s="22">
        <f t="shared" si="7"/>
        <v>361.53773919326767</v>
      </c>
      <c r="BH54" s="58">
        <f t="shared" si="8"/>
        <v>617.32161959651444</v>
      </c>
      <c r="BI54" s="58">
        <f ca="1">AVERAGE(OFFSET($BH$3,0,0,'Données projet'!$E$11+1,1))-AVERAGE(OFFSET($H$3,0,0,'Données projet'!$E$11+1,1))</f>
        <v>336.25341821407534</v>
      </c>
      <c r="BJ54" s="58">
        <f t="shared" si="38"/>
        <v>360.3246221345039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2.9050741545411545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2.9050741545411545</v>
      </c>
      <c r="BT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5.4</v>
      </c>
      <c r="BY54" s="13">
        <f>IF('Données projet'!$A$114&gt;35,BY53+BX54-CG53,IF(A54&lt;'Données projet'!$A$114,$BV$205^A54,IF(A54='Données projet'!$A$114,'Données projet'!$B$114,BY53+BX54-CG53)))</f>
        <v>162.40000000000006</v>
      </c>
      <c r="BZ54" s="14">
        <f>BY54*VLOOKUP('Données projet'!$B$12,Paramètres!$A$1:$I$89,3,0)*VLOOKUP('Données projet'!$B$12,Paramètres!$A$1:$I$89,5,0)</f>
        <v>131.73888000000005</v>
      </c>
      <c r="CA54" s="14">
        <f t="shared" si="39"/>
        <v>34.397852193895858</v>
      </c>
      <c r="CB54" s="22">
        <f t="shared" si="10"/>
        <v>289.35480857103533</v>
      </c>
      <c r="CC54" s="58">
        <f t="shared" si="11"/>
        <v>545.1386889742821</v>
      </c>
      <c r="CD54" s="58">
        <f ca="1">AVERAGE(OFFSET($CC$3,0,0,'Données projet'!$E$12+1,1))-AVERAGE(OFFSET($H$3,0,0,'Données projet'!$E$12+1,1))</f>
        <v>308.58270639204238</v>
      </c>
      <c r="CE54" s="58">
        <f t="shared" si="40"/>
        <v>258.90832875500325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5.2564102564102599</v>
      </c>
      <c r="CT54" s="13">
        <f>IF('Données projet'!$A$140&gt;35,CT53+CS54-DB53,IF(A54&lt;'Données projet'!$A$140,$CQ$205^A54,IF(A54='Données projet'!$A$140,'Données projet'!$B$140,CT53+CS54-DB53)))</f>
        <v>154.61538461538461</v>
      </c>
      <c r="CU54" s="18">
        <f>CT54*VLOOKUP('Données projet'!$B$13,Paramètres!$A$1:$I$89,3,0)*VLOOKUP('Données projet'!$B$13,Paramètres!$A$1:$I$89,5,0)</f>
        <v>147.13200000000001</v>
      </c>
      <c r="CV54" s="14">
        <f t="shared" si="41"/>
        <v>37.926091844382093</v>
      </c>
      <c r="CW54" s="22">
        <f t="shared" si="13"/>
        <v>322.30950996229876</v>
      </c>
      <c r="CX54" s="58">
        <f t="shared" si="14"/>
        <v>578.09339036554559</v>
      </c>
      <c r="CY54" s="58">
        <f ca="1">AVERAGE(OFFSET($CX$3,0,0,'Données projet'!$E$13+1,1))-AVERAGE(OFFSET($H$3,0,0,'Données projet'!$E$13+1,1))</f>
        <v>397.61813291201469</v>
      </c>
      <c r="CZ54" s="58">
        <f t="shared" si="42"/>
        <v>320.30651625485064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1.7748413227979616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1.7748413227979616</v>
      </c>
      <c r="DJ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58" t="e">
        <f t="shared" si="17"/>
        <v>#N/A</v>
      </c>
      <c r="DT54" s="58" t="e">
        <f ca="1">AVERAGE(OFFSET($DS$3,0,0,'Données projet'!$E$14+1,1))-AVERAGE(OFFSET($H$3,0,0,'Données projet'!$E$14+1,1))</f>
        <v>#N/A</v>
      </c>
      <c r="DU54" s="58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58" t="e">
        <f t="shared" si="20"/>
        <v>#N/A</v>
      </c>
      <c r="EO54" s="58" t="e">
        <f ca="1">AVERAGE(OFFSET($EN$3,0,0,'Données projet'!$E$15+1,1))-AVERAGE(OFFSET($H$3,0,0,'Données projet'!$E$15+1,1))</f>
        <v>#N/A</v>
      </c>
      <c r="EP54" s="58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58" t="e">
        <f t="shared" si="23"/>
        <v>#N/A</v>
      </c>
      <c r="FJ54" s="58" t="e">
        <f ca="1">AVERAGE(OFFSET($FI$3,0,0,'Données projet'!$E$16+1,1))-AVERAGE(OFFSET($H$3,0,0,'Données projet'!$E$16+1,1))</f>
        <v>#N/A</v>
      </c>
      <c r="FK54" s="58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58" t="e">
        <f t="shared" si="26"/>
        <v>#N/A</v>
      </c>
      <c r="GE54" s="58" t="e">
        <f ca="1">AVERAGE(OFFSET($GD$3,0,0,'Données projet'!$E$17+1,1))-AVERAGE(OFFSET($H$3,0,0,'Données projet'!$E$17+1,1))</f>
        <v>#N/A</v>
      </c>
      <c r="GF54" s="58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58" t="e">
        <f t="shared" si="29"/>
        <v>#N/A</v>
      </c>
      <c r="GZ54" s="58" t="e">
        <f ca="1">AVERAGE(OFFSET($GY$3,0,0,'Données projet'!$E$18+1,1))-AVERAGE(OFFSET($H$3,0,0,'Données projet'!$E$18+1,1))</f>
        <v>#N/A</v>
      </c>
      <c r="HA54" s="58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0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3">
        <f t="shared" si="1"/>
        <v>183.33333333333334</v>
      </c>
      <c r="I55" s="6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211.77936000000005</v>
      </c>
      <c r="P55" s="14">
        <f t="shared" si="33"/>
        <v>52.324229479404138</v>
      </c>
      <c r="Q55" s="22">
        <f t="shared" si="53"/>
        <v>459.98041834329564</v>
      </c>
      <c r="R55" s="58">
        <f t="shared" si="0"/>
        <v>716.41569780687905</v>
      </c>
      <c r="S55" s="58">
        <f ca="1">AVERAGE(OFFSET($R$3,0,0,'Données projet'!$E$9+1,1))-AVERAGE(OFFSET($H$3,0,0,'Données projet'!$E$9+1,1))</f>
        <v>527.70171871461309</v>
      </c>
      <c r="T55" s="58">
        <f t="shared" si="34"/>
        <v>281.06176764290592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5.2</v>
      </c>
      <c r="AI55" s="14">
        <f>IF('Données projet'!$A$62&gt;35,AI54+AH55-AQ54,IF(A55&lt;'Données projet'!$A$62,$AF$205^A55,IF(A55='Données projet'!$A$62,'Données projet'!$B$62,AI54+AH55-AQ54)))</f>
        <v>207.40000000000003</v>
      </c>
      <c r="AJ55" s="14">
        <f>AI55*VLOOKUP('Données projet'!$B$10,Paramètres!$A$1:$I$89,3,0)*VLOOKUP('Données projet'!$B$10,Paramètres!$A$1:$I$89,5,0)</f>
        <v>135.88848000000002</v>
      </c>
      <c r="AK55" s="14">
        <f t="shared" si="35"/>
        <v>35.353486228582142</v>
      </c>
      <c r="AL55" s="22">
        <f t="shared" si="4"/>
        <v>298.24642451478059</v>
      </c>
      <c r="AM55" s="58">
        <f t="shared" si="5"/>
        <v>554.68170397836388</v>
      </c>
      <c r="AN55" s="58">
        <f ca="1">AVERAGE(OFFSET($AM$3,0,0,'Données projet'!$E$10+1,1))-AVERAGE(OFFSET($H$3,0,0,'Données projet'!$E$10+1,1))</f>
        <v>302.53318056366777</v>
      </c>
      <c r="AO55" s="58">
        <f t="shared" si="36"/>
        <v>318.32262615164541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1.4833798404923744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1.4833798404923744</v>
      </c>
      <c r="AY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6.119999999999993</v>
      </c>
      <c r="BD55" s="13">
        <f>IF('Données projet'!$A$88&gt;35,BD54+BC55-BL54,IF(A55&lt;'Données projet'!$A$88,$BA$205^A55,IF(A55='Données projet'!$A$88,'Données projet'!$B$88,BD54+BC55-BL54)))</f>
        <v>214.1400000000001</v>
      </c>
      <c r="BE55" s="14">
        <f>BD55*VLOOKUP('Données projet'!$B$11,Paramètres!$A$1:$I$89,3,0)*VLOOKUP('Données projet'!$B$11,Paramètres!$A$1:$I$89,5,0)</f>
        <v>170.3697840000001</v>
      </c>
      <c r="BF55" s="14">
        <f t="shared" si="37"/>
        <v>43.172832424038276</v>
      </c>
      <c r="BG55" s="22">
        <f t="shared" si="7"/>
        <v>371.92005693853349</v>
      </c>
      <c r="BH55" s="58">
        <f t="shared" si="8"/>
        <v>628.35533640211679</v>
      </c>
      <c r="BI55" s="58">
        <f ca="1">AVERAGE(OFFSET($BH$3,0,0,'Données projet'!$E$11+1,1))-AVERAGE(OFFSET($H$3,0,0,'Données projet'!$E$11+1,1))</f>
        <v>336.25341821407534</v>
      </c>
      <c r="BJ55" s="58">
        <f t="shared" si="38"/>
        <v>360.3246221345039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2.8256347490140166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2.8256347490140166</v>
      </c>
      <c r="BT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5.4</v>
      </c>
      <c r="BY55" s="13">
        <f>IF('Données projet'!$A$114&gt;35,BY54+BX55-CG54,IF(A55&lt;'Données projet'!$A$114,$BV$205^A55,IF(A55='Données projet'!$A$114,'Données projet'!$B$114,BY54+BX55-CG54)))</f>
        <v>167.80000000000007</v>
      </c>
      <c r="BZ55" s="14">
        <f>BY55*VLOOKUP('Données projet'!$B$12,Paramètres!$A$1:$I$89,3,0)*VLOOKUP('Données projet'!$B$12,Paramètres!$A$1:$I$89,5,0)</f>
        <v>136.11936000000009</v>
      </c>
      <c r="CA55" s="14">
        <f t="shared" si="39"/>
        <v>35.406556182020879</v>
      </c>
      <c r="CB55" s="22">
        <f t="shared" si="10"/>
        <v>298.7409706836865</v>
      </c>
      <c r="CC55" s="58">
        <f t="shared" si="11"/>
        <v>555.17625014726991</v>
      </c>
      <c r="CD55" s="58">
        <f ca="1">AVERAGE(OFFSET($CC$3,0,0,'Données projet'!$E$12+1,1))-AVERAGE(OFFSET($H$3,0,0,'Données projet'!$E$12+1,1))</f>
        <v>308.58270639204238</v>
      </c>
      <c r="CE55" s="58">
        <f t="shared" si="40"/>
        <v>258.90832875500325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5.2564102564102599</v>
      </c>
      <c r="CT55" s="13">
        <f>IF('Données projet'!$A$140&gt;35,CT54+CS55-DB54,IF(A55&lt;'Données projet'!$A$140,$CQ$205^A55,IF(A55='Données projet'!$A$140,'Données projet'!$B$140,CT54+CS55-DB54)))</f>
        <v>159.87179487179486</v>
      </c>
      <c r="CU55" s="18">
        <f>CT55*VLOOKUP('Données projet'!$B$13,Paramètres!$A$1:$I$89,3,0)*VLOOKUP('Données projet'!$B$13,Paramètres!$A$1:$I$89,5,0)</f>
        <v>152.13399999999999</v>
      </c>
      <c r="CV55" s="14">
        <f t="shared" si="41"/>
        <v>39.063145346110034</v>
      </c>
      <c r="CW55" s="22">
        <f t="shared" si="13"/>
        <v>333.00169481114159</v>
      </c>
      <c r="CX55" s="58">
        <f t="shared" si="14"/>
        <v>589.43697427472489</v>
      </c>
      <c r="CY55" s="58">
        <f ca="1">AVERAGE(OFFSET($CX$3,0,0,'Données projet'!$E$13+1,1))-AVERAGE(OFFSET($H$3,0,0,'Données projet'!$E$13+1,1))</f>
        <v>397.61813291201469</v>
      </c>
      <c r="CZ55" s="58">
        <f t="shared" si="42"/>
        <v>320.30651625485064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1.7263081934912026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1.7263081934912026</v>
      </c>
      <c r="DJ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58" t="e">
        <f t="shared" si="17"/>
        <v>#N/A</v>
      </c>
      <c r="DT55" s="58" t="e">
        <f ca="1">AVERAGE(OFFSET($DS$3,0,0,'Données projet'!$E$14+1,1))-AVERAGE(OFFSET($H$3,0,0,'Données projet'!$E$14+1,1))</f>
        <v>#N/A</v>
      </c>
      <c r="DU55" s="58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58" t="e">
        <f t="shared" si="20"/>
        <v>#N/A</v>
      </c>
      <c r="EO55" s="58" t="e">
        <f ca="1">AVERAGE(OFFSET($EN$3,0,0,'Données projet'!$E$15+1,1))-AVERAGE(OFFSET($H$3,0,0,'Données projet'!$E$15+1,1))</f>
        <v>#N/A</v>
      </c>
      <c r="EP55" s="58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58" t="e">
        <f t="shared" si="23"/>
        <v>#N/A</v>
      </c>
      <c r="FJ55" s="58" t="e">
        <f ca="1">AVERAGE(OFFSET($FI$3,0,0,'Données projet'!$E$16+1,1))-AVERAGE(OFFSET($H$3,0,0,'Données projet'!$E$16+1,1))</f>
        <v>#N/A</v>
      </c>
      <c r="FK55" s="58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58" t="e">
        <f t="shared" si="26"/>
        <v>#N/A</v>
      </c>
      <c r="GE55" s="58" t="e">
        <f ca="1">AVERAGE(OFFSET($GD$3,0,0,'Données projet'!$E$17+1,1))-AVERAGE(OFFSET($H$3,0,0,'Données projet'!$E$17+1,1))</f>
        <v>#N/A</v>
      </c>
      <c r="GF55" s="58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58" t="e">
        <f t="shared" si="29"/>
        <v>#N/A</v>
      </c>
      <c r="GZ55" s="58" t="e">
        <f ca="1">AVERAGE(OFFSET($GY$3,0,0,'Données projet'!$E$18+1,1))-AVERAGE(OFFSET($H$3,0,0,'Données projet'!$E$18+1,1))</f>
        <v>#N/A</v>
      </c>
      <c r="HA55" s="58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0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3">
        <f t="shared" si="1"/>
        <v>183.33333333333334</v>
      </c>
      <c r="I56" s="6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220.37184000000002</v>
      </c>
      <c r="P56" s="14">
        <f t="shared" si="33"/>
        <v>54.195695362491193</v>
      </c>
      <c r="Q56" s="22">
        <f t="shared" si="53"/>
        <v>478.20512408967215</v>
      </c>
      <c r="R56" s="58">
        <f t="shared" si="0"/>
        <v>735.28050229620544</v>
      </c>
      <c r="S56" s="58">
        <f ca="1">AVERAGE(OFFSET($R$3,0,0,'Données projet'!$E$9+1,1))-AVERAGE(OFFSET($H$3,0,0,'Données projet'!$E$9+1,1))</f>
        <v>527.70171871461309</v>
      </c>
      <c r="T56" s="58">
        <f t="shared" si="34"/>
        <v>281.06176764290592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5.2</v>
      </c>
      <c r="AI56" s="14">
        <f>IF('Données projet'!$A$62&gt;35,AI55+AH56-AQ55,IF(A56&lt;'Données projet'!$A$62,$AF$205^A56,IF(A56='Données projet'!$A$62,'Données projet'!$B$62,AI55+AH56-AQ55)))</f>
        <v>212.60000000000002</v>
      </c>
      <c r="AJ56" s="14">
        <f>AI56*VLOOKUP('Données projet'!$B$10,Paramètres!$A$1:$I$89,3,0)*VLOOKUP('Données projet'!$B$10,Paramètres!$A$1:$I$89,5,0)</f>
        <v>139.29552000000001</v>
      </c>
      <c r="AK56" s="14">
        <f t="shared" si="35"/>
        <v>36.135571666868977</v>
      </c>
      <c r="AL56" s="22">
        <f t="shared" si="4"/>
        <v>305.54248465313009</v>
      </c>
      <c r="AM56" s="58">
        <f t="shared" si="5"/>
        <v>562.61786285966332</v>
      </c>
      <c r="AN56" s="58">
        <f ca="1">AVERAGE(OFFSET($AM$3,0,0,'Données projet'!$E$10+1,1))-AVERAGE(OFFSET($H$3,0,0,'Données projet'!$E$10+1,1))</f>
        <v>302.53318056366777</v>
      </c>
      <c r="AO56" s="58">
        <f t="shared" si="36"/>
        <v>318.32262615164541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1.4428167407465549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1.4428167407465549</v>
      </c>
      <c r="AY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6.119999999999993</v>
      </c>
      <c r="BD56" s="13">
        <f>IF('Données projet'!$A$88&gt;35,BD55+BC56-BL55,IF(A56&lt;'Données projet'!$A$88,$BA$205^A56,IF(A56='Données projet'!$A$88,'Données projet'!$B$88,BD55+BC56-BL55)))</f>
        <v>220.2600000000001</v>
      </c>
      <c r="BE56" s="14">
        <f>BD56*VLOOKUP('Données projet'!$B$11,Paramètres!$A$1:$I$89,3,0)*VLOOKUP('Données projet'!$B$11,Paramètres!$A$1:$I$89,5,0)</f>
        <v>175.23885600000008</v>
      </c>
      <c r="BF56" s="14">
        <f t="shared" si="37"/>
        <v>44.261272391866463</v>
      </c>
      <c r="BG56" s="22">
        <f t="shared" si="7"/>
        <v>382.29605694916751</v>
      </c>
      <c r="BH56" s="58">
        <f t="shared" si="8"/>
        <v>639.37143515570074</v>
      </c>
      <c r="BI56" s="58">
        <f ca="1">AVERAGE(OFFSET($BH$3,0,0,'Données projet'!$E$11+1,1))-AVERAGE(OFFSET($H$3,0,0,'Données projet'!$E$11+1,1))</f>
        <v>336.25341821407534</v>
      </c>
      <c r="BJ56" s="58">
        <f t="shared" si="38"/>
        <v>360.3246221345039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2.748367618208555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2.748367618208555</v>
      </c>
      <c r="BT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5.4</v>
      </c>
      <c r="BY56" s="13">
        <f>IF('Données projet'!$A$114&gt;35,BY55+BX56-CG55,IF(A56&lt;'Données projet'!$A$114,$BV$205^A56,IF(A56='Données projet'!$A$114,'Données projet'!$B$114,BY55+BX56-CG55)))</f>
        <v>173.20000000000007</v>
      </c>
      <c r="BZ56" s="14">
        <f>BY56*VLOOKUP('Données projet'!$B$12,Paramètres!$A$1:$I$89,3,0)*VLOOKUP('Données projet'!$B$12,Paramètres!$A$1:$I$89,5,0)</f>
        <v>140.49984000000006</v>
      </c>
      <c r="CA56" s="14">
        <f t="shared" si="39"/>
        <v>36.411488058235591</v>
      </c>
      <c r="CB56" s="22">
        <f t="shared" si="10"/>
        <v>308.12056303476038</v>
      </c>
      <c r="CC56" s="58">
        <f t="shared" si="11"/>
        <v>565.19594124129367</v>
      </c>
      <c r="CD56" s="58">
        <f ca="1">AVERAGE(OFFSET($CC$3,0,0,'Données projet'!$E$12+1,1))-AVERAGE(OFFSET($H$3,0,0,'Données projet'!$E$12+1,1))</f>
        <v>308.58270639204238</v>
      </c>
      <c r="CE56" s="58">
        <f t="shared" si="40"/>
        <v>258.90832875500325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5.2564102564102599</v>
      </c>
      <c r="CT56" s="13">
        <f>IF('Données projet'!$A$140&gt;35,CT55+CS56-DB55,IF(A56&lt;'Données projet'!$A$140,$CQ$205^A56,IF(A56='Données projet'!$A$140,'Données projet'!$B$140,CT55+CS56-DB55)))</f>
        <v>165.12820512820511</v>
      </c>
      <c r="CU56" s="18">
        <f>CT56*VLOOKUP('Données projet'!$B$13,Paramètres!$A$1:$I$89,3,0)*VLOOKUP('Données projet'!$B$13,Paramètres!$A$1:$I$89,5,0)</f>
        <v>157.136</v>
      </c>
      <c r="CV56" s="14">
        <f t="shared" si="41"/>
        <v>40.195854714214285</v>
      </c>
      <c r="CW56" s="22">
        <f t="shared" si="13"/>
        <v>343.68631362725654</v>
      </c>
      <c r="CX56" s="58">
        <f t="shared" si="14"/>
        <v>600.76169183378977</v>
      </c>
      <c r="CY56" s="58">
        <f ca="1">AVERAGE(OFFSET($CX$3,0,0,'Données projet'!$E$13+1,1))-AVERAGE(OFFSET($H$3,0,0,'Données projet'!$E$13+1,1))</f>
        <v>397.61813291201469</v>
      </c>
      <c r="CZ56" s="58">
        <f t="shared" si="42"/>
        <v>320.30651625485064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1.6791022051575832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1.6791022051575832</v>
      </c>
      <c r="DJ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58" t="e">
        <f t="shared" si="17"/>
        <v>#N/A</v>
      </c>
      <c r="DT56" s="58" t="e">
        <f ca="1">AVERAGE(OFFSET($DS$3,0,0,'Données projet'!$E$14+1,1))-AVERAGE(OFFSET($H$3,0,0,'Données projet'!$E$14+1,1))</f>
        <v>#N/A</v>
      </c>
      <c r="DU56" s="58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58" t="e">
        <f t="shared" si="20"/>
        <v>#N/A</v>
      </c>
      <c r="EO56" s="58" t="e">
        <f ca="1">AVERAGE(OFFSET($EN$3,0,0,'Données projet'!$E$15+1,1))-AVERAGE(OFFSET($H$3,0,0,'Données projet'!$E$15+1,1))</f>
        <v>#N/A</v>
      </c>
      <c r="EP56" s="58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58" t="e">
        <f t="shared" si="23"/>
        <v>#N/A</v>
      </c>
      <c r="FJ56" s="58" t="e">
        <f ca="1">AVERAGE(OFFSET($FI$3,0,0,'Données projet'!$E$16+1,1))-AVERAGE(OFFSET($H$3,0,0,'Données projet'!$E$16+1,1))</f>
        <v>#N/A</v>
      </c>
      <c r="FK56" s="58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58" t="e">
        <f t="shared" si="26"/>
        <v>#N/A</v>
      </c>
      <c r="GE56" s="58" t="e">
        <f ca="1">AVERAGE(OFFSET($GD$3,0,0,'Données projet'!$E$17+1,1))-AVERAGE(OFFSET($H$3,0,0,'Données projet'!$E$17+1,1))</f>
        <v>#N/A</v>
      </c>
      <c r="GF56" s="58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58" t="e">
        <f t="shared" si="29"/>
        <v>#N/A</v>
      </c>
      <c r="GZ56" s="58" t="e">
        <f ca="1">AVERAGE(OFFSET($GY$3,0,0,'Données projet'!$E$18+1,1))-AVERAGE(OFFSET($H$3,0,0,'Données projet'!$E$18+1,1))</f>
        <v>#N/A</v>
      </c>
      <c r="HA56" s="58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0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3">
        <f t="shared" si="1"/>
        <v>183.33333333333334</v>
      </c>
      <c r="I57" s="6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228.96432000000004</v>
      </c>
      <c r="P57" s="14">
        <f t="shared" si="33"/>
        <v>56.058684514404661</v>
      </c>
      <c r="Q57" s="22">
        <f t="shared" si="53"/>
        <v>496.4150661959215</v>
      </c>
      <c r="R57" s="58">
        <f t="shared" si="0"/>
        <v>754.11943886326083</v>
      </c>
      <c r="S57" s="58">
        <f ca="1">AVERAGE(OFFSET($R$3,0,0,'Données projet'!$E$9+1,1))-AVERAGE(OFFSET($H$3,0,0,'Données projet'!$E$9+1,1))</f>
        <v>527.70171871461309</v>
      </c>
      <c r="T57" s="58">
        <f t="shared" si="34"/>
        <v>281.06176764290592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5.2</v>
      </c>
      <c r="AI57" s="14">
        <f>IF('Données projet'!$A$62&gt;35,AI56+AH57-AQ56,IF(A57&lt;'Données projet'!$A$62,$AF$205^A57,IF(A57='Données projet'!$A$62,'Données projet'!$B$62,AI56+AH57-AQ56)))</f>
        <v>217.8</v>
      </c>
      <c r="AJ57" s="14">
        <f>AI57*VLOOKUP('Données projet'!$B$10,Paramètres!$A$1:$I$89,3,0)*VLOOKUP('Données projet'!$B$10,Paramètres!$A$1:$I$89,5,0)</f>
        <v>142.70256000000001</v>
      </c>
      <c r="AK57" s="14">
        <f t="shared" si="35"/>
        <v>36.91543341153259</v>
      </c>
      <c r="AL57" s="22">
        <f t="shared" si="4"/>
        <v>312.83467185841931</v>
      </c>
      <c r="AM57" s="58">
        <f t="shared" si="5"/>
        <v>570.53904452575864</v>
      </c>
      <c r="AN57" s="58">
        <f ca="1">AVERAGE(OFFSET($AM$3,0,0,'Données projet'!$E$10+1,1))-AVERAGE(OFFSET($H$3,0,0,'Données projet'!$E$10+1,1))</f>
        <v>302.53318056366777</v>
      </c>
      <c r="AO57" s="58">
        <f t="shared" si="36"/>
        <v>318.32262615164541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1.4033628410964056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1.4033628410964056</v>
      </c>
      <c r="AY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6.119999999999993</v>
      </c>
      <c r="BD57" s="13">
        <f>IF('Données projet'!$A$88&gt;35,BD56+BC57-BL56,IF(A57&lt;'Données projet'!$A$88,$BA$205^A57,IF(A57='Données projet'!$A$88,'Données projet'!$B$88,BD56+BC57-BL56)))</f>
        <v>226.38000000000011</v>
      </c>
      <c r="BE57" s="14">
        <f>BD57*VLOOKUP('Données projet'!$B$11,Paramètres!$A$1:$I$89,3,0)*VLOOKUP('Données projet'!$B$11,Paramètres!$A$1:$I$89,5,0)</f>
        <v>180.1079280000001</v>
      </c>
      <c r="BF57" s="14">
        <f t="shared" si="37"/>
        <v>45.34619732035577</v>
      </c>
      <c r="BG57" s="22">
        <f t="shared" si="7"/>
        <v>392.66593493295318</v>
      </c>
      <c r="BH57" s="58">
        <f t="shared" si="8"/>
        <v>650.37030760029256</v>
      </c>
      <c r="BI57" s="58">
        <f ca="1">AVERAGE(OFFSET($BH$3,0,0,'Données projet'!$E$11+1,1))-AVERAGE(OFFSET($H$3,0,0,'Données projet'!$E$11+1,1))</f>
        <v>336.25341821407534</v>
      </c>
      <c r="BJ57" s="58">
        <f t="shared" si="38"/>
        <v>360.3246221345039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2.6732133611582705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2.6732133611582705</v>
      </c>
      <c r="BT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5.4</v>
      </c>
      <c r="BY57" s="13">
        <f>IF('Données projet'!$A$114&gt;35,BY56+BX57-CG56,IF(A57&lt;'Données projet'!$A$114,$BV$205^A57,IF(A57='Données projet'!$A$114,'Données projet'!$B$114,BY56+BX57-CG56)))</f>
        <v>178.60000000000008</v>
      </c>
      <c r="BZ57" s="14">
        <f>BY57*VLOOKUP('Données projet'!$B$12,Paramètres!$A$1:$I$89,3,0)*VLOOKUP('Données projet'!$B$12,Paramètres!$A$1:$I$89,5,0)</f>
        <v>144.88032000000007</v>
      </c>
      <c r="CA57" s="14">
        <f t="shared" si="39"/>
        <v>37.412778923310412</v>
      </c>
      <c r="CB57" s="22">
        <f t="shared" si="10"/>
        <v>317.49381395809911</v>
      </c>
      <c r="CC57" s="58">
        <f t="shared" si="11"/>
        <v>575.19818662543844</v>
      </c>
      <c r="CD57" s="58">
        <f ca="1">AVERAGE(OFFSET($CC$3,0,0,'Données projet'!$E$12+1,1))-AVERAGE(OFFSET($H$3,0,0,'Données projet'!$E$12+1,1))</f>
        <v>308.58270639204238</v>
      </c>
      <c r="CE57" s="58">
        <f t="shared" si="40"/>
        <v>258.90832875500325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5.2564102564102599</v>
      </c>
      <c r="CT57" s="13">
        <f>IF('Données projet'!$A$140&gt;35,CT56+CS57-DB56,IF(A57&lt;'Données projet'!$A$140,$CQ$205^A57,IF(A57='Données projet'!$A$140,'Données projet'!$B$140,CT56+CS57-DB56)))</f>
        <v>170.38461538461536</v>
      </c>
      <c r="CU57" s="18">
        <f>CT57*VLOOKUP('Données projet'!$B$13,Paramètres!$A$1:$I$89,3,0)*VLOOKUP('Données projet'!$B$13,Paramètres!$A$1:$I$89,5,0)</f>
        <v>162.13799999999998</v>
      </c>
      <c r="CV57" s="14">
        <f t="shared" si="41"/>
        <v>41.324374095861224</v>
      </c>
      <c r="CW57" s="22">
        <f t="shared" si="13"/>
        <v>354.36363488362491</v>
      </c>
      <c r="CX57" s="58">
        <f t="shared" si="14"/>
        <v>612.06800755096424</v>
      </c>
      <c r="CY57" s="58">
        <f ca="1">AVERAGE(OFFSET($CX$3,0,0,'Données projet'!$E$13+1,1))-AVERAGE(OFFSET($H$3,0,0,'Données projet'!$E$13+1,1))</f>
        <v>397.61813291201469</v>
      </c>
      <c r="CZ57" s="58">
        <f t="shared" si="42"/>
        <v>320.30651625485064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1.6331870670574018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1.6331870670574018</v>
      </c>
      <c r="DJ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58" t="e">
        <f t="shared" si="17"/>
        <v>#N/A</v>
      </c>
      <c r="DT57" s="58" t="e">
        <f ca="1">AVERAGE(OFFSET($DS$3,0,0,'Données projet'!$E$14+1,1))-AVERAGE(OFFSET($H$3,0,0,'Données projet'!$E$14+1,1))</f>
        <v>#N/A</v>
      </c>
      <c r="DU57" s="58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58" t="e">
        <f t="shared" si="20"/>
        <v>#N/A</v>
      </c>
      <c r="EO57" s="58" t="e">
        <f ca="1">AVERAGE(OFFSET($EN$3,0,0,'Données projet'!$E$15+1,1))-AVERAGE(OFFSET($H$3,0,0,'Données projet'!$E$15+1,1))</f>
        <v>#N/A</v>
      </c>
      <c r="EP57" s="58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58" t="e">
        <f t="shared" si="23"/>
        <v>#N/A</v>
      </c>
      <c r="FJ57" s="58" t="e">
        <f ca="1">AVERAGE(OFFSET($FI$3,0,0,'Données projet'!$E$16+1,1))-AVERAGE(OFFSET($H$3,0,0,'Données projet'!$E$16+1,1))</f>
        <v>#N/A</v>
      </c>
      <c r="FK57" s="58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58" t="e">
        <f t="shared" si="26"/>
        <v>#N/A</v>
      </c>
      <c r="GE57" s="58" t="e">
        <f ca="1">AVERAGE(OFFSET($GD$3,0,0,'Données projet'!$E$17+1,1))-AVERAGE(OFFSET($H$3,0,0,'Données projet'!$E$17+1,1))</f>
        <v>#N/A</v>
      </c>
      <c r="GF57" s="58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58" t="e">
        <f t="shared" si="29"/>
        <v>#N/A</v>
      </c>
      <c r="GZ57" s="58" t="e">
        <f ca="1">AVERAGE(OFFSET($GY$3,0,0,'Données projet'!$E$18+1,1))-AVERAGE(OFFSET($H$3,0,0,'Données projet'!$E$18+1,1))</f>
        <v>#N/A</v>
      </c>
      <c r="HA57" s="58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0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3">
        <f t="shared" si="1"/>
        <v>183.33333333333334</v>
      </c>
      <c r="I58" s="6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237.55680000000001</v>
      </c>
      <c r="P58" s="14">
        <f t="shared" si="33"/>
        <v>57.913551469467357</v>
      </c>
      <c r="Q58" s="22">
        <f t="shared" si="53"/>
        <v>514.61086214265561</v>
      </c>
      <c r="R58" s="58">
        <f t="shared" si="0"/>
        <v>772.93331762312698</v>
      </c>
      <c r="S58" s="58">
        <f ca="1">AVERAGE(OFFSET($R$3,0,0,'Données projet'!$E$9+1,1))-AVERAGE(OFFSET($H$3,0,0,'Données projet'!$E$9+1,1))</f>
        <v>527.70171871461309</v>
      </c>
      <c r="T58" s="58">
        <f t="shared" si="34"/>
        <v>281.06176764290592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223</v>
      </c>
      <c r="AG58" s="13">
        <f>VLOOKUP(A58,'Données projet'!$A$61:$I$81,9,0)</f>
        <v>5.2</v>
      </c>
      <c r="AH58" s="13">
        <f t="array" ref="AH58">INDEX(AG:AG,MIN(IF(ISNUMBER(AG58:AG254),ROW(AG58:AG254),"")))</f>
        <v>5.2</v>
      </c>
      <c r="AI58" s="14">
        <f>IF('Données projet'!$A$62&gt;35,AI57+AH58-AQ57,IF(A58&lt;'Données projet'!$A$62,$AF$205^A58,IF(A58='Données projet'!$A$62,'Données projet'!$B$62,AI57+AH58-AQ57)))</f>
        <v>223</v>
      </c>
      <c r="AJ58" s="14">
        <f>AI58*VLOOKUP('Données projet'!$B$10,Paramètres!$A$1:$I$89,3,0)*VLOOKUP('Données projet'!$B$10,Paramètres!$A$1:$I$89,5,0)</f>
        <v>146.1096</v>
      </c>
      <c r="AK58" s="14">
        <f t="shared" si="35"/>
        <v>37.693130662388441</v>
      </c>
      <c r="AL58" s="22">
        <f t="shared" si="4"/>
        <v>320.12308923699317</v>
      </c>
      <c r="AM58" s="58">
        <f t="shared" si="5"/>
        <v>578.4455447174646</v>
      </c>
      <c r="AN58" s="58">
        <f ca="1">AVERAGE(OFFSET($AM$3,0,0,'Données projet'!$E$10+1,1))-AVERAGE(OFFSET($H$3,0,0,'Données projet'!$E$10+1,1))</f>
        <v>302.53318056366777</v>
      </c>
      <c r="AO58" s="58">
        <f t="shared" si="36"/>
        <v>318.32262615164541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1.3649878104069801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1.3649878104069801</v>
      </c>
      <c r="AY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232.5</v>
      </c>
      <c r="BB58" s="13">
        <f>VLOOKUP(A58,'Données projet'!$A$87:$I$107,9,0)</f>
        <v>6.119999999999993</v>
      </c>
      <c r="BC58" s="13">
        <f t="array" ref="BC58">INDEX(BB:BB,MIN(IF(ISNUMBER(BB58:BB254),ROW(BB58:BB254),"")))</f>
        <v>6.119999999999993</v>
      </c>
      <c r="BD58" s="13">
        <f>IF('Données projet'!$A$88&gt;35,BD57+BC58-BL57,IF(A58&lt;'Données projet'!$A$88,$BA$205^A58,IF(A58='Données projet'!$A$88,'Données projet'!$B$88,BD57+BC58-BL57)))</f>
        <v>232.50000000000011</v>
      </c>
      <c r="BE58" s="14">
        <f>BD58*VLOOKUP('Données projet'!$B$11,Paramètres!$A$1:$I$89,3,0)*VLOOKUP('Données projet'!$B$11,Paramètres!$A$1:$I$89,5,0)</f>
        <v>184.97700000000009</v>
      </c>
      <c r="BF58" s="14">
        <f t="shared" si="37"/>
        <v>46.427713156194159</v>
      </c>
      <c r="BG58" s="22">
        <f t="shared" si="7"/>
        <v>403.02987541370499</v>
      </c>
      <c r="BH58" s="58">
        <f t="shared" si="8"/>
        <v>661.35233089417636</v>
      </c>
      <c r="BI58" s="58">
        <f ca="1">AVERAGE(OFFSET($BH$3,0,0,'Données projet'!$E$11+1,1))-AVERAGE(OFFSET($H$3,0,0,'Données projet'!$E$11+1,1))</f>
        <v>336.25341821407534</v>
      </c>
      <c r="BJ58" s="58">
        <f t="shared" si="38"/>
        <v>360.3246221345039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2.6001142012192164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2.6001142012192164</v>
      </c>
      <c r="BT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184</v>
      </c>
      <c r="BW58" s="13">
        <f>VLOOKUP(A58,'Données projet'!$A$113:$I$133,9,0)</f>
        <v>5.4</v>
      </c>
      <c r="BX58" s="13">
        <f t="array" ref="BX58">INDEX(BW:BW,MIN(IF(ISNUMBER(BW58:BW254),ROW(BW58:BW254),"")))</f>
        <v>5.4</v>
      </c>
      <c r="BY58" s="13">
        <f>IF('Données projet'!$A$114&gt;35,BY57+BX58-CG57,IF(A58&lt;'Données projet'!$A$114,$BV$205^A58,IF(A58='Données projet'!$A$114,'Données projet'!$B$114,BY57+BX58-CG57)))</f>
        <v>184.00000000000009</v>
      </c>
      <c r="BZ58" s="14">
        <f>BY58*VLOOKUP('Données projet'!$B$12,Paramètres!$A$1:$I$89,3,0)*VLOOKUP('Données projet'!$B$12,Paramètres!$A$1:$I$89,5,0)</f>
        <v>149.26080000000007</v>
      </c>
      <c r="CA58" s="14">
        <f t="shared" si="39"/>
        <v>38.410551499792945</v>
      </c>
      <c r="CB58" s="22">
        <f t="shared" si="10"/>
        <v>326.86093719547284</v>
      </c>
      <c r="CC58" s="58">
        <f t="shared" si="11"/>
        <v>585.18339267594422</v>
      </c>
      <c r="CD58" s="58">
        <f ca="1">AVERAGE(OFFSET($CC$3,0,0,'Données projet'!$E$12+1,1))-AVERAGE(OFFSET($H$3,0,0,'Données projet'!$E$12+1,1))</f>
        <v>308.58270639204238</v>
      </c>
      <c r="CE58" s="58">
        <f t="shared" si="40"/>
        <v>258.90832875500325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175.64102564102564</v>
      </c>
      <c r="CR58" s="13">
        <f>VLOOKUP(A58,'Données projet'!$A$139:$I$159,9,0)</f>
        <v>5.2564102564102599</v>
      </c>
      <c r="CS58" s="13">
        <f t="array" ref="CS58">INDEX(CR:CR,MIN(IF(ISNUMBER(CR58:CR254),ROW(CR58:CR254),"")))</f>
        <v>5.2564102564102599</v>
      </c>
      <c r="CT58" s="13">
        <f>IF('Données projet'!$A$140&gt;35,CT57+CS58-DB57,IF(A58&lt;'Données projet'!$A$140,$CQ$205^A58,IF(A58='Données projet'!$A$140,'Données projet'!$B$140,CT57+CS58-DB57)))</f>
        <v>175.64102564102561</v>
      </c>
      <c r="CU58" s="18">
        <f>CT58*VLOOKUP('Données projet'!$B$13,Paramètres!$A$1:$I$89,3,0)*VLOOKUP('Données projet'!$B$13,Paramètres!$A$1:$I$89,5,0)</f>
        <v>167.14</v>
      </c>
      <c r="CV58" s="14">
        <f t="shared" si="41"/>
        <v>42.448847586931429</v>
      </c>
      <c r="CW58" s="22">
        <f t="shared" si="13"/>
        <v>365.03390954723886</v>
      </c>
      <c r="CX58" s="58">
        <f t="shared" si="14"/>
        <v>623.35636502771024</v>
      </c>
      <c r="CY58" s="58">
        <f ca="1">AVERAGE(OFFSET($CX$3,0,0,'Données projet'!$E$13+1,1))-AVERAGE(OFFSET($H$3,0,0,'Données projet'!$E$13+1,1))</f>
        <v>397.61813291201469</v>
      </c>
      <c r="CZ58" s="58">
        <f t="shared" si="42"/>
        <v>320.30651625485064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1.588527480823142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1.588527480823142</v>
      </c>
      <c r="DJ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58" t="e">
        <f t="shared" si="17"/>
        <v>#N/A</v>
      </c>
      <c r="DT58" s="58" t="e">
        <f ca="1">AVERAGE(OFFSET($DS$3,0,0,'Données projet'!$E$14+1,1))-AVERAGE(OFFSET($H$3,0,0,'Données projet'!$E$14+1,1))</f>
        <v>#N/A</v>
      </c>
      <c r="DU58" s="58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58" t="e">
        <f t="shared" si="20"/>
        <v>#N/A</v>
      </c>
      <c r="EO58" s="58" t="e">
        <f ca="1">AVERAGE(OFFSET($EN$3,0,0,'Données projet'!$E$15+1,1))-AVERAGE(OFFSET($H$3,0,0,'Données projet'!$E$15+1,1))</f>
        <v>#N/A</v>
      </c>
      <c r="EP58" s="58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58" t="e">
        <f t="shared" si="23"/>
        <v>#N/A</v>
      </c>
      <c r="FJ58" s="58" t="e">
        <f ca="1">AVERAGE(OFFSET($FI$3,0,0,'Données projet'!$E$16+1,1))-AVERAGE(OFFSET($H$3,0,0,'Données projet'!$E$16+1,1))</f>
        <v>#N/A</v>
      </c>
      <c r="FK58" s="58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58" t="e">
        <f t="shared" si="26"/>
        <v>#N/A</v>
      </c>
      <c r="GE58" s="58" t="e">
        <f ca="1">AVERAGE(OFFSET($GD$3,0,0,'Données projet'!$E$17+1,1))-AVERAGE(OFFSET($H$3,0,0,'Données projet'!$E$17+1,1))</f>
        <v>#N/A</v>
      </c>
      <c r="GF58" s="58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58" t="e">
        <f t="shared" si="29"/>
        <v>#N/A</v>
      </c>
      <c r="GZ58" s="58" t="e">
        <f ca="1">AVERAGE(OFFSET($GY$3,0,0,'Données projet'!$E$18+1,1))-AVERAGE(OFFSET($H$3,0,0,'Données projet'!$E$18+1,1))</f>
        <v>#N/A</v>
      </c>
      <c r="HA58" s="58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0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3">
        <f t="shared" si="1"/>
        <v>183.33333333333334</v>
      </c>
      <c r="I59" s="6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198.30096</v>
      </c>
      <c r="P59" s="14">
        <f t="shared" si="33"/>
        <v>49.3705849564736</v>
      </c>
      <c r="Q59" s="22">
        <f t="shared" si="53"/>
        <v>431.36127413252484</v>
      </c>
      <c r="R59" s="58">
        <f t="shared" si="0"/>
        <v>690.29109007114653</v>
      </c>
      <c r="S59" s="58">
        <f ca="1">AVERAGE(OFFSET($R$3,0,0,'Données projet'!$E$9+1,1))-AVERAGE(OFFSET($H$3,0,0,'Données projet'!$E$9+1,1))</f>
        <v>527.70171871461309</v>
      </c>
      <c r="T59" s="58">
        <f t="shared" si="34"/>
        <v>281.06176764290592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5.8</v>
      </c>
      <c r="AI59" s="14">
        <f>IF('Données projet'!$A$62&gt;35,AI58+AH59-AQ58,IF(A59&lt;'Données projet'!$A$62,$AF$205^A59,IF(A59='Données projet'!$A$62,'Données projet'!$B$62,AI58+AH59-AQ58)))</f>
        <v>228.8</v>
      </c>
      <c r="AJ59" s="14">
        <f>AI59*VLOOKUP('Données projet'!$B$10,Paramètres!$A$1:$I$89,3,0)*VLOOKUP('Données projet'!$B$10,Paramètres!$A$1:$I$89,5,0)</f>
        <v>149.90976000000001</v>
      </c>
      <c r="AK59" s="14">
        <f t="shared" si="35"/>
        <v>38.558077538852132</v>
      </c>
      <c r="AL59" s="22">
        <f t="shared" si="4"/>
        <v>328.24815038016749</v>
      </c>
      <c r="AM59" s="58">
        <f t="shared" si="5"/>
        <v>587.17796631878923</v>
      </c>
      <c r="AN59" s="58">
        <f ca="1">AVERAGE(OFFSET($AM$3,0,0,'Données projet'!$E$10+1,1))-AVERAGE(OFFSET($H$3,0,0,'Données projet'!$E$10+1,1))</f>
        <v>302.53318056366777</v>
      </c>
      <c r="AO59" s="58">
        <f t="shared" si="36"/>
        <v>318.32262615164541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1.327662146949812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1.327662146949812</v>
      </c>
      <c r="AY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5.1600000000000019</v>
      </c>
      <c r="BD59" s="13">
        <f>IF('Données projet'!$A$88&gt;35,BD58+BC59-BL58,IF(A59&lt;'Données projet'!$A$88,$BA$205^A59,IF(A59='Données projet'!$A$88,'Données projet'!$B$88,BD58+BC59-BL58)))</f>
        <v>237.66000000000011</v>
      </c>
      <c r="BE59" s="14">
        <f>BD59*VLOOKUP('Données projet'!$B$11,Paramètres!$A$1:$I$89,3,0)*VLOOKUP('Données projet'!$B$11,Paramètres!$A$1:$I$89,5,0)</f>
        <v>189.0822960000001</v>
      </c>
      <c r="BF59" s="14">
        <f t="shared" si="37"/>
        <v>47.337004389591748</v>
      </c>
      <c r="BG59" s="22">
        <f t="shared" si="7"/>
        <v>411.76361484520572</v>
      </c>
      <c r="BH59" s="58">
        <f t="shared" si="8"/>
        <v>670.69343078382747</v>
      </c>
      <c r="BI59" s="58">
        <f ca="1">AVERAGE(OFFSET($BH$3,0,0,'Données projet'!$E$11+1,1))-AVERAGE(OFFSET($H$3,0,0,'Données projet'!$E$11+1,1))</f>
        <v>336.25341821407534</v>
      </c>
      <c r="BJ59" s="58">
        <f t="shared" si="38"/>
        <v>360.3246221345039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2.5290139416528139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2.5290139416528139</v>
      </c>
      <c r="BT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5.4</v>
      </c>
      <c r="BY59" s="13">
        <f>IF('Données projet'!$A$114&gt;35,BY58+BX59-CG58,IF(A59&lt;'Données projet'!$A$114,$BV$205^A59,IF(A59='Données projet'!$A$114,'Données projet'!$B$114,BY58+BX59-CG58)))</f>
        <v>189.40000000000009</v>
      </c>
      <c r="BZ59" s="14">
        <f>BY59*VLOOKUP('Données projet'!$B$12,Paramètres!$A$1:$I$89,3,0)*VLOOKUP('Données projet'!$B$12,Paramètres!$A$1:$I$89,5,0)</f>
        <v>153.64128000000008</v>
      </c>
      <c r="CA59" s="14">
        <f t="shared" si="39"/>
        <v>39.40492089741533</v>
      </c>
      <c r="CB59" s="22">
        <f t="shared" si="10"/>
        <v>336.22213322966519</v>
      </c>
      <c r="CC59" s="58">
        <f t="shared" si="11"/>
        <v>595.15194916828693</v>
      </c>
      <c r="CD59" s="58">
        <f ca="1">AVERAGE(OFFSET($CC$3,0,0,'Données projet'!$E$12+1,1))-AVERAGE(OFFSET($H$3,0,0,'Données projet'!$E$12+1,1))</f>
        <v>308.58270639204238</v>
      </c>
      <c r="CE59" s="58">
        <f t="shared" si="40"/>
        <v>258.90832875500325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4.8717948717948731</v>
      </c>
      <c r="CT59" s="13">
        <f>IF('Données projet'!$A$140&gt;35,CT58+CS59-DB58,IF(A59&lt;'Données projet'!$A$140,$CQ$205^A59,IF(A59='Données projet'!$A$140,'Données projet'!$B$140,CT58+CS59-DB58)))</f>
        <v>180.51282051282047</v>
      </c>
      <c r="CU59" s="18">
        <f>CT59*VLOOKUP('Données projet'!$B$13,Paramètres!$A$1:$I$89,3,0)*VLOOKUP('Données projet'!$B$13,Paramètres!$A$1:$I$89,5,0)</f>
        <v>171.77599999999995</v>
      </c>
      <c r="CV59" s="14">
        <f t="shared" si="41"/>
        <v>43.48754759203468</v>
      </c>
      <c r="CW59" s="22">
        <f t="shared" si="13"/>
        <v>374.91734538946031</v>
      </c>
      <c r="CX59" s="58">
        <f t="shared" si="14"/>
        <v>633.84716132808205</v>
      </c>
      <c r="CY59" s="58">
        <f ca="1">AVERAGE(OFFSET($CX$3,0,0,'Données projet'!$E$13+1,1))-AVERAGE(OFFSET($H$3,0,0,'Données projet'!$E$13+1,1))</f>
        <v>397.61813291201469</v>
      </c>
      <c r="CZ59" s="58">
        <f t="shared" si="42"/>
        <v>320.30651625485064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1.5450891133230036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1.5450891133230036</v>
      </c>
      <c r="DJ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58" t="e">
        <f t="shared" si="17"/>
        <v>#N/A</v>
      </c>
      <c r="DT59" s="58" t="e">
        <f ca="1">AVERAGE(OFFSET($DS$3,0,0,'Données projet'!$E$14+1,1))-AVERAGE(OFFSET($H$3,0,0,'Données projet'!$E$14+1,1))</f>
        <v>#N/A</v>
      </c>
      <c r="DU59" s="58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58" t="e">
        <f t="shared" si="20"/>
        <v>#N/A</v>
      </c>
      <c r="EO59" s="58" t="e">
        <f ca="1">AVERAGE(OFFSET($EN$3,0,0,'Données projet'!$E$15+1,1))-AVERAGE(OFFSET($H$3,0,0,'Données projet'!$E$15+1,1))</f>
        <v>#N/A</v>
      </c>
      <c r="EP59" s="58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58" t="e">
        <f t="shared" si="23"/>
        <v>#N/A</v>
      </c>
      <c r="FJ59" s="58" t="e">
        <f ca="1">AVERAGE(OFFSET($FI$3,0,0,'Données projet'!$E$16+1,1))-AVERAGE(OFFSET($H$3,0,0,'Données projet'!$E$16+1,1))</f>
        <v>#N/A</v>
      </c>
      <c r="FK59" s="58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58" t="e">
        <f t="shared" si="26"/>
        <v>#N/A</v>
      </c>
      <c r="GE59" s="58" t="e">
        <f ca="1">AVERAGE(OFFSET($GD$3,0,0,'Données projet'!$E$17+1,1))-AVERAGE(OFFSET($H$3,0,0,'Données projet'!$E$17+1,1))</f>
        <v>#N/A</v>
      </c>
      <c r="GF59" s="58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58" t="e">
        <f t="shared" si="29"/>
        <v>#N/A</v>
      </c>
      <c r="GZ59" s="58" t="e">
        <f ca="1">AVERAGE(OFFSET($GY$3,0,0,'Données projet'!$E$18+1,1))-AVERAGE(OFFSET($H$3,0,0,'Données projet'!$E$18+1,1))</f>
        <v>#N/A</v>
      </c>
      <c r="HA59" s="58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0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3">
        <f t="shared" si="1"/>
        <v>183.33333333333334</v>
      </c>
      <c r="I60" s="6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206.21952000000002</v>
      </c>
      <c r="P60" s="14">
        <f t="shared" si="33"/>
        <v>51.108584284640322</v>
      </c>
      <c r="Q60" s="22">
        <f t="shared" si="53"/>
        <v>448.1797816290819</v>
      </c>
      <c r="R60" s="58">
        <f t="shared" si="0"/>
        <v>707.70642167975961</v>
      </c>
      <c r="S60" s="58">
        <f ca="1">AVERAGE(OFFSET($R$3,0,0,'Données projet'!$E$9+1,1))-AVERAGE(OFFSET($H$3,0,0,'Données projet'!$E$9+1,1))</f>
        <v>527.70171871461309</v>
      </c>
      <c r="T60" s="58">
        <f t="shared" si="34"/>
        <v>281.06176764290592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5.8</v>
      </c>
      <c r="AI60" s="14">
        <f>IF('Données projet'!$A$62&gt;35,AI59+AH60-AQ59,IF(A60&lt;'Données projet'!$A$62,$AF$205^A60,IF(A60='Données projet'!$A$62,'Données projet'!$B$62,AI59+AH60-AQ59)))</f>
        <v>234.60000000000002</v>
      </c>
      <c r="AJ60" s="14">
        <f>AI60*VLOOKUP('Données projet'!$B$10,Paramètres!$A$1:$I$89,3,0)*VLOOKUP('Données projet'!$B$10,Paramètres!$A$1:$I$89,5,0)</f>
        <v>153.70992000000001</v>
      </c>
      <c r="AK60" s="14">
        <f t="shared" si="35"/>
        <v>39.420475690379831</v>
      </c>
      <c r="AL60" s="22">
        <f t="shared" si="4"/>
        <v>336.3687724940782</v>
      </c>
      <c r="AM60" s="58">
        <f t="shared" si="5"/>
        <v>595.89541254475591</v>
      </c>
      <c r="AN60" s="58">
        <f ca="1">AVERAGE(OFFSET($AM$3,0,0,'Données projet'!$E$10+1,1))-AVERAGE(OFFSET($H$3,0,0,'Données projet'!$E$10+1,1))</f>
        <v>302.53318056366777</v>
      </c>
      <c r="AO60" s="58">
        <f t="shared" si="36"/>
        <v>318.32262615164541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1.2913571557227514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1.2913571557227514</v>
      </c>
      <c r="AY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5.1600000000000019</v>
      </c>
      <c r="BD60" s="13">
        <f>IF('Données projet'!$A$88&gt;35,BD59+BC60-BL59,IF(A60&lt;'Données projet'!$A$88,$BA$205^A60,IF(A60='Données projet'!$A$88,'Données projet'!$B$88,BD59+BC60-BL59)))</f>
        <v>242.82000000000011</v>
      </c>
      <c r="BE60" s="14">
        <f>BD60*VLOOKUP('Données projet'!$B$11,Paramètres!$A$1:$I$89,3,0)*VLOOKUP('Données projet'!$B$11,Paramètres!$A$1:$I$89,5,0)</f>
        <v>193.18759200000011</v>
      </c>
      <c r="BF60" s="14">
        <f t="shared" si="37"/>
        <v>48.244000336014693</v>
      </c>
      <c r="BG60" s="22">
        <f t="shared" si="7"/>
        <v>420.49335665189238</v>
      </c>
      <c r="BH60" s="58">
        <f t="shared" si="8"/>
        <v>680.0199967025701</v>
      </c>
      <c r="BI60" s="58">
        <f ca="1">AVERAGE(OFFSET($BH$3,0,0,'Données projet'!$E$11+1,1))-AVERAGE(OFFSET($H$3,0,0,'Données projet'!$E$11+1,1))</f>
        <v>336.25341821407534</v>
      </c>
      <c r="BJ60" s="58">
        <f t="shared" si="38"/>
        <v>360.3246221345039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2.4598579224232546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2.4598579224232546</v>
      </c>
      <c r="BT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5.4</v>
      </c>
      <c r="BY60" s="13">
        <f>IF('Données projet'!$A$114&gt;35,BY59+BX60-CG59,IF(A60&lt;'Données projet'!$A$114,$BV$205^A60,IF(A60='Données projet'!$A$114,'Données projet'!$B$114,BY59+BX60-CG59)))</f>
        <v>194.8000000000001</v>
      </c>
      <c r="BZ60" s="14">
        <f>BY60*VLOOKUP('Données projet'!$B$12,Paramètres!$A$1:$I$89,3,0)*VLOOKUP('Données projet'!$B$12,Paramètres!$A$1:$I$89,5,0)</f>
        <v>158.02176000000009</v>
      </c>
      <c r="CA60" s="14">
        <f t="shared" si="39"/>
        <v>40.39599528875813</v>
      </c>
      <c r="CB60" s="22">
        <f t="shared" si="10"/>
        <v>345.57759046125392</v>
      </c>
      <c r="CC60" s="58">
        <f t="shared" si="11"/>
        <v>605.10423051193163</v>
      </c>
      <c r="CD60" s="58">
        <f ca="1">AVERAGE(OFFSET($CC$3,0,0,'Données projet'!$E$12+1,1))-AVERAGE(OFFSET($H$3,0,0,'Données projet'!$E$12+1,1))</f>
        <v>308.58270639204238</v>
      </c>
      <c r="CE60" s="58">
        <f t="shared" si="40"/>
        <v>258.90832875500325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4.8717948717948731</v>
      </c>
      <c r="CT60" s="13">
        <f>IF('Données projet'!$A$140&gt;35,CT59+CS60-DB59,IF(A60&lt;'Données projet'!$A$140,$CQ$205^A60,IF(A60='Données projet'!$A$140,'Données projet'!$B$140,CT59+CS60-DB59)))</f>
        <v>185.38461538461533</v>
      </c>
      <c r="CU60" s="18">
        <f>CT60*VLOOKUP('Données projet'!$B$13,Paramètres!$A$1:$I$89,3,0)*VLOOKUP('Données projet'!$B$13,Paramètres!$A$1:$I$89,5,0)</f>
        <v>176.41199999999995</v>
      </c>
      <c r="CV60" s="14">
        <f t="shared" si="41"/>
        <v>44.522989246723967</v>
      </c>
      <c r="CW60" s="22">
        <f t="shared" si="13"/>
        <v>384.79510627137751</v>
      </c>
      <c r="CX60" s="58">
        <f t="shared" si="14"/>
        <v>644.32174632205522</v>
      </c>
      <c r="CY60" s="58">
        <f ca="1">AVERAGE(OFFSET($CX$3,0,0,'Données projet'!$E$13+1,1))-AVERAGE(OFFSET($H$3,0,0,'Données projet'!$E$13+1,1))</f>
        <v>397.61813291201469</v>
      </c>
      <c r="CZ60" s="58">
        <f t="shared" si="42"/>
        <v>320.30651625485064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1.5028385702664808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1.5028385702664808</v>
      </c>
      <c r="DJ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58" t="e">
        <f t="shared" si="17"/>
        <v>#N/A</v>
      </c>
      <c r="DT60" s="58" t="e">
        <f ca="1">AVERAGE(OFFSET($DS$3,0,0,'Données projet'!$E$14+1,1))-AVERAGE(OFFSET($H$3,0,0,'Données projet'!$E$14+1,1))</f>
        <v>#N/A</v>
      </c>
      <c r="DU60" s="58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58" t="e">
        <f t="shared" si="20"/>
        <v>#N/A</v>
      </c>
      <c r="EO60" s="58" t="e">
        <f ca="1">AVERAGE(OFFSET($EN$3,0,0,'Données projet'!$E$15+1,1))-AVERAGE(OFFSET($H$3,0,0,'Données projet'!$E$15+1,1))</f>
        <v>#N/A</v>
      </c>
      <c r="EP60" s="58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58" t="e">
        <f t="shared" si="23"/>
        <v>#N/A</v>
      </c>
      <c r="FJ60" s="58" t="e">
        <f ca="1">AVERAGE(OFFSET($FI$3,0,0,'Données projet'!$E$16+1,1))-AVERAGE(OFFSET($H$3,0,0,'Données projet'!$E$16+1,1))</f>
        <v>#N/A</v>
      </c>
      <c r="FK60" s="58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58" t="e">
        <f t="shared" si="26"/>
        <v>#N/A</v>
      </c>
      <c r="GE60" s="58" t="e">
        <f ca="1">AVERAGE(OFFSET($GD$3,0,0,'Données projet'!$E$17+1,1))-AVERAGE(OFFSET($H$3,0,0,'Données projet'!$E$17+1,1))</f>
        <v>#N/A</v>
      </c>
      <c r="GF60" s="58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58" t="e">
        <f t="shared" si="29"/>
        <v>#N/A</v>
      </c>
      <c r="GZ60" s="58" t="e">
        <f ca="1">AVERAGE(OFFSET($GY$3,0,0,'Données projet'!$E$18+1,1))-AVERAGE(OFFSET($H$3,0,0,'Données projet'!$E$18+1,1))</f>
        <v>#N/A</v>
      </c>
      <c r="HA60" s="58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0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3">
        <f t="shared" si="1"/>
        <v>183.33333333333334</v>
      </c>
      <c r="I61" s="6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214.13808</v>
      </c>
      <c r="P61" s="14">
        <f t="shared" si="33"/>
        <v>52.838830759579693</v>
      </c>
      <c r="Q61" s="22">
        <f t="shared" si="53"/>
        <v>464.98478623960131</v>
      </c>
      <c r="R61" s="58">
        <f t="shared" si="0"/>
        <v>725.09789683828967</v>
      </c>
      <c r="S61" s="58">
        <f ca="1">AVERAGE(OFFSET($R$3,0,0,'Données projet'!$E$9+1,1))-AVERAGE(OFFSET($H$3,0,0,'Données projet'!$E$9+1,1))</f>
        <v>527.70171871461309</v>
      </c>
      <c r="T61" s="58">
        <f t="shared" si="34"/>
        <v>281.06176764290592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5.8</v>
      </c>
      <c r="AI61" s="14">
        <f>IF('Données projet'!$A$62&gt;35,AI60+AH61-AQ60,IF(A61&lt;'Données projet'!$A$62,$AF$205^A61,IF(A61='Données projet'!$A$62,'Données projet'!$B$62,AI60+AH61-AQ60)))</f>
        <v>240.40000000000003</v>
      </c>
      <c r="AJ61" s="14">
        <f>AI61*VLOOKUP('Données projet'!$B$10,Paramètres!$A$1:$I$89,3,0)*VLOOKUP('Données projet'!$B$10,Paramètres!$A$1:$I$89,5,0)</f>
        <v>157.51008000000002</v>
      </c>
      <c r="AK61" s="14">
        <f t="shared" si="35"/>
        <v>40.280395376872832</v>
      </c>
      <c r="AL61" s="22">
        <f t="shared" si="4"/>
        <v>344.48507794805352</v>
      </c>
      <c r="AM61" s="58">
        <f t="shared" si="5"/>
        <v>604.59818854674199</v>
      </c>
      <c r="AN61" s="58">
        <f ca="1">AVERAGE(OFFSET($AM$3,0,0,'Données projet'!$E$10+1,1))-AVERAGE(OFFSET($H$3,0,0,'Données projet'!$E$10+1,1))</f>
        <v>302.53318056366777</v>
      </c>
      <c r="AO61" s="58">
        <f t="shared" si="36"/>
        <v>318.32262615164541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1.2560449263899913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1.2560449263899913</v>
      </c>
      <c r="AY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5.1600000000000019</v>
      </c>
      <c r="BD61" s="13">
        <f>IF('Données projet'!$A$88&gt;35,BD60+BC61-BL60,IF(A61&lt;'Données projet'!$A$88,$BA$205^A61,IF(A61='Données projet'!$A$88,'Données projet'!$B$88,BD60+BC61-BL60)))</f>
        <v>247.9800000000001</v>
      </c>
      <c r="BE61" s="14">
        <f>BD61*VLOOKUP('Données projet'!$B$11,Paramètres!$A$1:$I$89,3,0)*VLOOKUP('Données projet'!$B$11,Paramètres!$A$1:$I$89,5,0)</f>
        <v>197.29288800000009</v>
      </c>
      <c r="BF61" s="14">
        <f t="shared" si="37"/>
        <v>49.148755389471887</v>
      </c>
      <c r="BG61" s="22">
        <f t="shared" si="7"/>
        <v>429.219195569997</v>
      </c>
      <c r="BH61" s="58">
        <f t="shared" si="8"/>
        <v>689.33230616868536</v>
      </c>
      <c r="BI61" s="58">
        <f ca="1">AVERAGE(OFFSET($BH$3,0,0,'Données projet'!$E$11+1,1))-AVERAGE(OFFSET($H$3,0,0,'Données projet'!$E$11+1,1))</f>
        <v>336.25341821407534</v>
      </c>
      <c r="BJ61" s="58">
        <f t="shared" si="38"/>
        <v>360.3246221345039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2.3925929781762845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2.3925929781762845</v>
      </c>
      <c r="BT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5.4</v>
      </c>
      <c r="BY61" s="13">
        <f>IF('Données projet'!$A$114&gt;35,BY60+BX61-CG60,IF(A61&lt;'Données projet'!$A$114,$BV$205^A61,IF(A61='Données projet'!$A$114,'Données projet'!$B$114,BY60+BX61-CG60)))</f>
        <v>200.2000000000001</v>
      </c>
      <c r="BZ61" s="14">
        <f>BY61*VLOOKUP('Données projet'!$B$12,Paramètres!$A$1:$I$89,3,0)*VLOOKUP('Données projet'!$B$12,Paramètres!$A$1:$I$89,5,0)</f>
        <v>162.40224000000009</v>
      </c>
      <c r="CA61" s="14">
        <f t="shared" si="39"/>
        <v>41.383876507887827</v>
      </c>
      <c r="CB61" s="22">
        <f t="shared" si="10"/>
        <v>354.92748625123812</v>
      </c>
      <c r="CC61" s="58">
        <f t="shared" si="11"/>
        <v>615.04059684992649</v>
      </c>
      <c r="CD61" s="58">
        <f ca="1">AVERAGE(OFFSET($CC$3,0,0,'Données projet'!$E$12+1,1))-AVERAGE(OFFSET($H$3,0,0,'Données projet'!$E$12+1,1))</f>
        <v>308.58270639204238</v>
      </c>
      <c r="CE61" s="58">
        <f t="shared" si="40"/>
        <v>258.90832875500325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4.8717948717948731</v>
      </c>
      <c r="CT61" s="13">
        <f>IF('Données projet'!$A$140&gt;35,CT60+CS61-DB60,IF(A61&lt;'Données projet'!$A$140,$CQ$205^A61,IF(A61='Données projet'!$A$140,'Données projet'!$B$140,CT60+CS61-DB60)))</f>
        <v>190.25641025641019</v>
      </c>
      <c r="CU61" s="18">
        <f>CT61*VLOOKUP('Données projet'!$B$13,Paramètres!$A$1:$I$89,3,0)*VLOOKUP('Données projet'!$B$13,Paramètres!$A$1:$I$89,5,0)</f>
        <v>181.04799999999994</v>
      </c>
      <c r="CV61" s="14">
        <f t="shared" si="41"/>
        <v>45.555268021687233</v>
      </c>
      <c r="CW61" s="22">
        <f t="shared" si="13"/>
        <v>394.66735847110516</v>
      </c>
      <c r="CX61" s="58">
        <f t="shared" si="14"/>
        <v>654.78046906979353</v>
      </c>
      <c r="CY61" s="58">
        <f ca="1">AVERAGE(OFFSET($CX$3,0,0,'Données projet'!$E$13+1,1))-AVERAGE(OFFSET($H$3,0,0,'Données projet'!$E$13+1,1))</f>
        <v>397.61813291201469</v>
      </c>
      <c r="CZ61" s="58">
        <f t="shared" si="42"/>
        <v>320.30651625485064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1.4617433705316982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1.4617433705316982</v>
      </c>
      <c r="DJ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58" t="e">
        <f t="shared" si="17"/>
        <v>#N/A</v>
      </c>
      <c r="DT61" s="58" t="e">
        <f ca="1">AVERAGE(OFFSET($DS$3,0,0,'Données projet'!$E$14+1,1))-AVERAGE(OFFSET($H$3,0,0,'Données projet'!$E$14+1,1))</f>
        <v>#N/A</v>
      </c>
      <c r="DU61" s="58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58" t="e">
        <f t="shared" si="20"/>
        <v>#N/A</v>
      </c>
      <c r="EO61" s="58" t="e">
        <f ca="1">AVERAGE(OFFSET($EN$3,0,0,'Données projet'!$E$15+1,1))-AVERAGE(OFFSET($H$3,0,0,'Données projet'!$E$15+1,1))</f>
        <v>#N/A</v>
      </c>
      <c r="EP61" s="58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58" t="e">
        <f t="shared" si="23"/>
        <v>#N/A</v>
      </c>
      <c r="FJ61" s="58" t="e">
        <f ca="1">AVERAGE(OFFSET($FI$3,0,0,'Données projet'!$E$16+1,1))-AVERAGE(OFFSET($H$3,0,0,'Données projet'!$E$16+1,1))</f>
        <v>#N/A</v>
      </c>
      <c r="FK61" s="58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58" t="e">
        <f t="shared" si="26"/>
        <v>#N/A</v>
      </c>
      <c r="GE61" s="58" t="e">
        <f ca="1">AVERAGE(OFFSET($GD$3,0,0,'Données projet'!$E$17+1,1))-AVERAGE(OFFSET($H$3,0,0,'Données projet'!$E$17+1,1))</f>
        <v>#N/A</v>
      </c>
      <c r="GF61" s="58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58" t="e">
        <f t="shared" si="29"/>
        <v>#N/A</v>
      </c>
      <c r="GZ61" s="58" t="e">
        <f ca="1">AVERAGE(OFFSET($GY$3,0,0,'Données projet'!$E$18+1,1))-AVERAGE(OFFSET($H$3,0,0,'Données projet'!$E$18+1,1))</f>
        <v>#N/A</v>
      </c>
      <c r="HA61" s="58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0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3">
        <f t="shared" si="1"/>
        <v>183.33333333333334</v>
      </c>
      <c r="I62" s="6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222.05663999999999</v>
      </c>
      <c r="P62" s="14">
        <f t="shared" si="33"/>
        <v>54.561643903321311</v>
      </c>
      <c r="Q62" s="22">
        <f t="shared" si="53"/>
        <v>481.77684446495124</v>
      </c>
      <c r="R62" s="58">
        <f t="shared" si="0"/>
        <v>742.46625165879402</v>
      </c>
      <c r="S62" s="58">
        <f ca="1">AVERAGE(OFFSET($R$3,0,0,'Données projet'!$E$9+1,1))-AVERAGE(OFFSET($H$3,0,0,'Données projet'!$E$9+1,1))</f>
        <v>527.70171871461309</v>
      </c>
      <c r="T62" s="58">
        <f t="shared" si="34"/>
        <v>281.06176764290592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5.8</v>
      </c>
      <c r="AI62" s="14">
        <f>IF('Données projet'!$A$62&gt;35,AI61+AH62-AQ61,IF(A62&lt;'Données projet'!$A$62,$AF$205^A62,IF(A62='Données projet'!$A$62,'Données projet'!$B$62,AI61+AH62-AQ61)))</f>
        <v>246.20000000000005</v>
      </c>
      <c r="AJ62" s="14">
        <f>AI62*VLOOKUP('Données projet'!$B$10,Paramètres!$A$1:$I$89,3,0)*VLOOKUP('Données projet'!$B$10,Paramètres!$A$1:$I$89,5,0)</f>
        <v>161.31024000000002</v>
      </c>
      <c r="AK62" s="14">
        <f t="shared" si="35"/>
        <v>41.137903274661106</v>
      </c>
      <c r="AL62" s="22">
        <f t="shared" si="4"/>
        <v>352.59718287003483</v>
      </c>
      <c r="AM62" s="58">
        <f t="shared" si="5"/>
        <v>613.28659006387761</v>
      </c>
      <c r="AN62" s="58">
        <f ca="1">AVERAGE(OFFSET($AM$3,0,0,'Données projet'!$E$10+1,1))-AVERAGE(OFFSET($H$3,0,0,'Données projet'!$E$10+1,1))</f>
        <v>302.53318056366777</v>
      </c>
      <c r="AO62" s="58">
        <f t="shared" si="36"/>
        <v>318.32262615164541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1.2216983118253251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1.2216983118253251</v>
      </c>
      <c r="AY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5.1600000000000019</v>
      </c>
      <c r="BD62" s="13">
        <f>IF('Données projet'!$A$88&gt;35,BD61+BC62-BL61,IF(A62&lt;'Données projet'!$A$88,$BA$205^A62,IF(A62='Données projet'!$A$88,'Données projet'!$B$88,BD61+BC62-BL61)))</f>
        <v>253.1400000000001</v>
      </c>
      <c r="BE62" s="14">
        <f>BD62*VLOOKUP('Données projet'!$B$11,Paramètres!$A$1:$I$89,3,0)*VLOOKUP('Données projet'!$B$11,Paramètres!$A$1:$I$89,5,0)</f>
        <v>201.39818400000007</v>
      </c>
      <c r="BF62" s="14">
        <f t="shared" si="37"/>
        <v>50.051321550931391</v>
      </c>
      <c r="BG62" s="22">
        <f t="shared" si="7"/>
        <v>437.94122216787235</v>
      </c>
      <c r="BH62" s="58">
        <f t="shared" si="8"/>
        <v>698.63062936171514</v>
      </c>
      <c r="BI62" s="58">
        <f ca="1">AVERAGE(OFFSET($BH$3,0,0,'Données projet'!$E$11+1,1))-AVERAGE(OFFSET($H$3,0,0,'Données projet'!$E$11+1,1))</f>
        <v>336.25341821407534</v>
      </c>
      <c r="BJ62" s="58">
        <f t="shared" si="38"/>
        <v>360.3246221345039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2.3271673973670577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2.3271673973670577</v>
      </c>
      <c r="BT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5.4</v>
      </c>
      <c r="BY62" s="13">
        <f>IF('Données projet'!$A$114&gt;35,BY61+BX62-CG61,IF(A62&lt;'Données projet'!$A$114,$BV$205^A62,IF(A62='Données projet'!$A$114,'Données projet'!$B$114,BY61+BX62-CG61)))</f>
        <v>205.60000000000011</v>
      </c>
      <c r="BZ62" s="14">
        <f>BY62*VLOOKUP('Données projet'!$B$12,Paramètres!$A$1:$I$89,3,0)*VLOOKUP('Données projet'!$B$12,Paramètres!$A$1:$I$89,5,0)</f>
        <v>166.7827200000001</v>
      </c>
      <c r="CA62" s="14">
        <f t="shared" si="39"/>
        <v>42.368660582590017</v>
      </c>
      <c r="CB62" s="22">
        <f t="shared" si="10"/>
        <v>364.27198784801112</v>
      </c>
      <c r="CC62" s="58">
        <f t="shared" si="11"/>
        <v>624.96139504185385</v>
      </c>
      <c r="CD62" s="58">
        <f ca="1">AVERAGE(OFFSET($CC$3,0,0,'Données projet'!$E$12+1,1))-AVERAGE(OFFSET($H$3,0,0,'Données projet'!$E$12+1,1))</f>
        <v>308.58270639204238</v>
      </c>
      <c r="CE62" s="58">
        <f t="shared" si="40"/>
        <v>258.90832875500325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4.8717948717948731</v>
      </c>
      <c r="CT62" s="13">
        <f>IF('Données projet'!$A$140&gt;35,CT61+CS62-DB61,IF(A62&lt;'Données projet'!$A$140,$CQ$205^A62,IF(A62='Données projet'!$A$140,'Données projet'!$B$140,CT61+CS62-DB61)))</f>
        <v>195.12820512820505</v>
      </c>
      <c r="CU62" s="18">
        <f>CT62*VLOOKUP('Données projet'!$B$13,Paramètres!$A$1:$I$89,3,0)*VLOOKUP('Données projet'!$B$13,Paramètres!$A$1:$I$89,5,0)</f>
        <v>185.68399999999991</v>
      </c>
      <c r="CV62" s="14">
        <f t="shared" si="41"/>
        <v>46.584474219718061</v>
      </c>
      <c r="CW62" s="22">
        <f t="shared" si="13"/>
        <v>404.5342592660088</v>
      </c>
      <c r="CX62" s="58">
        <f t="shared" si="14"/>
        <v>665.22366645985153</v>
      </c>
      <c r="CY62" s="58">
        <f ca="1">AVERAGE(OFFSET($CX$3,0,0,'Données projet'!$E$13+1,1))-AVERAGE(OFFSET($H$3,0,0,'Données projet'!$E$13+1,1))</f>
        <v>397.61813291201469</v>
      </c>
      <c r="CZ62" s="58">
        <f t="shared" si="42"/>
        <v>320.30651625485064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1.4217719211947659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1.4217719211947659</v>
      </c>
      <c r="DJ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58" t="e">
        <f t="shared" si="17"/>
        <v>#N/A</v>
      </c>
      <c r="DT62" s="58" t="e">
        <f ca="1">AVERAGE(OFFSET($DS$3,0,0,'Données projet'!$E$14+1,1))-AVERAGE(OFFSET($H$3,0,0,'Données projet'!$E$14+1,1))</f>
        <v>#N/A</v>
      </c>
      <c r="DU62" s="58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58" t="e">
        <f t="shared" si="20"/>
        <v>#N/A</v>
      </c>
      <c r="EO62" s="58" t="e">
        <f ca="1">AVERAGE(OFFSET($EN$3,0,0,'Données projet'!$E$15+1,1))-AVERAGE(OFFSET($H$3,0,0,'Données projet'!$E$15+1,1))</f>
        <v>#N/A</v>
      </c>
      <c r="EP62" s="58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58" t="e">
        <f t="shared" si="23"/>
        <v>#N/A</v>
      </c>
      <c r="FJ62" s="58" t="e">
        <f ca="1">AVERAGE(OFFSET($FI$3,0,0,'Données projet'!$E$16+1,1))-AVERAGE(OFFSET($H$3,0,0,'Données projet'!$E$16+1,1))</f>
        <v>#N/A</v>
      </c>
      <c r="FK62" s="58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58" t="e">
        <f t="shared" si="26"/>
        <v>#N/A</v>
      </c>
      <c r="GE62" s="58" t="e">
        <f ca="1">AVERAGE(OFFSET($GD$3,0,0,'Données projet'!$E$17+1,1))-AVERAGE(OFFSET($H$3,0,0,'Données projet'!$E$17+1,1))</f>
        <v>#N/A</v>
      </c>
      <c r="GF62" s="58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58" t="e">
        <f t="shared" si="29"/>
        <v>#N/A</v>
      </c>
      <c r="GZ62" s="58" t="e">
        <f ca="1">AVERAGE(OFFSET($GY$3,0,0,'Données projet'!$E$18+1,1))-AVERAGE(OFFSET($H$3,0,0,'Données projet'!$E$18+1,1))</f>
        <v>#N/A</v>
      </c>
      <c r="HA62" s="58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0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3">
        <f t="shared" si="1"/>
        <v>183.33333333333334</v>
      </c>
      <c r="I63" s="6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229.9752</v>
      </c>
      <c r="P63" s="14">
        <f t="shared" si="33"/>
        <v>56.277319157664316</v>
      </c>
      <c r="Q63" s="22">
        <f t="shared" si="53"/>
        <v>498.55647086626527</v>
      </c>
      <c r="R63" s="58">
        <f t="shared" si="0"/>
        <v>759.81217719774281</v>
      </c>
      <c r="S63" s="58">
        <f ca="1">AVERAGE(OFFSET($R$3,0,0,'Données projet'!$E$9+1,1))-AVERAGE(OFFSET($H$3,0,0,'Données projet'!$E$9+1,1))</f>
        <v>527.70171871461309</v>
      </c>
      <c r="T63" s="58">
        <f t="shared" si="34"/>
        <v>281.06176764290592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252</v>
      </c>
      <c r="AG63" s="13">
        <f>VLOOKUP(A63,'Données projet'!$A$61:$I$81,9,0)</f>
        <v>5.8</v>
      </c>
      <c r="AH63" s="13">
        <f t="array" ref="AH63">INDEX(AG:AG,MIN(IF(ISNUMBER(AG63:AG259),ROW(AG63:AG259),"")))</f>
        <v>5.8</v>
      </c>
      <c r="AI63" s="14">
        <f>IF('Données projet'!$A$62&gt;35,AI62+AH63-AQ62,IF(A63&lt;'Données projet'!$A$62,$AF$205^A63,IF(A63='Données projet'!$A$62,'Données projet'!$B$62,AI62+AH63-AQ62)))</f>
        <v>252.00000000000006</v>
      </c>
      <c r="AJ63" s="14">
        <f>AI63*VLOOKUP('Données projet'!$B$10,Paramètres!$A$1:$I$89,3,0)*VLOOKUP('Données projet'!$B$10,Paramètres!$A$1:$I$89,5,0)</f>
        <v>165.11040000000003</v>
      </c>
      <c r="AK63" s="14">
        <f t="shared" si="35"/>
        <v>41.993062739333446</v>
      </c>
      <c r="AL63" s="22">
        <f t="shared" si="4"/>
        <v>360.70519760433916</v>
      </c>
      <c r="AM63" s="58">
        <f t="shared" si="5"/>
        <v>621.96090393581665</v>
      </c>
      <c r="AN63" s="58">
        <f ca="1">AVERAGE(OFFSET($AM$3,0,0,'Données projet'!$E$10+1,1))-AVERAGE(OFFSET($H$3,0,0,'Données projet'!$E$10+1,1))</f>
        <v>302.53318056366777</v>
      </c>
      <c r="AO63" s="58">
        <f t="shared" si="36"/>
        <v>318.32262615164541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45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1.1882909072421395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1.1882909072421395</v>
      </c>
      <c r="AY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258.3</v>
      </c>
      <c r="BB63" s="13">
        <f>VLOOKUP(A63,'Données projet'!$A$87:$I$107,9,0)</f>
        <v>5.1600000000000019</v>
      </c>
      <c r="BC63" s="13">
        <f t="array" ref="BC63">INDEX(BB:BB,MIN(IF(ISNUMBER(BB63:BB259),ROW(BB63:BB259),"")))</f>
        <v>5.1600000000000019</v>
      </c>
      <c r="BD63" s="13">
        <f>IF('Données projet'!$A$88&gt;35,BD62+BC63-BL62,IF(A63&lt;'Données projet'!$A$88,$BA$205^A63,IF(A63='Données projet'!$A$88,'Données projet'!$B$88,BD62+BC63-BL62)))</f>
        <v>258.30000000000013</v>
      </c>
      <c r="BE63" s="14">
        <f>BD63*VLOOKUP('Données projet'!$B$11,Paramètres!$A$1:$I$89,3,0)*VLOOKUP('Données projet'!$B$11,Paramètres!$A$1:$I$89,5,0)</f>
        <v>205.50348000000011</v>
      </c>
      <c r="BF63" s="14">
        <f t="shared" si="37"/>
        <v>50.951748580199457</v>
      </c>
      <c r="BG63" s="22">
        <f t="shared" si="7"/>
        <v>446.65952311051416</v>
      </c>
      <c r="BH63" s="58">
        <f t="shared" si="8"/>
        <v>707.91522944199164</v>
      </c>
      <c r="BI63" s="58">
        <f ca="1">AVERAGE(OFFSET($BH$3,0,0,'Données projet'!$E$11+1,1))-AVERAGE(OFFSET($H$3,0,0,'Données projet'!$E$11+1,1))</f>
        <v>336.25341821407534</v>
      </c>
      <c r="BJ63" s="58">
        <f t="shared" si="38"/>
        <v>360.3246221345039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25.200000000000003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2.2635308825056408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2.2635308825056408</v>
      </c>
      <c r="BT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211</v>
      </c>
      <c r="BW63" s="13">
        <f>VLOOKUP(A63,'Données projet'!$A$113:$I$133,9,0)</f>
        <v>5.4</v>
      </c>
      <c r="BX63" s="13">
        <f t="array" ref="BX63">INDEX(BW:BW,MIN(IF(ISNUMBER(BW63:BW259),ROW(BW63:BW259),"")))</f>
        <v>5.4</v>
      </c>
      <c r="BY63" s="13">
        <f>IF('Données projet'!$A$114&gt;35,BY62+BX63-CG62,IF(A63&lt;'Données projet'!$A$114,$BV$205^A63,IF(A63='Données projet'!$A$114,'Données projet'!$B$114,BY62+BX63-CG62)))</f>
        <v>211.00000000000011</v>
      </c>
      <c r="BZ63" s="14">
        <f>BY63*VLOOKUP('Données projet'!$B$12,Paramètres!$A$1:$I$89,3,0)*VLOOKUP('Données projet'!$B$12,Paramètres!$A$1:$I$89,5,0)</f>
        <v>171.1632000000001</v>
      </c>
      <c r="CA63" s="14">
        <f t="shared" si="39"/>
        <v>43.350438209113932</v>
      </c>
      <c r="CB63" s="22">
        <f t="shared" si="10"/>
        <v>373.61125321420695</v>
      </c>
      <c r="CC63" s="58">
        <f t="shared" si="11"/>
        <v>634.86695954568449</v>
      </c>
      <c r="CD63" s="58">
        <f ca="1">AVERAGE(OFFSET($CC$3,0,0,'Données projet'!$E$12+1,1))-AVERAGE(OFFSET($H$3,0,0,'Données projet'!$E$12+1,1))</f>
        <v>308.58270639204238</v>
      </c>
      <c r="CE63" s="58">
        <f t="shared" si="40"/>
        <v>258.90832875500325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200</v>
      </c>
      <c r="CR63" s="13">
        <f>VLOOKUP(A63,'Données projet'!$A$139:$I$159,9,0)</f>
        <v>4.8717948717948731</v>
      </c>
      <c r="CS63" s="13">
        <f t="array" ref="CS63">INDEX(CR:CR,MIN(IF(ISNUMBER(CR63:CR259),ROW(CR63:CR259),"")))</f>
        <v>4.8717948717948731</v>
      </c>
      <c r="CT63" s="13">
        <f>IF('Données projet'!$A$140&gt;35,CT62+CS63-DB62,IF(A63&lt;'Données projet'!$A$140,$CQ$205^A63,IF(A63='Données projet'!$A$140,'Données projet'!$B$140,CT62+CS63-DB62)))</f>
        <v>199.99999999999991</v>
      </c>
      <c r="CU63" s="18">
        <f>CT63*VLOOKUP('Données projet'!$B$13,Paramètres!$A$1:$I$89,3,0)*VLOOKUP('Données projet'!$B$13,Paramètres!$A$1:$I$89,5,0)</f>
        <v>190.31999999999991</v>
      </c>
      <c r="CV63" s="14">
        <f t="shared" si="41"/>
        <v>47.61069337740188</v>
      </c>
      <c r="CW63" s="22">
        <f t="shared" si="13"/>
        <v>414.39595763230813</v>
      </c>
      <c r="CX63" s="58">
        <f t="shared" si="14"/>
        <v>675.65166396378561</v>
      </c>
      <c r="CY63" s="58">
        <f ca="1">AVERAGE(OFFSET($CX$3,0,0,'Données projet'!$E$13+1,1))-AVERAGE(OFFSET($H$3,0,0,'Données projet'!$E$13+1,1))</f>
        <v>397.61813291201469</v>
      </c>
      <c r="CZ63" s="58">
        <f t="shared" si="42"/>
        <v>320.30651625485064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29.487179487179485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1.3828934932419592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1.3828934932419592</v>
      </c>
      <c r="DJ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58" t="e">
        <f t="shared" si="17"/>
        <v>#N/A</v>
      </c>
      <c r="DT63" s="58" t="e">
        <f ca="1">AVERAGE(OFFSET($DS$3,0,0,'Données projet'!$E$14+1,1))-AVERAGE(OFFSET($H$3,0,0,'Données projet'!$E$14+1,1))</f>
        <v>#N/A</v>
      </c>
      <c r="DU63" s="58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58" t="e">
        <f t="shared" si="20"/>
        <v>#N/A</v>
      </c>
      <c r="EO63" s="58" t="e">
        <f ca="1">AVERAGE(OFFSET($EN$3,0,0,'Données projet'!$E$15+1,1))-AVERAGE(OFFSET($H$3,0,0,'Données projet'!$E$15+1,1))</f>
        <v>#N/A</v>
      </c>
      <c r="EP63" s="58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58" t="e">
        <f t="shared" si="23"/>
        <v>#N/A</v>
      </c>
      <c r="FJ63" s="58" t="e">
        <f ca="1">AVERAGE(OFFSET($FI$3,0,0,'Données projet'!$E$16+1,1))-AVERAGE(OFFSET($H$3,0,0,'Données projet'!$E$16+1,1))</f>
        <v>#N/A</v>
      </c>
      <c r="FK63" s="58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58" t="e">
        <f t="shared" si="26"/>
        <v>#N/A</v>
      </c>
      <c r="GE63" s="58" t="e">
        <f ca="1">AVERAGE(OFFSET($GD$3,0,0,'Données projet'!$E$17+1,1))-AVERAGE(OFFSET($H$3,0,0,'Données projet'!$E$17+1,1))</f>
        <v>#N/A</v>
      </c>
      <c r="GF63" s="58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58" t="e">
        <f t="shared" si="29"/>
        <v>#N/A</v>
      </c>
      <c r="GZ63" s="58" t="e">
        <f ca="1">AVERAGE(OFFSET($GY$3,0,0,'Données projet'!$E$18+1,1))-AVERAGE(OFFSET($H$3,0,0,'Données projet'!$E$18+1,1))</f>
        <v>#N/A</v>
      </c>
      <c r="HA63" s="58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0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3">
        <f t="shared" si="1"/>
        <v>183.33333333333334</v>
      </c>
      <c r="I64" s="6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237.38831999999999</v>
      </c>
      <c r="P64" s="14">
        <f t="shared" si="33"/>
        <v>57.877257478787087</v>
      </c>
      <c r="Q64" s="22">
        <f t="shared" si="53"/>
        <v>514.25421410888737</v>
      </c>
      <c r="R64" s="58">
        <f t="shared" si="0"/>
        <v>776.06639555401671</v>
      </c>
      <c r="S64" s="58">
        <f ca="1">AVERAGE(OFFSET($R$3,0,0,'Données projet'!$E$9+1,1))-AVERAGE(OFFSET($H$3,0,0,'Données projet'!$E$9+1,1))</f>
        <v>527.70171871461309</v>
      </c>
      <c r="T64" s="58">
        <f t="shared" si="34"/>
        <v>281.06176764290592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212.20000000000005</v>
      </c>
      <c r="AJ64" s="14">
        <f>AI64*VLOOKUP('Données projet'!$B$10,Paramètres!$A$1:$I$89,3,0)*VLOOKUP('Données projet'!$B$10,Paramètres!$A$1:$I$89,5,0)</f>
        <v>139.03344000000001</v>
      </c>
      <c r="AK64" s="14">
        <f t="shared" si="35"/>
        <v>36.075490970935512</v>
      </c>
      <c r="AL64" s="22">
        <f t="shared" si="4"/>
        <v>304.98138810771269</v>
      </c>
      <c r="AM64" s="58">
        <f t="shared" si="5"/>
        <v>566.79356955284197</v>
      </c>
      <c r="AN64" s="58">
        <f ca="1">AVERAGE(OFFSET($AM$3,0,0,'Données projet'!$E$10+1,1))-AVERAGE(OFFSET($H$3,0,0,'Données projet'!$E$10+1,1))</f>
        <v>302.53318056366777</v>
      </c>
      <c r="AO64" s="58">
        <f t="shared" si="36"/>
        <v>318.32262615164541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1.1557970298941003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1.1557970298941003</v>
      </c>
      <c r="AY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4.3399999999999981</v>
      </c>
      <c r="BD64" s="13">
        <f>IF('Données projet'!$A$88&gt;35,BD63+BC64-BL63,IF(A64&lt;'Données projet'!$A$88,$BA$205^A64,IF(A64='Données projet'!$A$88,'Données projet'!$B$88,BD63+BC64-BL63)))</f>
        <v>237.44000000000011</v>
      </c>
      <c r="BE64" s="14">
        <f>BD64*VLOOKUP('Données projet'!$B$11,Paramètres!$A$1:$I$89,3,0)*VLOOKUP('Données projet'!$B$11,Paramètres!$A$1:$I$89,5,0)</f>
        <v>188.90726400000011</v>
      </c>
      <c r="BF64" s="14">
        <f t="shared" si="37"/>
        <v>47.298283397901834</v>
      </c>
      <c r="BG64" s="22">
        <f t="shared" si="7"/>
        <v>411.39132838467918</v>
      </c>
      <c r="BH64" s="58">
        <f t="shared" si="8"/>
        <v>673.20350982980858</v>
      </c>
      <c r="BI64" s="58">
        <f ca="1">AVERAGE(OFFSET($BH$3,0,0,'Données projet'!$E$11+1,1))-AVERAGE(OFFSET($H$3,0,0,'Données projet'!$E$11+1,1))</f>
        <v>336.25341821407534</v>
      </c>
      <c r="BJ64" s="58">
        <f t="shared" si="38"/>
        <v>360.3246221345039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2.2016345114896083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2.2016345114896083</v>
      </c>
      <c r="BT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</v>
      </c>
      <c r="BY64" s="13">
        <f>IF('Données projet'!$A$114&gt;35,BY63+BX64-CG63,IF(A64&lt;'Données projet'!$A$114,$BV$205^A64,IF(A64='Données projet'!$A$114,'Données projet'!$B$114,BY63+BX64-CG63)))</f>
        <v>188.00000000000011</v>
      </c>
      <c r="BZ64" s="14">
        <f>BY64*VLOOKUP('Données projet'!$B$12,Paramètres!$A$1:$I$89,3,0)*VLOOKUP('Données projet'!$B$12,Paramètres!$A$1:$I$89,5,0)</f>
        <v>152.5056000000001</v>
      </c>
      <c r="CA64" s="14">
        <f t="shared" si="39"/>
        <v>39.147442061162252</v>
      </c>
      <c r="CB64" s="22">
        <f t="shared" si="10"/>
        <v>333.79571492319104</v>
      </c>
      <c r="CC64" s="58">
        <f t="shared" si="11"/>
        <v>595.60789636832033</v>
      </c>
      <c r="CD64" s="58">
        <f ca="1">AVERAGE(OFFSET($CC$3,0,0,'Données projet'!$E$12+1,1))-AVERAGE(OFFSET($H$3,0,0,'Données projet'!$E$12+1,1))</f>
        <v>308.58270639204238</v>
      </c>
      <c r="CE64" s="58">
        <f t="shared" si="40"/>
        <v>258.90832875500325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4.6153846153846132</v>
      </c>
      <c r="CT64" s="13">
        <f>IF('Données projet'!$A$140&gt;35,CT63+CS64-DB63,IF(A64&lt;'Données projet'!$A$140,$CQ$205^A64,IF(A64='Données projet'!$A$140,'Données projet'!$B$140,CT63+CS64-DB63)))</f>
        <v>175.12820512820505</v>
      </c>
      <c r="CU64" s="18">
        <f>CT64*VLOOKUP('Données projet'!$B$13,Paramètres!$A$1:$I$89,3,0)*VLOOKUP('Données projet'!$B$13,Paramètres!$A$1:$I$89,5,0)</f>
        <v>166.65199999999993</v>
      </c>
      <c r="CV64" s="14">
        <f t="shared" si="41"/>
        <v>42.339317127801309</v>
      </c>
      <c r="CW64" s="22">
        <f t="shared" si="13"/>
        <v>363.99321066425381</v>
      </c>
      <c r="CX64" s="58">
        <f t="shared" si="14"/>
        <v>625.80539210938309</v>
      </c>
      <c r="CY64" s="58">
        <f ca="1">AVERAGE(OFFSET($CX$3,0,0,'Données projet'!$E$13+1,1))-AVERAGE(OFFSET($H$3,0,0,'Données projet'!$E$13+1,1))</f>
        <v>397.61813291201469</v>
      </c>
      <c r="CZ64" s="58">
        <f t="shared" si="42"/>
        <v>320.30651625485064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1.3450781979460498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1.3450781979460498</v>
      </c>
      <c r="DJ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58" t="e">
        <f t="shared" si="17"/>
        <v>#N/A</v>
      </c>
      <c r="DT64" s="58" t="e">
        <f ca="1">AVERAGE(OFFSET($DS$3,0,0,'Données projet'!$E$14+1,1))-AVERAGE(OFFSET($H$3,0,0,'Données projet'!$E$14+1,1))</f>
        <v>#N/A</v>
      </c>
      <c r="DU64" s="58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58" t="e">
        <f t="shared" si="20"/>
        <v>#N/A</v>
      </c>
      <c r="EO64" s="58" t="e">
        <f ca="1">AVERAGE(OFFSET($EN$3,0,0,'Données projet'!$E$15+1,1))-AVERAGE(OFFSET($H$3,0,0,'Données projet'!$E$15+1,1))</f>
        <v>#N/A</v>
      </c>
      <c r="EP64" s="58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58" t="e">
        <f t="shared" si="23"/>
        <v>#N/A</v>
      </c>
      <c r="FJ64" s="58" t="e">
        <f ca="1">AVERAGE(OFFSET($FI$3,0,0,'Données projet'!$E$16+1,1))-AVERAGE(OFFSET($H$3,0,0,'Données projet'!$E$16+1,1))</f>
        <v>#N/A</v>
      </c>
      <c r="FK64" s="58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58" t="e">
        <f t="shared" si="26"/>
        <v>#N/A</v>
      </c>
      <c r="GE64" s="58" t="e">
        <f ca="1">AVERAGE(OFFSET($GD$3,0,0,'Données projet'!$E$17+1,1))-AVERAGE(OFFSET($H$3,0,0,'Données projet'!$E$17+1,1))</f>
        <v>#N/A</v>
      </c>
      <c r="GF64" s="58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58" t="e">
        <f t="shared" si="29"/>
        <v>#N/A</v>
      </c>
      <c r="GZ64" s="58" t="e">
        <f ca="1">AVERAGE(OFFSET($GY$3,0,0,'Données projet'!$E$18+1,1))-AVERAGE(OFFSET($H$3,0,0,'Données projet'!$E$18+1,1))</f>
        <v>#N/A</v>
      </c>
      <c r="HA64" s="58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0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3">
        <f t="shared" si="1"/>
        <v>183.33333333333334</v>
      </c>
      <c r="I65" s="6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244.80143999999999</v>
      </c>
      <c r="P65" s="14">
        <f t="shared" si="33"/>
        <v>59.471389714596519</v>
      </c>
      <c r="Q65" s="22">
        <f t="shared" si="53"/>
        <v>529.94184508625551</v>
      </c>
      <c r="R65" s="58">
        <f t="shared" si="0"/>
        <v>792.30084804590683</v>
      </c>
      <c r="S65" s="58">
        <f ca="1">AVERAGE(OFFSET($R$3,0,0,'Données projet'!$E$9+1,1))-AVERAGE(OFFSET($H$3,0,0,'Données projet'!$E$9+1,1))</f>
        <v>527.70171871461309</v>
      </c>
      <c r="T65" s="58">
        <f t="shared" si="34"/>
        <v>281.06176764290592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217.40000000000003</v>
      </c>
      <c r="AJ65" s="14">
        <f>AI65*VLOOKUP('Données projet'!$B$10,Paramètres!$A$1:$I$89,3,0)*VLOOKUP('Données projet'!$B$10,Paramètres!$A$1:$I$89,5,0)</f>
        <v>142.44048000000001</v>
      </c>
      <c r="AK65" s="14">
        <f t="shared" si="35"/>
        <v>36.855521628538249</v>
      </c>
      <c r="AL65" s="22">
        <f t="shared" si="4"/>
        <v>312.27386950303747</v>
      </c>
      <c r="AM65" s="58">
        <f t="shared" si="5"/>
        <v>574.63287246268874</v>
      </c>
      <c r="AN65" s="58">
        <f ca="1">AVERAGE(OFFSET($AM$3,0,0,'Données projet'!$E$10+1,1))-AVERAGE(OFFSET($H$3,0,0,'Données projet'!$E$10+1,1))</f>
        <v>302.53318056366777</v>
      </c>
      <c r="AO65" s="58">
        <f t="shared" si="36"/>
        <v>318.32262615164541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1.124191699330922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1.124191699330922</v>
      </c>
      <c r="AY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4.3399999999999981</v>
      </c>
      <c r="BD65" s="13">
        <f>IF('Données projet'!$A$88&gt;35,BD64+BC65-BL64,IF(A65&lt;'Données projet'!$A$88,$BA$205^A65,IF(A65='Données projet'!$A$88,'Données projet'!$B$88,BD64+BC65-BL64)))</f>
        <v>241.78000000000011</v>
      </c>
      <c r="BE65" s="14">
        <f>BD65*VLOOKUP('Données projet'!$B$11,Paramètres!$A$1:$I$89,3,0)*VLOOKUP('Données projet'!$B$11,Paramètres!$A$1:$I$89,5,0)</f>
        <v>192.3601680000001</v>
      </c>
      <c r="BF65" s="14">
        <f t="shared" si="37"/>
        <v>48.061376979759274</v>
      </c>
      <c r="BG65" s="22">
        <f t="shared" si="7"/>
        <v>418.73419083974755</v>
      </c>
      <c r="BH65" s="58">
        <f t="shared" si="8"/>
        <v>681.09319379939893</v>
      </c>
      <c r="BI65" s="58">
        <f ca="1">AVERAGE(OFFSET($BH$3,0,0,'Données projet'!$E$11+1,1))-AVERAGE(OFFSET($H$3,0,0,'Données projet'!$E$11+1,1))</f>
        <v>336.25341821407534</v>
      </c>
      <c r="BJ65" s="58">
        <f t="shared" si="38"/>
        <v>360.3246221345039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2.141430699993998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2.141430699993998</v>
      </c>
      <c r="BT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</v>
      </c>
      <c r="BY65" s="13">
        <f>IF('Données projet'!$A$114&gt;35,BY64+BX65-CG64,IF(A65&lt;'Données projet'!$A$114,$BV$205^A65,IF(A65='Données projet'!$A$114,'Données projet'!$B$114,BY64+BX65-CG64)))</f>
        <v>193.00000000000011</v>
      </c>
      <c r="BZ65" s="14">
        <f>BY65*VLOOKUP('Données projet'!$B$12,Paramètres!$A$1:$I$89,3,0)*VLOOKUP('Données projet'!$B$12,Paramètres!$A$1:$I$89,5,0)</f>
        <v>156.56160000000008</v>
      </c>
      <c r="CA65" s="14">
        <f t="shared" si="39"/>
        <v>40.065996859746512</v>
      </c>
      <c r="CB65" s="22">
        <f t="shared" si="10"/>
        <v>342.45973119739205</v>
      </c>
      <c r="CC65" s="58">
        <f t="shared" si="11"/>
        <v>604.81873415704331</v>
      </c>
      <c r="CD65" s="58">
        <f ca="1">AVERAGE(OFFSET($CC$3,0,0,'Données projet'!$E$12+1,1))-AVERAGE(OFFSET($H$3,0,0,'Données projet'!$E$12+1,1))</f>
        <v>308.58270639204238</v>
      </c>
      <c r="CE65" s="58">
        <f t="shared" si="40"/>
        <v>258.90832875500325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4.6153846153846132</v>
      </c>
      <c r="CT65" s="13">
        <f>IF('Données projet'!$A$140&gt;35,CT64+CS65-DB64,IF(A65&lt;'Données projet'!$A$140,$CQ$205^A65,IF(A65='Données projet'!$A$140,'Données projet'!$B$140,CT64+CS65-DB64)))</f>
        <v>179.74358974358967</v>
      </c>
      <c r="CU65" s="18">
        <f>CT65*VLOOKUP('Données projet'!$B$13,Paramètres!$A$1:$I$89,3,0)*VLOOKUP('Données projet'!$B$13,Paramètres!$A$1:$I$89,5,0)</f>
        <v>171.04399999999993</v>
      </c>
      <c r="CV65" s="14">
        <f t="shared" si="41"/>
        <v>43.32376147477413</v>
      </c>
      <c r="CW65" s="22">
        <f t="shared" si="13"/>
        <v>373.35718456856483</v>
      </c>
      <c r="CX65" s="58">
        <f t="shared" si="14"/>
        <v>635.7161875282161</v>
      </c>
      <c r="CY65" s="58">
        <f ca="1">AVERAGE(OFFSET($CX$3,0,0,'Données projet'!$E$13+1,1))-AVERAGE(OFFSET($H$3,0,0,'Données projet'!$E$13+1,1))</f>
        <v>397.61813291201469</v>
      </c>
      <c r="CZ65" s="58">
        <f t="shared" si="42"/>
        <v>320.30651625485064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1.3082969638886268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1.3082969638886268</v>
      </c>
      <c r="DJ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58" t="e">
        <f t="shared" si="17"/>
        <v>#N/A</v>
      </c>
      <c r="DT65" s="58" t="e">
        <f ca="1">AVERAGE(OFFSET($DS$3,0,0,'Données projet'!$E$14+1,1))-AVERAGE(OFFSET($H$3,0,0,'Données projet'!$E$14+1,1))</f>
        <v>#N/A</v>
      </c>
      <c r="DU65" s="58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58" t="e">
        <f t="shared" si="20"/>
        <v>#N/A</v>
      </c>
      <c r="EO65" s="58" t="e">
        <f ca="1">AVERAGE(OFFSET($EN$3,0,0,'Données projet'!$E$15+1,1))-AVERAGE(OFFSET($H$3,0,0,'Données projet'!$E$15+1,1))</f>
        <v>#N/A</v>
      </c>
      <c r="EP65" s="58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58" t="e">
        <f t="shared" si="23"/>
        <v>#N/A</v>
      </c>
      <c r="FJ65" s="58" t="e">
        <f ca="1">AVERAGE(OFFSET($FI$3,0,0,'Données projet'!$E$16+1,1))-AVERAGE(OFFSET($H$3,0,0,'Données projet'!$E$16+1,1))</f>
        <v>#N/A</v>
      </c>
      <c r="FK65" s="58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58" t="e">
        <f t="shared" si="26"/>
        <v>#N/A</v>
      </c>
      <c r="GE65" s="58" t="e">
        <f ca="1">AVERAGE(OFFSET($GD$3,0,0,'Données projet'!$E$17+1,1))-AVERAGE(OFFSET($H$3,0,0,'Données projet'!$E$17+1,1))</f>
        <v>#N/A</v>
      </c>
      <c r="GF65" s="58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58" t="e">
        <f t="shared" si="29"/>
        <v>#N/A</v>
      </c>
      <c r="GZ65" s="58" t="e">
        <f ca="1">AVERAGE(OFFSET($GY$3,0,0,'Données projet'!$E$18+1,1))-AVERAGE(OFFSET($H$3,0,0,'Données projet'!$E$18+1,1))</f>
        <v>#N/A</v>
      </c>
      <c r="HA65" s="58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0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3">
        <f t="shared" si="1"/>
        <v>183.33333333333334</v>
      </c>
      <c r="I66" s="6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252.21455999999998</v>
      </c>
      <c r="P66" s="14">
        <f t="shared" si="33"/>
        <v>61.059911866756252</v>
      </c>
      <c r="Q66" s="22">
        <f t="shared" si="53"/>
        <v>545.61970516793383</v>
      </c>
      <c r="R66" s="58">
        <f t="shared" si="0"/>
        <v>808.51604351133994</v>
      </c>
      <c r="S66" s="58">
        <f ca="1">AVERAGE(OFFSET($R$3,0,0,'Données projet'!$E$9+1,1))-AVERAGE(OFFSET($H$3,0,0,'Données projet'!$E$9+1,1))</f>
        <v>527.70171871461309</v>
      </c>
      <c r="T66" s="58">
        <f t="shared" si="34"/>
        <v>281.06176764290592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222.60000000000002</v>
      </c>
      <c r="AJ66" s="14">
        <f>AI66*VLOOKUP('Données projet'!$B$10,Paramètres!$A$1:$I$89,3,0)*VLOOKUP('Données projet'!$B$10,Paramètres!$A$1:$I$89,5,0)</f>
        <v>145.84752</v>
      </c>
      <c r="AK66" s="14">
        <f t="shared" si="35"/>
        <v>37.633383344887065</v>
      </c>
      <c r="AL66" s="22">
        <f t="shared" si="4"/>
        <v>319.56257332567822</v>
      </c>
      <c r="AM66" s="58">
        <f t="shared" si="5"/>
        <v>582.45891166908427</v>
      </c>
      <c r="AN66" s="58">
        <f ca="1">AVERAGE(OFFSET($AM$3,0,0,'Données projet'!$E$10+1,1))-AVERAGE(OFFSET($H$3,0,0,'Données projet'!$E$10+1,1))</f>
        <v>302.53318056366777</v>
      </c>
      <c r="AO66" s="58">
        <f t="shared" si="36"/>
        <v>318.32262615164541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1.0934506181940458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1.0934506181940458</v>
      </c>
      <c r="AY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4.3399999999999981</v>
      </c>
      <c r="BD66" s="13">
        <f>IF('Données projet'!$A$88&gt;35,BD65+BC66-BL65,IF(A66&lt;'Données projet'!$A$88,$BA$205^A66,IF(A66='Données projet'!$A$88,'Données projet'!$B$88,BD65+BC66-BL65)))</f>
        <v>246.12000000000012</v>
      </c>
      <c r="BE66" s="14">
        <f>BD66*VLOOKUP('Données projet'!$B$11,Paramètres!$A$1:$I$89,3,0)*VLOOKUP('Données projet'!$B$11,Paramètres!$A$1:$I$89,5,0)</f>
        <v>195.81307200000012</v>
      </c>
      <c r="BF66" s="14">
        <f t="shared" si="37"/>
        <v>48.822877725242478</v>
      </c>
      <c r="BG66" s="22">
        <f t="shared" si="7"/>
        <v>426.07427910479754</v>
      </c>
      <c r="BH66" s="58">
        <f t="shared" si="8"/>
        <v>688.97061744820371</v>
      </c>
      <c r="BI66" s="58">
        <f ca="1">AVERAGE(OFFSET($BH$3,0,0,'Données projet'!$E$11+1,1))-AVERAGE(OFFSET($H$3,0,0,'Données projet'!$E$11+1,1))</f>
        <v>336.25341821407534</v>
      </c>
      <c r="BJ66" s="58">
        <f t="shared" si="38"/>
        <v>360.3246221345039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2.0828731648897159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2.0828731648897159</v>
      </c>
      <c r="BT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</v>
      </c>
      <c r="BY66" s="13">
        <f>IF('Données projet'!$A$114&gt;35,BY65+BX66-CG65,IF(A66&lt;'Données projet'!$A$114,$BV$205^A66,IF(A66='Données projet'!$A$114,'Données projet'!$B$114,BY65+BX66-CG65)))</f>
        <v>198.00000000000011</v>
      </c>
      <c r="BZ66" s="14">
        <f>BY66*VLOOKUP('Données projet'!$B$12,Paramètres!$A$1:$I$89,3,0)*VLOOKUP('Données projet'!$B$12,Paramètres!$A$1:$I$89,5,0)</f>
        <v>160.6176000000001</v>
      </c>
      <c r="CA66" s="14">
        <f t="shared" si="39"/>
        <v>40.981785561145109</v>
      </c>
      <c r="CB66" s="22">
        <f t="shared" si="10"/>
        <v>351.11892985232788</v>
      </c>
      <c r="CC66" s="58">
        <f t="shared" si="11"/>
        <v>614.01526819573405</v>
      </c>
      <c r="CD66" s="58">
        <f ca="1">AVERAGE(OFFSET($CC$3,0,0,'Données projet'!$E$12+1,1))-AVERAGE(OFFSET($H$3,0,0,'Données projet'!$E$12+1,1))</f>
        <v>308.58270639204238</v>
      </c>
      <c r="CE66" s="58">
        <f t="shared" si="40"/>
        <v>258.90832875500325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4.6153846153846132</v>
      </c>
      <c r="CT66" s="13">
        <f>IF('Données projet'!$A$140&gt;35,CT65+CS66-DB65,IF(A66&lt;'Données projet'!$A$140,$CQ$205^A66,IF(A66='Données projet'!$A$140,'Données projet'!$B$140,CT65+CS66-DB65)))</f>
        <v>184.35897435897428</v>
      </c>
      <c r="CU66" s="18">
        <f>CT66*VLOOKUP('Données projet'!$B$13,Paramètres!$A$1:$I$89,3,0)*VLOOKUP('Données projet'!$B$13,Paramètres!$A$1:$I$89,5,0)</f>
        <v>175.43599999999992</v>
      </c>
      <c r="CV66" s="14">
        <f t="shared" si="41"/>
        <v>44.305267494172632</v>
      </c>
      <c r="CW66" s="22">
        <f t="shared" si="13"/>
        <v>382.71604088568387</v>
      </c>
      <c r="CX66" s="58">
        <f t="shared" si="14"/>
        <v>645.61237922909004</v>
      </c>
      <c r="CY66" s="58">
        <f ca="1">AVERAGE(OFFSET($CX$3,0,0,'Données projet'!$E$13+1,1))-AVERAGE(OFFSET($H$3,0,0,'Données projet'!$E$13+1,1))</f>
        <v>397.61813291201469</v>
      </c>
      <c r="CZ66" s="58">
        <f t="shared" si="42"/>
        <v>320.30651625485064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1.2725215146107451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1.2725215146107451</v>
      </c>
      <c r="DJ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58" t="e">
        <f t="shared" si="17"/>
        <v>#N/A</v>
      </c>
      <c r="DT66" s="58" t="e">
        <f ca="1">AVERAGE(OFFSET($DS$3,0,0,'Données projet'!$E$14+1,1))-AVERAGE(OFFSET($H$3,0,0,'Données projet'!$E$14+1,1))</f>
        <v>#N/A</v>
      </c>
      <c r="DU66" s="58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58" t="e">
        <f t="shared" si="20"/>
        <v>#N/A</v>
      </c>
      <c r="EO66" s="58" t="e">
        <f ca="1">AVERAGE(OFFSET($EN$3,0,0,'Données projet'!$E$15+1,1))-AVERAGE(OFFSET($H$3,0,0,'Données projet'!$E$15+1,1))</f>
        <v>#N/A</v>
      </c>
      <c r="EP66" s="58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58" t="e">
        <f t="shared" si="23"/>
        <v>#N/A</v>
      </c>
      <c r="FJ66" s="58" t="e">
        <f ca="1">AVERAGE(OFFSET($FI$3,0,0,'Données projet'!$E$16+1,1))-AVERAGE(OFFSET($H$3,0,0,'Données projet'!$E$16+1,1))</f>
        <v>#N/A</v>
      </c>
      <c r="FK66" s="58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58" t="e">
        <f t="shared" si="26"/>
        <v>#N/A</v>
      </c>
      <c r="GE66" s="58" t="e">
        <f ca="1">AVERAGE(OFFSET($GD$3,0,0,'Données projet'!$E$17+1,1))-AVERAGE(OFFSET($H$3,0,0,'Données projet'!$E$17+1,1))</f>
        <v>#N/A</v>
      </c>
      <c r="GF66" s="58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58" t="e">
        <f t="shared" si="29"/>
        <v>#N/A</v>
      </c>
      <c r="GZ66" s="58" t="e">
        <f ca="1">AVERAGE(OFFSET($GY$3,0,0,'Données projet'!$E$18+1,1))-AVERAGE(OFFSET($H$3,0,0,'Données projet'!$E$18+1,1))</f>
        <v>#N/A</v>
      </c>
      <c r="HA66" s="58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0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3">
        <f t="shared" si="1"/>
        <v>183.33333333333334</v>
      </c>
      <c r="I67" s="6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259.62768</v>
      </c>
      <c r="P67" s="14">
        <f t="shared" si="33"/>
        <v>62.643007760076095</v>
      </c>
      <c r="Q67" s="22">
        <f t="shared" ref="Q67:Q98" si="54">(O67+P67)*0.475*44/12</f>
        <v>561.28811451546585</v>
      </c>
      <c r="R67" s="58">
        <f t="shared" ref="R67:R130" si="55">Q67+(I67+J67)*44/12</f>
        <v>824.71246667502055</v>
      </c>
      <c r="S67" s="58">
        <f ca="1">AVERAGE(OFFSET($R$3,0,0,'Données projet'!$E$9+1,1))-AVERAGE(OFFSET($H$3,0,0,'Données projet'!$E$9+1,1))</f>
        <v>527.70171871461309</v>
      </c>
      <c r="T67" s="58">
        <f t="shared" si="34"/>
        <v>281.06176764290592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227.8</v>
      </c>
      <c r="AJ67" s="14">
        <f>AI67*VLOOKUP('Données projet'!$B$10,Paramètres!$A$1:$I$89,3,0)*VLOOKUP('Données projet'!$B$10,Paramètres!$A$1:$I$89,5,0)</f>
        <v>149.25456</v>
      </c>
      <c r="AK67" s="14">
        <f t="shared" si="35"/>
        <v>38.409132618275962</v>
      </c>
      <c r="AL67" s="22">
        <f t="shared" si="4"/>
        <v>326.84759797683063</v>
      </c>
      <c r="AM67" s="58">
        <f t="shared" si="5"/>
        <v>590.27195013638539</v>
      </c>
      <c r="AN67" s="58">
        <f ca="1">AVERAGE(OFFSET($AM$3,0,0,'Données projet'!$E$10+1,1))-AVERAGE(OFFSET($H$3,0,0,'Données projet'!$E$10+1,1))</f>
        <v>302.53318056366777</v>
      </c>
      <c r="AO67" s="58">
        <f t="shared" si="36"/>
        <v>318.32262615164541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1.0635501535374607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1.0635501535374607</v>
      </c>
      <c r="AY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4.3399999999999981</v>
      </c>
      <c r="BD67" s="13">
        <f>IF('Données projet'!$A$88&gt;35,BD66+BC67-BL66,IF(A67&lt;'Données projet'!$A$88,$BA$205^A67,IF(A67='Données projet'!$A$88,'Données projet'!$B$88,BD66+BC67-BL66)))</f>
        <v>250.46000000000012</v>
      </c>
      <c r="BE67" s="14">
        <f>BD67*VLOOKUP('Données projet'!$B$11,Paramètres!$A$1:$I$89,3,0)*VLOOKUP('Données projet'!$B$11,Paramètres!$A$1:$I$89,5,0)</f>
        <v>199.26597600000011</v>
      </c>
      <c r="BF67" s="14">
        <f t="shared" si="37"/>
        <v>49.582816962415684</v>
      </c>
      <c r="BG67" s="22">
        <f t="shared" si="7"/>
        <v>433.4116477428741</v>
      </c>
      <c r="BH67" s="58">
        <f t="shared" si="8"/>
        <v>696.83599990242885</v>
      </c>
      <c r="BI67" s="58">
        <f ca="1">AVERAGE(OFFSET($BH$3,0,0,'Données projet'!$E$11+1,1))-AVERAGE(OFFSET($H$3,0,0,'Données projet'!$E$11+1,1))</f>
        <v>336.25341821407534</v>
      </c>
      <c r="BJ67" s="58">
        <f t="shared" si="38"/>
        <v>360.3246221345039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2.0259168886622674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2.0259168886622674</v>
      </c>
      <c r="BT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</v>
      </c>
      <c r="BY67" s="13">
        <f>IF('Données projet'!$A$114&gt;35,BY66+BX67-CG66,IF(A67&lt;'Données projet'!$A$114,$BV$205^A67,IF(A67='Données projet'!$A$114,'Données projet'!$B$114,BY66+BX67-CG66)))</f>
        <v>203.00000000000011</v>
      </c>
      <c r="BZ67" s="14">
        <f>BY67*VLOOKUP('Données projet'!$B$12,Paramètres!$A$1:$I$89,3,0)*VLOOKUP('Données projet'!$B$12,Paramètres!$A$1:$I$89,5,0)</f>
        <v>164.67360000000011</v>
      </c>
      <c r="CA67" s="14">
        <f t="shared" si="39"/>
        <v>41.894886049197019</v>
      </c>
      <c r="CB67" s="22">
        <f t="shared" si="10"/>
        <v>359.77344653568503</v>
      </c>
      <c r="CC67" s="58">
        <f t="shared" si="11"/>
        <v>623.19779869523973</v>
      </c>
      <c r="CD67" s="58">
        <f ca="1">AVERAGE(OFFSET($CC$3,0,0,'Données projet'!$E$12+1,1))-AVERAGE(OFFSET($H$3,0,0,'Données projet'!$E$12+1,1))</f>
        <v>308.58270639204238</v>
      </c>
      <c r="CE67" s="58">
        <f t="shared" si="40"/>
        <v>258.90832875500325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4.6153846153846132</v>
      </c>
      <c r="CT67" s="13">
        <f>IF('Données projet'!$A$140&gt;35,CT66+CS67-DB66,IF(A67&lt;'Données projet'!$A$140,$CQ$205^A67,IF(A67='Données projet'!$A$140,'Données projet'!$B$140,CT66+CS67-DB66)))</f>
        <v>188.97435897435889</v>
      </c>
      <c r="CU67" s="18">
        <f>CT67*VLOOKUP('Données projet'!$B$13,Paramètres!$A$1:$I$89,3,0)*VLOOKUP('Données projet'!$B$13,Paramètres!$A$1:$I$89,5,0)</f>
        <v>179.82799999999992</v>
      </c>
      <c r="CV67" s="14">
        <f t="shared" si="41"/>
        <v>45.283917206572795</v>
      </c>
      <c r="CW67" s="22">
        <f t="shared" si="13"/>
        <v>392.0699224681141</v>
      </c>
      <c r="CX67" s="58">
        <f t="shared" si="14"/>
        <v>655.4942746276688</v>
      </c>
      <c r="CY67" s="58">
        <f ca="1">AVERAGE(OFFSET($CX$3,0,0,'Données projet'!$E$13+1,1))-AVERAGE(OFFSET($H$3,0,0,'Données projet'!$E$13+1,1))</f>
        <v>397.61813291201469</v>
      </c>
      <c r="CZ67" s="58">
        <f t="shared" si="42"/>
        <v>320.30651625485064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1.2377243468747163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1.2377243468747163</v>
      </c>
      <c r="DJ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58" t="e">
        <f t="shared" si="17"/>
        <v>#N/A</v>
      </c>
      <c r="DT67" s="58" t="e">
        <f ca="1">AVERAGE(OFFSET($DS$3,0,0,'Données projet'!$E$14+1,1))-AVERAGE(OFFSET($H$3,0,0,'Données projet'!$E$14+1,1))</f>
        <v>#N/A</v>
      </c>
      <c r="DU67" s="58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58" t="e">
        <f t="shared" si="20"/>
        <v>#N/A</v>
      </c>
      <c r="EO67" s="58" t="e">
        <f ca="1">AVERAGE(OFFSET($EN$3,0,0,'Données projet'!$E$15+1,1))-AVERAGE(OFFSET($H$3,0,0,'Données projet'!$E$15+1,1))</f>
        <v>#N/A</v>
      </c>
      <c r="EP67" s="58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58" t="e">
        <f t="shared" si="23"/>
        <v>#N/A</v>
      </c>
      <c r="FJ67" s="58" t="e">
        <f ca="1">AVERAGE(OFFSET($FI$3,0,0,'Données projet'!$E$16+1,1))-AVERAGE(OFFSET($H$3,0,0,'Données projet'!$E$16+1,1))</f>
        <v>#N/A</v>
      </c>
      <c r="FK67" s="58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58" t="e">
        <f t="shared" si="26"/>
        <v>#N/A</v>
      </c>
      <c r="GE67" s="58" t="e">
        <f ca="1">AVERAGE(OFFSET($GD$3,0,0,'Données projet'!$E$17+1,1))-AVERAGE(OFFSET($H$3,0,0,'Données projet'!$E$17+1,1))</f>
        <v>#N/A</v>
      </c>
      <c r="GF67" s="58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58" t="e">
        <f t="shared" si="29"/>
        <v>#N/A</v>
      </c>
      <c r="GZ67" s="58" t="e">
        <f ca="1">AVERAGE(OFFSET($GY$3,0,0,'Données projet'!$E$18+1,1))-AVERAGE(OFFSET($H$3,0,0,'Données projet'!$E$18+1,1))</f>
        <v>#N/A</v>
      </c>
      <c r="HA67" s="58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0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3">
        <f t="shared" ref="H68:H131" si="56">(B68+E68+F68)*44/12+(C68+D68)*0.475*44/12</f>
        <v>183.33333333333334</v>
      </c>
      <c r="I68" s="6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267.04080000000005</v>
      </c>
      <c r="P68" s="14">
        <f t="shared" si="33"/>
        <v>64.220850124833518</v>
      </c>
      <c r="Q68" s="22">
        <f t="shared" si="54"/>
        <v>576.94737396741846</v>
      </c>
      <c r="R68" s="58">
        <f t="shared" si="55"/>
        <v>840.8905800838736</v>
      </c>
      <c r="S68" s="58">
        <f ca="1">AVERAGE(OFFSET($R$3,0,0,'Données projet'!$E$9+1,1))-AVERAGE(OFFSET($H$3,0,0,'Données projet'!$E$9+1,1))</f>
        <v>527.70171871461309</v>
      </c>
      <c r="T68" s="58">
        <f t="shared" si="34"/>
        <v>281.06176764290592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233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233</v>
      </c>
      <c r="AJ68" s="14">
        <f>AI68*VLOOKUP('Données projet'!$B$10,Paramètres!$A$1:$I$89,3,0)*VLOOKUP('Données projet'!$B$10,Paramètres!$A$1:$I$89,5,0)</f>
        <v>152.66159999999999</v>
      </c>
      <c r="AK68" s="14">
        <f t="shared" si="35"/>
        <v>39.182823220412118</v>
      </c>
      <c r="AL68" s="22">
        <f t="shared" ref="AL68:AL131" si="58">(AJ68+AK68)*0.475*44/12</f>
        <v>334.12903710888446</v>
      </c>
      <c r="AM68" s="58">
        <f t="shared" ref="AM68:AM131" si="59">AL68+(AD68+AE68)*44/12</f>
        <v>598.07224322533966</v>
      </c>
      <c r="AN68" s="58">
        <f ca="1">AVERAGE(OFFSET($AM$3,0,0,'Données projet'!$E$10+1,1))-AVERAGE(OFFSET($H$3,0,0,'Données projet'!$E$10+1,1))</f>
        <v>302.53318056366777</v>
      </c>
      <c r="AO68" s="58">
        <f t="shared" si="36"/>
        <v>318.32262615164541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1.0344673186593072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1.0344673186593072</v>
      </c>
      <c r="AY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254.8</v>
      </c>
      <c r="BB68" s="13">
        <f>VLOOKUP(A68,'Données projet'!$A$87:$I$107,9,0)</f>
        <v>4.3399999999999981</v>
      </c>
      <c r="BC68" s="13">
        <f t="array" ref="BC68">INDEX(BB:BB,MIN(IF(ISNUMBER(BB68:BB264),ROW(BB68:BB264),"")))</f>
        <v>4.3399999999999981</v>
      </c>
      <c r="BD68" s="13">
        <f>IF('Données projet'!$A$88&gt;35,BD67+BC68-BL67,IF(A68&lt;'Données projet'!$A$88,$BA$205^A68,IF(A68='Données projet'!$A$88,'Données projet'!$B$88,BD67+BC68-BL67)))</f>
        <v>254.80000000000013</v>
      </c>
      <c r="BE68" s="14">
        <f>BD68*VLOOKUP('Données projet'!$B$11,Paramètres!$A$1:$I$89,3,0)*VLOOKUP('Données projet'!$B$11,Paramètres!$A$1:$I$89,5,0)</f>
        <v>202.7188800000001</v>
      </c>
      <c r="BF68" s="14">
        <f t="shared" si="37"/>
        <v>50.341224871428125</v>
      </c>
      <c r="BG68" s="22">
        <f t="shared" ref="BG68:BG131" si="61">(BE68+BF68)*0.475*44/12</f>
        <v>440.7463493177375</v>
      </c>
      <c r="BH68" s="58">
        <f t="shared" ref="BH68:BH131" si="62">BG68+(AY68+AZ68)*44/12</f>
        <v>704.6895554341927</v>
      </c>
      <c r="BI68" s="58">
        <f ca="1">AVERAGE(OFFSET($BH$3,0,0,'Données projet'!$E$11+1,1))-AVERAGE(OFFSET($H$3,0,0,'Données projet'!$E$11+1,1))</f>
        <v>336.25341821407534</v>
      </c>
      <c r="BJ68" s="58">
        <f t="shared" si="38"/>
        <v>360.3246221345039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1.9705180848034587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1.9705180848034587</v>
      </c>
      <c r="BT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208</v>
      </c>
      <c r="BW68" s="13">
        <f>VLOOKUP(A68,'Données projet'!$A$113:$I$133,9,0)</f>
        <v>5</v>
      </c>
      <c r="BX68" s="13">
        <f t="array" ref="BX68">INDEX(BW:BW,MIN(IF(ISNUMBER(BW68:BW264),ROW(BW68:BW264),"")))</f>
        <v>5</v>
      </c>
      <c r="BY68" s="13">
        <f>IF('Données projet'!$A$114&gt;35,BY67+BX68-CG67,IF(A68&lt;'Données projet'!$A$114,$BV$205^A68,IF(A68='Données projet'!$A$114,'Données projet'!$B$114,BY67+BX68-CG67)))</f>
        <v>208.00000000000011</v>
      </c>
      <c r="BZ68" s="14">
        <f>BY68*VLOOKUP('Données projet'!$B$12,Paramètres!$A$1:$I$89,3,0)*VLOOKUP('Données projet'!$B$12,Paramètres!$A$1:$I$89,5,0)</f>
        <v>168.72960000000012</v>
      </c>
      <c r="CA68" s="14">
        <f t="shared" si="39"/>
        <v>42.805372152385111</v>
      </c>
      <c r="CB68" s="22">
        <f t="shared" ref="CB68:CB131" si="64">(BZ68+CA68)*0.475*44/12</f>
        <v>368.42340983207094</v>
      </c>
      <c r="CC68" s="58">
        <f t="shared" ref="CC68:CC131" si="65">CB68+(BT68+BU68)*44/12</f>
        <v>632.36661594852615</v>
      </c>
      <c r="CD68" s="58">
        <f ca="1">AVERAGE(OFFSET($CC$3,0,0,'Données projet'!$E$12+1,1))-AVERAGE(OFFSET($H$3,0,0,'Données projet'!$E$12+1,1))</f>
        <v>308.58270639204238</v>
      </c>
      <c r="CE68" s="58">
        <f t="shared" si="40"/>
        <v>258.90832875500325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193.58974358974359</v>
      </c>
      <c r="CR68" s="13">
        <f>VLOOKUP(A68,'Données projet'!$A$139:$I$159,9,0)</f>
        <v>4.6153846153846132</v>
      </c>
      <c r="CS68" s="13">
        <f t="array" ref="CS68">INDEX(CR:CR,MIN(IF(ISNUMBER(CR68:CR264),ROW(CR68:CR264),"")))</f>
        <v>4.6153846153846132</v>
      </c>
      <c r="CT68" s="13">
        <f>IF('Données projet'!$A$140&gt;35,CT67+CS68-DB67,IF(A68&lt;'Données projet'!$A$140,$CQ$205^A68,IF(A68='Données projet'!$A$140,'Données projet'!$B$140,CT67+CS68-DB67)))</f>
        <v>193.58974358974351</v>
      </c>
      <c r="CU68" s="18">
        <f>CT68*VLOOKUP('Données projet'!$B$13,Paramètres!$A$1:$I$89,3,0)*VLOOKUP('Données projet'!$B$13,Paramètres!$A$1:$I$89,5,0)</f>
        <v>184.21999999999991</v>
      </c>
      <c r="CV68" s="14">
        <f t="shared" si="41"/>
        <v>46.259788397695985</v>
      </c>
      <c r="CW68" s="22">
        <f t="shared" ref="CW68:CW131" si="67">(CU68+CV68)*0.475*44/12</f>
        <v>401.4189647926537</v>
      </c>
      <c r="CX68" s="58">
        <f t="shared" ref="CX68:CX131" si="68">CW68+(CO68+CP68)*44/12</f>
        <v>665.36217090910895</v>
      </c>
      <c r="CY68" s="58">
        <f ca="1">AVERAGE(OFFSET($CX$3,0,0,'Données projet'!$E$13+1,1))-AVERAGE(OFFSET($H$3,0,0,'Données projet'!$E$13+1,1))</f>
        <v>397.61813291201469</v>
      </c>
      <c r="CZ68" s="58">
        <f t="shared" si="42"/>
        <v>320.30651625485064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1.2038787095203327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1.2038787095203327</v>
      </c>
      <c r="DJ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58" t="e">
        <f t="shared" ref="DS68:DS131" si="71">DR68+(DJ68+DK68)*44/12</f>
        <v>#N/A</v>
      </c>
      <c r="DT68" s="58" t="e">
        <f ca="1">AVERAGE(OFFSET($DS$3,0,0,'Données projet'!$E$14+1,1))-AVERAGE(OFFSET($H$3,0,0,'Données projet'!$E$14+1,1))</f>
        <v>#N/A</v>
      </c>
      <c r="DU68" s="58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58" t="e">
        <f t="shared" ref="EN68:EN131" si="74">EM68+(EE68+EF68)*44/12</f>
        <v>#N/A</v>
      </c>
      <c r="EO68" s="58" t="e">
        <f ca="1">AVERAGE(OFFSET($EN$3,0,0,'Données projet'!$E$15+1,1))-AVERAGE(OFFSET($H$3,0,0,'Données projet'!$E$15+1,1))</f>
        <v>#N/A</v>
      </c>
      <c r="EP68" s="58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58" t="e">
        <f t="shared" ref="FI68:FI131" si="77">FH68+(EZ68+FA68)*44/12</f>
        <v>#N/A</v>
      </c>
      <c r="FJ68" s="58" t="e">
        <f ca="1">AVERAGE(OFFSET($FI$3,0,0,'Données projet'!$E$16+1,1))-AVERAGE(OFFSET($H$3,0,0,'Données projet'!$E$16+1,1))</f>
        <v>#N/A</v>
      </c>
      <c r="FK68" s="58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58" t="e">
        <f t="shared" ref="GD68:GD131" si="80">GC68+(FU68+FV68)*44/12</f>
        <v>#N/A</v>
      </c>
      <c r="GE68" s="58" t="e">
        <f ca="1">AVERAGE(OFFSET($GD$3,0,0,'Données projet'!$E$17+1,1))-AVERAGE(OFFSET($H$3,0,0,'Données projet'!$E$17+1,1))</f>
        <v>#N/A</v>
      </c>
      <c r="GF68" s="58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58" t="e">
        <f t="shared" ref="GY68:GY131" si="83">GX68+(GP68+GQ68)*44/12</f>
        <v>#N/A</v>
      </c>
      <c r="GZ68" s="58" t="e">
        <f ca="1">AVERAGE(OFFSET($GY$3,0,0,'Données projet'!$E$18+1,1))-AVERAGE(OFFSET($H$3,0,0,'Données projet'!$E$18+1,1))</f>
        <v>#N/A</v>
      </c>
      <c r="HA68" s="58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0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3">
        <f t="shared" si="56"/>
        <v>183.33333333333334</v>
      </c>
      <c r="I69" s="6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226.77408</v>
      </c>
      <c r="P69" s="14">
        <f t="shared" ref="P69:P132" si="87">EXP(-1.0587+0.8836*LN(O69)+0.284)</f>
        <v>55.584589827360034</v>
      </c>
      <c r="Q69" s="22">
        <f t="shared" si="54"/>
        <v>491.77468328265195</v>
      </c>
      <c r="R69" s="58">
        <f t="shared" si="55"/>
        <v>756.22774239983903</v>
      </c>
      <c r="S69" s="58">
        <f ca="1">AVERAGE(OFFSET($R$3,0,0,'Données projet'!$E$9+1,1))-AVERAGE(OFFSET($H$3,0,0,'Données projet'!$E$9+1,1))</f>
        <v>527.70171871461309</v>
      </c>
      <c r="T69" s="58">
        <f t="shared" ref="T69:T132" si="88">$T$3</f>
        <v>281.06176764290592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4.8</v>
      </c>
      <c r="AI69" s="14">
        <f>IF('Données projet'!$A$62&gt;35,AI68+AH69-AQ68,IF(A69&lt;'Données projet'!$A$62,$AF$205^A69,IF(A69='Données projet'!$A$62,'Données projet'!$B$62,AI68+AH69-AQ68)))</f>
        <v>237.8</v>
      </c>
      <c r="AJ69" s="14">
        <f>AI69*VLOOKUP('Données projet'!$B$10,Paramètres!$A$1:$I$89,3,0)*VLOOKUP('Données projet'!$B$10,Paramètres!$A$1:$I$89,5,0)</f>
        <v>155.80656000000002</v>
      </c>
      <c r="AK69" s="14">
        <f t="shared" ref="AK69:AK132" si="89">EXP(-1.0587+0.8836*LN(AJ69)+0.284)</f>
        <v>39.895216286209461</v>
      </c>
      <c r="AL69" s="22">
        <f t="shared" si="58"/>
        <v>340.84726036514814</v>
      </c>
      <c r="AM69" s="58">
        <f t="shared" si="59"/>
        <v>605.30031948233523</v>
      </c>
      <c r="AN69" s="58">
        <f ca="1">AVERAGE(OFFSET($AM$3,0,0,'Données projet'!$E$10+1,1))-AVERAGE(OFFSET($H$3,0,0,'Données projet'!$E$10+1,1))</f>
        <v>302.53318056366777</v>
      </c>
      <c r="AO69" s="58">
        <f t="shared" ref="AO69:AO132" si="90">$AO$3</f>
        <v>318.32262615164541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1.0061797554302965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1.0061797554302965</v>
      </c>
      <c r="AY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3.7599999999999909</v>
      </c>
      <c r="BD69" s="13">
        <f>IF('Données projet'!$A$88&gt;35,BD68+BC69-BL68,IF(A69&lt;'Données projet'!$A$88,$BA$205^A69,IF(A69='Données projet'!$A$88,'Données projet'!$B$88,BD68+BC69-BL68)))</f>
        <v>258.56000000000012</v>
      </c>
      <c r="BE69" s="14">
        <f>BD69*VLOOKUP('Données projet'!$B$11,Paramètres!$A$1:$I$89,3,0)*VLOOKUP('Données projet'!$B$11,Paramètres!$A$1:$I$89,5,0)</f>
        <v>205.7103360000001</v>
      </c>
      <c r="BF69" s="14">
        <f t="shared" ref="BF69:BF132" si="91">EXP(-1.0587+0.8836*LN(BE69)+0.284)</f>
        <v>50.99706319664395</v>
      </c>
      <c r="BG69" s="22">
        <f t="shared" si="61"/>
        <v>447.09872026748832</v>
      </c>
      <c r="BH69" s="58">
        <f t="shared" si="62"/>
        <v>711.55177938467546</v>
      </c>
      <c r="BI69" s="58">
        <f ca="1">AVERAGE(OFFSET($BH$3,0,0,'Données projet'!$E$11+1,1))-AVERAGE(OFFSET($H$3,0,0,'Données projet'!$E$11+1,1))</f>
        <v>336.25341821407534</v>
      </c>
      <c r="BJ69" s="58">
        <f t="shared" ref="BJ69:BJ132" si="92">$BJ$3</f>
        <v>360.3246221345039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1.9166341641494657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1.9166341641494657</v>
      </c>
      <c r="BT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4.8</v>
      </c>
      <c r="BY69" s="13">
        <f>IF('Données projet'!$A$114&gt;35,BY68+BX69-CG68,IF(A69&lt;'Données projet'!$A$114,$BV$205^A69,IF(A69='Données projet'!$A$114,'Données projet'!$B$114,BY68+BX69-CG68)))</f>
        <v>212.80000000000013</v>
      </c>
      <c r="BZ69" s="14">
        <f>BY69*VLOOKUP('Données projet'!$B$12,Paramètres!$A$1:$I$89,3,0)*VLOOKUP('Données projet'!$B$12,Paramètres!$A$1:$I$89,5,0)</f>
        <v>172.6233600000001</v>
      </c>
      <c r="CA69" s="14">
        <f t="shared" ref="CA69:CA132" si="93">EXP(-1.0587+0.8836*LN(BZ69)+0.284)</f>
        <v>43.677044279986113</v>
      </c>
      <c r="CB69" s="22">
        <f t="shared" si="64"/>
        <v>376.72320412097594</v>
      </c>
      <c r="CC69" s="58">
        <f t="shared" si="65"/>
        <v>641.17626323816307</v>
      </c>
      <c r="CD69" s="58">
        <f ca="1">AVERAGE(OFFSET($CC$3,0,0,'Données projet'!$E$12+1,1))-AVERAGE(OFFSET($H$3,0,0,'Données projet'!$E$12+1,1))</f>
        <v>308.58270639204238</v>
      </c>
      <c r="CE69" s="58">
        <f t="shared" ref="CE69:CE132" si="94">$CE$3</f>
        <v>258.90832875500325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4.3589743589743595</v>
      </c>
      <c r="CT69" s="13">
        <f>IF('Données projet'!$A$140&gt;35,CT68+CS69-DB68,IF(A69&lt;'Données projet'!$A$140,$CQ$205^A69,IF(A69='Données projet'!$A$140,'Données projet'!$B$140,CT68+CS69-DB68)))</f>
        <v>197.94871794871787</v>
      </c>
      <c r="CU69" s="18">
        <f>CT69*VLOOKUP('Données projet'!$B$13,Paramètres!$A$1:$I$89,3,0)*VLOOKUP('Données projet'!$B$13,Paramètres!$A$1:$I$89,5,0)</f>
        <v>188.36799999999994</v>
      </c>
      <c r="CV69" s="14">
        <f t="shared" ref="CV69:CV132" si="95">EXP(-1.0587+0.8836*LN(CU69)+0.284)</f>
        <v>47.17895987093894</v>
      </c>
      <c r="CW69" s="22">
        <f t="shared" si="67"/>
        <v>410.2442884418852</v>
      </c>
      <c r="CX69" s="58">
        <f t="shared" si="68"/>
        <v>674.69734755907234</v>
      </c>
      <c r="CY69" s="58">
        <f ca="1">AVERAGE(OFFSET($CX$3,0,0,'Données projet'!$E$13+1,1))-AVERAGE(OFFSET($H$3,0,0,'Données projet'!$E$13+1,1))</f>
        <v>397.61813291201469</v>
      </c>
      <c r="CZ69" s="58">
        <f t="shared" ref="CZ69:CZ132" si="96">$CZ$3</f>
        <v>320.30651625485064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1.1709585828992695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1.1709585828992695</v>
      </c>
      <c r="DJ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58" t="e">
        <f t="shared" si="71"/>
        <v>#N/A</v>
      </c>
      <c r="DT69" s="58" t="e">
        <f ca="1">AVERAGE(OFFSET($DS$3,0,0,'Données projet'!$E$14+1,1))-AVERAGE(OFFSET($H$3,0,0,'Données projet'!$E$14+1,1))</f>
        <v>#N/A</v>
      </c>
      <c r="DU69" s="58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58" t="e">
        <f t="shared" si="74"/>
        <v>#N/A</v>
      </c>
      <c r="EO69" s="58" t="e">
        <f ca="1">AVERAGE(OFFSET($EN$3,0,0,'Données projet'!$E$15+1,1))-AVERAGE(OFFSET($H$3,0,0,'Données projet'!$E$15+1,1))</f>
        <v>#N/A</v>
      </c>
      <c r="EP69" s="58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58" t="e">
        <f t="shared" si="77"/>
        <v>#N/A</v>
      </c>
      <c r="FJ69" s="58" t="e">
        <f ca="1">AVERAGE(OFFSET($FI$3,0,0,'Données projet'!$E$16+1,1))-AVERAGE(OFFSET($H$3,0,0,'Données projet'!$E$16+1,1))</f>
        <v>#N/A</v>
      </c>
      <c r="FK69" s="58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58" t="e">
        <f t="shared" si="80"/>
        <v>#N/A</v>
      </c>
      <c r="GE69" s="58" t="e">
        <f ca="1">AVERAGE(OFFSET($GD$3,0,0,'Données projet'!$E$17+1,1))-AVERAGE(OFFSET($H$3,0,0,'Données projet'!$E$17+1,1))</f>
        <v>#N/A</v>
      </c>
      <c r="GF69" s="58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58" t="e">
        <f t="shared" si="83"/>
        <v>#N/A</v>
      </c>
      <c r="GZ69" s="58" t="e">
        <f ca="1">AVERAGE(OFFSET($GY$3,0,0,'Données projet'!$E$18+1,1))-AVERAGE(OFFSET($H$3,0,0,'Données projet'!$E$18+1,1))</f>
        <v>#N/A</v>
      </c>
      <c r="HA69" s="58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0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3">
        <f t="shared" si="56"/>
        <v>183.33333333333334</v>
      </c>
      <c r="I70" s="6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233.68176</v>
      </c>
      <c r="P70" s="14">
        <f t="shared" si="87"/>
        <v>57.078026837098335</v>
      </c>
      <c r="Q70" s="22">
        <f t="shared" si="54"/>
        <v>506.40662874127952</v>
      </c>
      <c r="R70" s="58">
        <f t="shared" si="55"/>
        <v>771.36069604949648</v>
      </c>
      <c r="S70" s="58">
        <f ca="1">AVERAGE(OFFSET($R$3,0,0,'Données projet'!$E$9+1,1))-AVERAGE(OFFSET($H$3,0,0,'Données projet'!$E$9+1,1))</f>
        <v>527.70171871461309</v>
      </c>
      <c r="T70" s="58">
        <f t="shared" si="88"/>
        <v>281.06176764290592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4.8</v>
      </c>
      <c r="AI70" s="14">
        <f>IF('Données projet'!$A$62&gt;35,AI69+AH70-AQ69,IF(A70&lt;'Données projet'!$A$62,$AF$205^A70,IF(A70='Données projet'!$A$62,'Données projet'!$B$62,AI69+AH70-AQ69)))</f>
        <v>242.60000000000002</v>
      </c>
      <c r="AJ70" s="14">
        <f>AI70*VLOOKUP('Données projet'!$B$10,Paramètres!$A$1:$I$89,3,0)*VLOOKUP('Données projet'!$B$10,Paramètres!$A$1:$I$89,5,0)</f>
        <v>158.95152000000002</v>
      </c>
      <c r="AK70" s="14">
        <f t="shared" si="89"/>
        <v>40.605937402604575</v>
      </c>
      <c r="AL70" s="22">
        <f t="shared" si="58"/>
        <v>347.56257164286967</v>
      </c>
      <c r="AM70" s="58">
        <f t="shared" si="59"/>
        <v>612.51663895108663</v>
      </c>
      <c r="AN70" s="58">
        <f ca="1">AVERAGE(OFFSET($AM$3,0,0,'Données projet'!$E$10+1,1))-AVERAGE(OFFSET($H$3,0,0,'Données projet'!$E$10+1,1))</f>
        <v>302.53318056366777</v>
      </c>
      <c r="AO70" s="58">
        <f t="shared" si="90"/>
        <v>318.32262615164541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0.97866571710536132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0.97866571710536132</v>
      </c>
      <c r="AY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3.7599999999999909</v>
      </c>
      <c r="BD70" s="13">
        <f>IF('Données projet'!$A$88&gt;35,BD69+BC70-BL69,IF(A70&lt;'Données projet'!$A$88,$BA$205^A70,IF(A70='Données projet'!$A$88,'Données projet'!$B$88,BD69+BC70-BL69)))</f>
        <v>262.32000000000011</v>
      </c>
      <c r="BE70" s="14">
        <f>BD70*VLOOKUP('Données projet'!$B$11,Paramètres!$A$1:$I$89,3,0)*VLOOKUP('Données projet'!$B$11,Paramètres!$A$1:$I$89,5,0)</f>
        <v>208.7017920000001</v>
      </c>
      <c r="BF70" s="14">
        <f t="shared" si="91"/>
        <v>51.651792283320177</v>
      </c>
      <c r="BG70" s="22">
        <f t="shared" si="61"/>
        <v>453.44915929344944</v>
      </c>
      <c r="BH70" s="58">
        <f t="shared" si="62"/>
        <v>718.40322660166635</v>
      </c>
      <c r="BI70" s="58">
        <f ca="1">AVERAGE(OFFSET($BH$3,0,0,'Données projet'!$E$11+1,1))-AVERAGE(OFFSET($H$3,0,0,'Données projet'!$E$11+1,1))</f>
        <v>336.25341821407534</v>
      </c>
      <c r="BJ70" s="58">
        <f t="shared" si="92"/>
        <v>360.3246221345039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1.8642237021393884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1.8642237021393884</v>
      </c>
      <c r="BT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4.8</v>
      </c>
      <c r="BY70" s="13">
        <f>IF('Données projet'!$A$114&gt;35,BY69+BX70-CG69,IF(A70&lt;'Données projet'!$A$114,$BV$205^A70,IF(A70='Données projet'!$A$114,'Données projet'!$B$114,BY69+BX70-CG69)))</f>
        <v>217.60000000000014</v>
      </c>
      <c r="BZ70" s="14">
        <f>BY70*VLOOKUP('Données projet'!$B$12,Paramètres!$A$1:$I$89,3,0)*VLOOKUP('Données projet'!$B$12,Paramètres!$A$1:$I$89,5,0)</f>
        <v>176.51712000000012</v>
      </c>
      <c r="CA70" s="14">
        <f t="shared" si="93"/>
        <v>44.546430573680709</v>
      </c>
      <c r="CB70" s="22">
        <f t="shared" si="64"/>
        <v>385.01901724916075</v>
      </c>
      <c r="CC70" s="58">
        <f t="shared" si="65"/>
        <v>649.97308455737766</v>
      </c>
      <c r="CD70" s="58">
        <f ca="1">AVERAGE(OFFSET($CC$3,0,0,'Données projet'!$E$12+1,1))-AVERAGE(OFFSET($H$3,0,0,'Données projet'!$E$12+1,1))</f>
        <v>308.58270639204238</v>
      </c>
      <c r="CE70" s="58">
        <f t="shared" si="94"/>
        <v>258.90832875500325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4.3589743589743595</v>
      </c>
      <c r="CT70" s="13">
        <f>IF('Données projet'!$A$140&gt;35,CT69+CS70-DB69,IF(A70&lt;'Données projet'!$A$140,$CQ$205^A70,IF(A70='Données projet'!$A$140,'Données projet'!$B$140,CT69+CS70-DB69)))</f>
        <v>202.30769230769224</v>
      </c>
      <c r="CU70" s="18">
        <f>CT70*VLOOKUP('Données projet'!$B$13,Paramètres!$A$1:$I$89,3,0)*VLOOKUP('Données projet'!$B$13,Paramètres!$A$1:$I$89,5,0)</f>
        <v>192.51599999999993</v>
      </c>
      <c r="CV70" s="14">
        <f t="shared" si="95"/>
        <v>48.095778128339838</v>
      </c>
      <c r="CW70" s="22">
        <f t="shared" si="67"/>
        <v>419.0655135735251</v>
      </c>
      <c r="CX70" s="58">
        <f t="shared" si="68"/>
        <v>684.01958088174206</v>
      </c>
      <c r="CY70" s="58">
        <f ca="1">AVERAGE(OFFSET($CX$3,0,0,'Données projet'!$E$13+1,1))-AVERAGE(OFFSET($H$3,0,0,'Données projet'!$E$13+1,1))</f>
        <v>397.61813291201469</v>
      </c>
      <c r="CZ70" s="58">
        <f t="shared" si="96"/>
        <v>320.30651625485064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1.1389386588718533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1.1389386588718533</v>
      </c>
      <c r="DJ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58" t="e">
        <f t="shared" si="71"/>
        <v>#N/A</v>
      </c>
      <c r="DT70" s="58" t="e">
        <f ca="1">AVERAGE(OFFSET($DS$3,0,0,'Données projet'!$E$14+1,1))-AVERAGE(OFFSET($H$3,0,0,'Données projet'!$E$14+1,1))</f>
        <v>#N/A</v>
      </c>
      <c r="DU70" s="58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58" t="e">
        <f t="shared" si="74"/>
        <v>#N/A</v>
      </c>
      <c r="EO70" s="58" t="e">
        <f ca="1">AVERAGE(OFFSET($EN$3,0,0,'Données projet'!$E$15+1,1))-AVERAGE(OFFSET($H$3,0,0,'Données projet'!$E$15+1,1))</f>
        <v>#N/A</v>
      </c>
      <c r="EP70" s="58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58" t="e">
        <f t="shared" si="77"/>
        <v>#N/A</v>
      </c>
      <c r="FJ70" s="58" t="e">
        <f ca="1">AVERAGE(OFFSET($FI$3,0,0,'Données projet'!$E$16+1,1))-AVERAGE(OFFSET($H$3,0,0,'Données projet'!$E$16+1,1))</f>
        <v>#N/A</v>
      </c>
      <c r="FK70" s="58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58" t="e">
        <f t="shared" si="80"/>
        <v>#N/A</v>
      </c>
      <c r="GE70" s="58" t="e">
        <f ca="1">AVERAGE(OFFSET($GD$3,0,0,'Données projet'!$E$17+1,1))-AVERAGE(OFFSET($H$3,0,0,'Données projet'!$E$17+1,1))</f>
        <v>#N/A</v>
      </c>
      <c r="GF70" s="58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58" t="e">
        <f t="shared" si="83"/>
        <v>#N/A</v>
      </c>
      <c r="GZ70" s="58" t="e">
        <f ca="1">AVERAGE(OFFSET($GY$3,0,0,'Données projet'!$E$18+1,1))-AVERAGE(OFFSET($H$3,0,0,'Données projet'!$E$18+1,1))</f>
        <v>#N/A</v>
      </c>
      <c r="HA70" s="58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0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3">
        <f t="shared" si="56"/>
        <v>183.33333333333334</v>
      </c>
      <c r="I71" s="6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240.58944</v>
      </c>
      <c r="P71" s="14">
        <f t="shared" si="87"/>
        <v>58.56633325847811</v>
      </c>
      <c r="Q71" s="22">
        <f t="shared" si="54"/>
        <v>521.02963842518272</v>
      </c>
      <c r="R71" s="58">
        <f t="shared" si="55"/>
        <v>786.47602255240156</v>
      </c>
      <c r="S71" s="58">
        <f ca="1">AVERAGE(OFFSET($R$3,0,0,'Données projet'!$E$9+1,1))-AVERAGE(OFFSET($H$3,0,0,'Données projet'!$E$9+1,1))</f>
        <v>527.70171871461309</v>
      </c>
      <c r="T71" s="58">
        <f t="shared" si="88"/>
        <v>281.06176764290592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4.8</v>
      </c>
      <c r="AI71" s="14">
        <f>IF('Données projet'!$A$62&gt;35,AI70+AH71-AQ70,IF(A71&lt;'Données projet'!$A$62,$AF$205^A71,IF(A71='Données projet'!$A$62,'Données projet'!$B$62,AI70+AH71-AQ70)))</f>
        <v>247.40000000000003</v>
      </c>
      <c r="AJ71" s="14">
        <f>AI71*VLOOKUP('Données projet'!$B$10,Paramètres!$A$1:$I$89,3,0)*VLOOKUP('Données projet'!$B$10,Paramètres!$A$1:$I$89,5,0)</f>
        <v>162.09648000000004</v>
      </c>
      <c r="AK71" s="14">
        <f t="shared" si="89"/>
        <v>41.315023463158887</v>
      </c>
      <c r="AL71" s="22">
        <f t="shared" si="58"/>
        <v>354.27503519833516</v>
      </c>
      <c r="AM71" s="58">
        <f t="shared" si="59"/>
        <v>619.72141932555405</v>
      </c>
      <c r="AN71" s="58">
        <f ca="1">AVERAGE(OFFSET($AM$3,0,0,'Données projet'!$E$10+1,1))-AVERAGE(OFFSET($H$3,0,0,'Données projet'!$E$10+1,1))</f>
        <v>302.53318056366777</v>
      </c>
      <c r="AO71" s="58">
        <f t="shared" si="90"/>
        <v>318.32262615164541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0.95190405160532188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0.95190405160532188</v>
      </c>
      <c r="AY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3.7599999999999909</v>
      </c>
      <c r="BD71" s="13">
        <f>IF('Données projet'!$A$88&gt;35,BD70+BC71-BL70,IF(A71&lt;'Données projet'!$A$88,$BA$205^A71,IF(A71='Données projet'!$A$88,'Données projet'!$B$88,BD70+BC71-BL70)))</f>
        <v>266.0800000000001</v>
      </c>
      <c r="BE71" s="14">
        <f>BD71*VLOOKUP('Données projet'!$B$11,Paramètres!$A$1:$I$89,3,0)*VLOOKUP('Données projet'!$B$11,Paramètres!$A$1:$I$89,5,0)</f>
        <v>211.69324800000007</v>
      </c>
      <c r="BF71" s="14">
        <f t="shared" si="91"/>
        <v>52.305429867997155</v>
      </c>
      <c r="BG71" s="22">
        <f t="shared" si="61"/>
        <v>459.79769728676183</v>
      </c>
      <c r="BH71" s="58">
        <f t="shared" si="62"/>
        <v>725.24408141398067</v>
      </c>
      <c r="BI71" s="58">
        <f ca="1">AVERAGE(OFFSET($BH$3,0,0,'Données projet'!$E$11+1,1))-AVERAGE(OFFSET($H$3,0,0,'Données projet'!$E$11+1,1))</f>
        <v>336.25341821407534</v>
      </c>
      <c r="BJ71" s="58">
        <f t="shared" si="92"/>
        <v>360.3246221345039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1.813246406969123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1.813246406969123</v>
      </c>
      <c r="BT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4.8</v>
      </c>
      <c r="BY71" s="13">
        <f>IF('Données projet'!$A$114&gt;35,BY70+BX71-CG70,IF(A71&lt;'Données projet'!$A$114,$BV$205^A71,IF(A71='Données projet'!$A$114,'Données projet'!$B$114,BY70+BX71-CG70)))</f>
        <v>222.40000000000015</v>
      </c>
      <c r="BZ71" s="14">
        <f>BY71*VLOOKUP('Données projet'!$B$12,Paramètres!$A$1:$I$89,3,0)*VLOOKUP('Données projet'!$B$12,Paramètres!$A$1:$I$89,5,0)</f>
        <v>180.41088000000013</v>
      </c>
      <c r="CA71" s="14">
        <f t="shared" si="93"/>
        <v>45.413587262495575</v>
      </c>
      <c r="CB71" s="22">
        <f t="shared" si="64"/>
        <v>393.31094714884671</v>
      </c>
      <c r="CC71" s="58">
        <f t="shared" si="65"/>
        <v>658.75733127606554</v>
      </c>
      <c r="CD71" s="58">
        <f ca="1">AVERAGE(OFFSET($CC$3,0,0,'Données projet'!$E$12+1,1))-AVERAGE(OFFSET($H$3,0,0,'Données projet'!$E$12+1,1))</f>
        <v>308.58270639204238</v>
      </c>
      <c r="CE71" s="58">
        <f t="shared" si="94"/>
        <v>258.90832875500325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4.3589743589743595</v>
      </c>
      <c r="CT71" s="13">
        <f>IF('Données projet'!$A$140&gt;35,CT70+CS71-DB70,IF(A71&lt;'Données projet'!$A$140,$CQ$205^A71,IF(A71='Données projet'!$A$140,'Données projet'!$B$140,CT70+CS71-DB70)))</f>
        <v>206.6666666666666</v>
      </c>
      <c r="CU71" s="18">
        <f>CT71*VLOOKUP('Données projet'!$B$13,Paramètres!$A$1:$I$89,3,0)*VLOOKUP('Données projet'!$B$13,Paramètres!$A$1:$I$89,5,0)</f>
        <v>196.66399999999993</v>
      </c>
      <c r="CV71" s="14">
        <f t="shared" si="95"/>
        <v>49.010299712644574</v>
      </c>
      <c r="CW71" s="22">
        <f t="shared" si="67"/>
        <v>427.8827386661892</v>
      </c>
      <c r="CX71" s="58">
        <f t="shared" si="68"/>
        <v>693.32912279340803</v>
      </c>
      <c r="CY71" s="58">
        <f ca="1">AVERAGE(OFFSET($CX$3,0,0,'Données projet'!$E$13+1,1))-AVERAGE(OFFSET($H$3,0,0,'Données projet'!$E$13+1,1))</f>
        <v>397.61813291201469</v>
      </c>
      <c r="CZ71" s="58">
        <f t="shared" si="96"/>
        <v>320.30651625485064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1.1077943213508215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1.1077943213508215</v>
      </c>
      <c r="DJ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58" t="e">
        <f t="shared" si="71"/>
        <v>#N/A</v>
      </c>
      <c r="DT71" s="58" t="e">
        <f ca="1">AVERAGE(OFFSET($DS$3,0,0,'Données projet'!$E$14+1,1))-AVERAGE(OFFSET($H$3,0,0,'Données projet'!$E$14+1,1))</f>
        <v>#N/A</v>
      </c>
      <c r="DU71" s="58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58" t="e">
        <f t="shared" si="74"/>
        <v>#N/A</v>
      </c>
      <c r="EO71" s="58" t="e">
        <f ca="1">AVERAGE(OFFSET($EN$3,0,0,'Données projet'!$E$15+1,1))-AVERAGE(OFFSET($H$3,0,0,'Données projet'!$E$15+1,1))</f>
        <v>#N/A</v>
      </c>
      <c r="EP71" s="58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58" t="e">
        <f t="shared" si="77"/>
        <v>#N/A</v>
      </c>
      <c r="FJ71" s="58" t="e">
        <f ca="1">AVERAGE(OFFSET($FI$3,0,0,'Données projet'!$E$16+1,1))-AVERAGE(OFFSET($H$3,0,0,'Données projet'!$E$16+1,1))</f>
        <v>#N/A</v>
      </c>
      <c r="FK71" s="58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58" t="e">
        <f t="shared" si="80"/>
        <v>#N/A</v>
      </c>
      <c r="GE71" s="58" t="e">
        <f ca="1">AVERAGE(OFFSET($GD$3,0,0,'Données projet'!$E$17+1,1))-AVERAGE(OFFSET($H$3,0,0,'Données projet'!$E$17+1,1))</f>
        <v>#N/A</v>
      </c>
      <c r="GF71" s="58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58" t="e">
        <f t="shared" si="83"/>
        <v>#N/A</v>
      </c>
      <c r="GZ71" s="58" t="e">
        <f ca="1">AVERAGE(OFFSET($GY$3,0,0,'Données projet'!$E$18+1,1))-AVERAGE(OFFSET($H$3,0,0,'Données projet'!$E$18+1,1))</f>
        <v>#N/A</v>
      </c>
      <c r="HA71" s="58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0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3">
        <f t="shared" si="56"/>
        <v>183.33333333333334</v>
      </c>
      <c r="I72" s="6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247.49712</v>
      </c>
      <c r="P72" s="14">
        <f t="shared" si="87"/>
        <v>60.049673316050104</v>
      </c>
      <c r="Q72" s="22">
        <f t="shared" si="54"/>
        <v>535.64399835878714</v>
      </c>
      <c r="R72" s="58">
        <f t="shared" si="55"/>
        <v>801.5741587088537</v>
      </c>
      <c r="S72" s="58">
        <f ca="1">AVERAGE(OFFSET($R$3,0,0,'Données projet'!$E$9+1,1))-AVERAGE(OFFSET($H$3,0,0,'Données projet'!$E$9+1,1))</f>
        <v>527.70171871461309</v>
      </c>
      <c r="T72" s="58">
        <f t="shared" si="88"/>
        <v>281.06176764290592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4.8</v>
      </c>
      <c r="AI72" s="14">
        <f>IF('Données projet'!$A$62&gt;35,AI71+AH72-AQ71,IF(A72&lt;'Données projet'!$A$62,$AF$205^A72,IF(A72='Données projet'!$A$62,'Données projet'!$B$62,AI71+AH72-AQ71)))</f>
        <v>252.20000000000005</v>
      </c>
      <c r="AJ72" s="14">
        <f>AI72*VLOOKUP('Données projet'!$B$10,Paramètres!$A$1:$I$89,3,0)*VLOOKUP('Données projet'!$B$10,Paramètres!$A$1:$I$89,5,0)</f>
        <v>165.24144000000004</v>
      </c>
      <c r="AK72" s="14">
        <f t="shared" si="89"/>
        <v>42.022509847937883</v>
      </c>
      <c r="AL72" s="22">
        <f t="shared" si="58"/>
        <v>360.98471265182519</v>
      </c>
      <c r="AM72" s="58">
        <f t="shared" si="59"/>
        <v>626.91487300189169</v>
      </c>
      <c r="AN72" s="58">
        <f ca="1">AVERAGE(OFFSET($AM$3,0,0,'Données projet'!$E$10+1,1))-AVERAGE(OFFSET($H$3,0,0,'Données projet'!$E$10+1,1))</f>
        <v>302.53318056366777</v>
      </c>
      <c r="AO72" s="58">
        <f t="shared" si="90"/>
        <v>318.32262615164541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0.92587418525571585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0.92587418525571585</v>
      </c>
      <c r="AY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3.7599999999999909</v>
      </c>
      <c r="BD72" s="13">
        <f>IF('Données projet'!$A$88&gt;35,BD71+BC72-BL71,IF(A72&lt;'Données projet'!$A$88,$BA$205^A72,IF(A72='Données projet'!$A$88,'Données projet'!$B$88,BD71+BC72-BL71)))</f>
        <v>269.84000000000009</v>
      </c>
      <c r="BE72" s="14">
        <f>BD72*VLOOKUP('Données projet'!$B$11,Paramètres!$A$1:$I$89,3,0)*VLOOKUP('Données projet'!$B$11,Paramètres!$A$1:$I$89,5,0)</f>
        <v>214.68470400000007</v>
      </c>
      <c r="BF72" s="14">
        <f t="shared" si="91"/>
        <v>52.957993157151179</v>
      </c>
      <c r="BG72" s="22">
        <f t="shared" si="61"/>
        <v>466.14436421537175</v>
      </c>
      <c r="BH72" s="58">
        <f t="shared" si="62"/>
        <v>732.07452456543831</v>
      </c>
      <c r="BI72" s="58">
        <f ca="1">AVERAGE(OFFSET($BH$3,0,0,'Données projet'!$E$11+1,1))-AVERAGE(OFFSET($H$3,0,0,'Données projet'!$E$11+1,1))</f>
        <v>336.25341821407534</v>
      </c>
      <c r="BJ72" s="58">
        <f t="shared" si="92"/>
        <v>360.3246221345039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1.763663088616068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1.763663088616068</v>
      </c>
      <c r="BT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4.8</v>
      </c>
      <c r="BY72" s="13">
        <f>IF('Données projet'!$A$114&gt;35,BY71+BX72-CG71,IF(A72&lt;'Données projet'!$A$114,$BV$205^A72,IF(A72='Données projet'!$A$114,'Données projet'!$B$114,BY71+BX72-CG71)))</f>
        <v>227.20000000000016</v>
      </c>
      <c r="BZ72" s="14">
        <f>BY72*VLOOKUP('Données projet'!$B$12,Paramètres!$A$1:$I$89,3,0)*VLOOKUP('Données projet'!$B$12,Paramètres!$A$1:$I$89,5,0)</f>
        <v>184.30464000000015</v>
      </c>
      <c r="CA72" s="14">
        <f t="shared" si="93"/>
        <v>46.278568009669833</v>
      </c>
      <c r="CB72" s="22">
        <f t="shared" si="64"/>
        <v>401.5990872835086</v>
      </c>
      <c r="CC72" s="58">
        <f t="shared" si="65"/>
        <v>667.5292476335751</v>
      </c>
      <c r="CD72" s="58">
        <f ca="1">AVERAGE(OFFSET($CC$3,0,0,'Données projet'!$E$12+1,1))-AVERAGE(OFFSET($H$3,0,0,'Données projet'!$E$12+1,1))</f>
        <v>308.58270639204238</v>
      </c>
      <c r="CE72" s="58">
        <f t="shared" si="94"/>
        <v>258.90832875500325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4.3589743589743595</v>
      </c>
      <c r="CT72" s="13">
        <f>IF('Données projet'!$A$140&gt;35,CT71+CS72-DB71,IF(A72&lt;'Données projet'!$A$140,$CQ$205^A72,IF(A72='Données projet'!$A$140,'Données projet'!$B$140,CT71+CS72-DB71)))</f>
        <v>211.02564102564097</v>
      </c>
      <c r="CU72" s="18">
        <f>CT72*VLOOKUP('Données projet'!$B$13,Paramètres!$A$1:$I$89,3,0)*VLOOKUP('Données projet'!$B$13,Paramètres!$A$1:$I$89,5,0)</f>
        <v>200.81199999999993</v>
      </c>
      <c r="CV72" s="14">
        <f t="shared" si="95"/>
        <v>49.922578645138138</v>
      </c>
      <c r="CW72" s="22">
        <f t="shared" si="67"/>
        <v>436.69605780694877</v>
      </c>
      <c r="CX72" s="58">
        <f t="shared" si="68"/>
        <v>702.62621815701527</v>
      </c>
      <c r="CY72" s="58">
        <f ca="1">AVERAGE(OFFSET($CX$3,0,0,'Données projet'!$E$13+1,1))-AVERAGE(OFFSET($H$3,0,0,'Données projet'!$E$13+1,1))</f>
        <v>397.61813291201469</v>
      </c>
      <c r="CZ72" s="58">
        <f t="shared" si="96"/>
        <v>320.30651625485064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1.0775016273771119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1.0775016273771119</v>
      </c>
      <c r="DJ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58" t="e">
        <f t="shared" si="71"/>
        <v>#N/A</v>
      </c>
      <c r="DT72" s="58" t="e">
        <f ca="1">AVERAGE(OFFSET($DS$3,0,0,'Données projet'!$E$14+1,1))-AVERAGE(OFFSET($H$3,0,0,'Données projet'!$E$14+1,1))</f>
        <v>#N/A</v>
      </c>
      <c r="DU72" s="58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58" t="e">
        <f t="shared" si="74"/>
        <v>#N/A</v>
      </c>
      <c r="EO72" s="58" t="e">
        <f ca="1">AVERAGE(OFFSET($EN$3,0,0,'Données projet'!$E$15+1,1))-AVERAGE(OFFSET($H$3,0,0,'Données projet'!$E$15+1,1))</f>
        <v>#N/A</v>
      </c>
      <c r="EP72" s="58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58" t="e">
        <f t="shared" si="77"/>
        <v>#N/A</v>
      </c>
      <c r="FJ72" s="58" t="e">
        <f ca="1">AVERAGE(OFFSET($FI$3,0,0,'Données projet'!$E$16+1,1))-AVERAGE(OFFSET($H$3,0,0,'Données projet'!$E$16+1,1))</f>
        <v>#N/A</v>
      </c>
      <c r="FK72" s="58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58" t="e">
        <f t="shared" si="80"/>
        <v>#N/A</v>
      </c>
      <c r="GE72" s="58" t="e">
        <f ca="1">AVERAGE(OFFSET($GD$3,0,0,'Données projet'!$E$17+1,1))-AVERAGE(OFFSET($H$3,0,0,'Données projet'!$E$17+1,1))</f>
        <v>#N/A</v>
      </c>
      <c r="GF72" s="58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58" t="e">
        <f t="shared" si="83"/>
        <v>#N/A</v>
      </c>
      <c r="GZ72" s="58" t="e">
        <f ca="1">AVERAGE(OFFSET($GY$3,0,0,'Données projet'!$E$18+1,1))-AVERAGE(OFFSET($H$3,0,0,'Données projet'!$E$18+1,1))</f>
        <v>#N/A</v>
      </c>
      <c r="HA72" s="58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0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3">
        <f t="shared" si="56"/>
        <v>183.33333333333334</v>
      </c>
      <c r="I73" s="6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254.40479999999999</v>
      </c>
      <c r="P73" s="14">
        <f t="shared" si="87"/>
        <v>61.52820154571765</v>
      </c>
      <c r="Q73" s="22">
        <f t="shared" si="54"/>
        <v>550.24997769212484</v>
      </c>
      <c r="R73" s="58">
        <f t="shared" si="55"/>
        <v>816.65552182913439</v>
      </c>
      <c r="S73" s="58">
        <f ca="1">AVERAGE(OFFSET($R$3,0,0,'Données projet'!$E$9+1,1))-AVERAGE(OFFSET($H$3,0,0,'Données projet'!$E$9+1,1))</f>
        <v>527.70171871461309</v>
      </c>
      <c r="T73" s="58">
        <f t="shared" si="88"/>
        <v>281.06176764290592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257</v>
      </c>
      <c r="AG73" s="13">
        <f>VLOOKUP(A73,'Données projet'!$A$61:$I$81,9,0)</f>
        <v>4.8</v>
      </c>
      <c r="AH73" s="13">
        <f t="array" ref="AH73">INDEX(AG:AG,MIN(IF(ISNUMBER(AG73:AG269),ROW(AG73:AG269),"")))</f>
        <v>4.8</v>
      </c>
      <c r="AI73" s="14">
        <f>IF('Données projet'!$A$62&gt;35,AI72+AH73-AQ72,IF(A73&lt;'Données projet'!$A$62,$AF$205^A73,IF(A73='Données projet'!$A$62,'Données projet'!$B$62,AI72+AH73-AQ72)))</f>
        <v>257.00000000000006</v>
      </c>
      <c r="AJ73" s="14">
        <f>AI73*VLOOKUP('Données projet'!$B$10,Paramètres!$A$1:$I$89,3,0)*VLOOKUP('Données projet'!$B$10,Paramètres!$A$1:$I$89,5,0)</f>
        <v>168.38640000000004</v>
      </c>
      <c r="AK73" s="14">
        <f t="shared" si="89"/>
        <v>42.728430513203243</v>
      </c>
      <c r="AL73" s="22">
        <f t="shared" si="58"/>
        <v>367.69166314382898</v>
      </c>
      <c r="AM73" s="58">
        <f t="shared" si="59"/>
        <v>634.09720728083846</v>
      </c>
      <c r="AN73" s="58">
        <f ca="1">AVERAGE(OFFSET($AM$3,0,0,'Données projet'!$E$10+1,1))-AVERAGE(OFFSET($H$3,0,0,'Données projet'!$E$10+1,1))</f>
        <v>302.53318056366777</v>
      </c>
      <c r="AO73" s="58">
        <f t="shared" si="90"/>
        <v>318.32262615164541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34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0.90055610697029098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0.90055610697029098</v>
      </c>
      <c r="AY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273.59999999999997</v>
      </c>
      <c r="BB73" s="13">
        <f>VLOOKUP(A73,'Données projet'!$A$87:$I$107,9,0)</f>
        <v>3.7599999999999909</v>
      </c>
      <c r="BC73" s="13">
        <f t="array" ref="BC73">INDEX(BB:BB,MIN(IF(ISNUMBER(BB73:BB269),ROW(BB73:BB269),"")))</f>
        <v>3.7599999999999909</v>
      </c>
      <c r="BD73" s="13">
        <f>IF('Données projet'!$A$88&gt;35,BD72+BC73-BL72,IF(A73&lt;'Données projet'!$A$88,$BA$205^A73,IF(A73='Données projet'!$A$88,'Données projet'!$B$88,BD72+BC73-BL72)))</f>
        <v>273.60000000000008</v>
      </c>
      <c r="BE73" s="14">
        <f>BD73*VLOOKUP('Données projet'!$B$11,Paramètres!$A$1:$I$89,3,0)*VLOOKUP('Données projet'!$B$11,Paramètres!$A$1:$I$89,5,0)</f>
        <v>217.67616000000007</v>
      </c>
      <c r="BF73" s="14">
        <f t="shared" si="91"/>
        <v>53.609498850196708</v>
      </c>
      <c r="BG73" s="22">
        <f t="shared" si="61"/>
        <v>472.48918916409275</v>
      </c>
      <c r="BH73" s="58">
        <f t="shared" si="62"/>
        <v>738.89473330110218</v>
      </c>
      <c r="BI73" s="58">
        <f ca="1">AVERAGE(OFFSET($BH$3,0,0,'Données projet'!$E$11+1,1))-AVERAGE(OFFSET($H$3,0,0,'Données projet'!$E$11+1,1))</f>
        <v>336.25341821407534</v>
      </c>
      <c r="BJ73" s="58">
        <f t="shared" si="92"/>
        <v>360.3246221345039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20.9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1.7154356287108508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1.7154356287108508</v>
      </c>
      <c r="BT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232</v>
      </c>
      <c r="BW73" s="13">
        <f>VLOOKUP(A73,'Données projet'!$A$113:$I$133,9,0)</f>
        <v>4.8</v>
      </c>
      <c r="BX73" s="13">
        <f t="array" ref="BX73">INDEX(BW:BW,MIN(IF(ISNUMBER(BW73:BW269),ROW(BW73:BW269),"")))</f>
        <v>4.8</v>
      </c>
      <c r="BY73" s="13">
        <f>IF('Données projet'!$A$114&gt;35,BY72+BX73-CG72,IF(A73&lt;'Données projet'!$A$114,$BV$205^A73,IF(A73='Données projet'!$A$114,'Données projet'!$B$114,BY72+BX73-CG72)))</f>
        <v>232.00000000000017</v>
      </c>
      <c r="BZ73" s="14">
        <f>BY73*VLOOKUP('Données projet'!$B$12,Paramètres!$A$1:$I$89,3,0)*VLOOKUP('Données projet'!$B$12,Paramètres!$A$1:$I$89,5,0)</f>
        <v>188.19840000000013</v>
      </c>
      <c r="CA73" s="14">
        <f t="shared" si="93"/>
        <v>47.141424081428056</v>
      </c>
      <c r="CB73" s="22">
        <f t="shared" si="64"/>
        <v>409.88352694182072</v>
      </c>
      <c r="CC73" s="58">
        <f t="shared" si="65"/>
        <v>676.28907107883015</v>
      </c>
      <c r="CD73" s="58">
        <f ca="1">AVERAGE(OFFSET($CC$3,0,0,'Données projet'!$E$12+1,1))-AVERAGE(OFFSET($H$3,0,0,'Données projet'!$E$12+1,1))</f>
        <v>308.58270639204238</v>
      </c>
      <c r="CE73" s="58">
        <f t="shared" si="94"/>
        <v>258.90832875500325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215.38461538461539</v>
      </c>
      <c r="CR73" s="13">
        <f>VLOOKUP(A73,'Données projet'!$A$139:$I$159,9,0)</f>
        <v>4.3589743589743595</v>
      </c>
      <c r="CS73" s="13">
        <f t="array" ref="CS73">INDEX(CR:CR,MIN(IF(ISNUMBER(CR73:CR269),ROW(CR73:CR269),"")))</f>
        <v>4.3589743589743595</v>
      </c>
      <c r="CT73" s="13">
        <f>IF('Données projet'!$A$140&gt;35,CT72+CS73-DB72,IF(A73&lt;'Données projet'!$A$140,$CQ$205^A73,IF(A73='Données projet'!$A$140,'Données projet'!$B$140,CT72+CS73-DB72)))</f>
        <v>215.38461538461533</v>
      </c>
      <c r="CU73" s="18">
        <f>CT73*VLOOKUP('Données projet'!$B$13,Paramètres!$A$1:$I$89,3,0)*VLOOKUP('Données projet'!$B$13,Paramètres!$A$1:$I$89,5,0)</f>
        <v>204.95999999999998</v>
      </c>
      <c r="CV73" s="14">
        <f t="shared" si="95"/>
        <v>50.832666587809335</v>
      </c>
      <c r="CW73" s="22">
        <f t="shared" si="67"/>
        <v>445.50556097376784</v>
      </c>
      <c r="CX73" s="58">
        <f t="shared" si="68"/>
        <v>711.91110511077727</v>
      </c>
      <c r="CY73" s="58">
        <f ca="1">AVERAGE(OFFSET($CX$3,0,0,'Données projet'!$E$13+1,1))-AVERAGE(OFFSET($H$3,0,0,'Données projet'!$E$13+1,1))</f>
        <v>397.61813291201469</v>
      </c>
      <c r="CZ73" s="58">
        <f t="shared" si="96"/>
        <v>320.30651625485064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28.846153846153847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1.0480372887131368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1.0480372887131368</v>
      </c>
      <c r="DJ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58" t="e">
        <f t="shared" si="71"/>
        <v>#N/A</v>
      </c>
      <c r="DT73" s="58" t="e">
        <f ca="1">AVERAGE(OFFSET($DS$3,0,0,'Données projet'!$E$14+1,1))-AVERAGE(OFFSET($H$3,0,0,'Données projet'!$E$14+1,1))</f>
        <v>#N/A</v>
      </c>
      <c r="DU73" s="58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58" t="e">
        <f t="shared" si="74"/>
        <v>#N/A</v>
      </c>
      <c r="EO73" s="58" t="e">
        <f ca="1">AVERAGE(OFFSET($EN$3,0,0,'Données projet'!$E$15+1,1))-AVERAGE(OFFSET($H$3,0,0,'Données projet'!$E$15+1,1))</f>
        <v>#N/A</v>
      </c>
      <c r="EP73" s="58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58" t="e">
        <f t="shared" si="77"/>
        <v>#N/A</v>
      </c>
      <c r="FJ73" s="58" t="e">
        <f ca="1">AVERAGE(OFFSET($FI$3,0,0,'Données projet'!$E$16+1,1))-AVERAGE(OFFSET($H$3,0,0,'Données projet'!$E$16+1,1))</f>
        <v>#N/A</v>
      </c>
      <c r="FK73" s="58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58" t="e">
        <f t="shared" si="80"/>
        <v>#N/A</v>
      </c>
      <c r="GE73" s="58" t="e">
        <f ca="1">AVERAGE(OFFSET($GD$3,0,0,'Données projet'!$E$17+1,1))-AVERAGE(OFFSET($H$3,0,0,'Données projet'!$E$17+1,1))</f>
        <v>#N/A</v>
      </c>
      <c r="GF73" s="58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58" t="e">
        <f t="shared" si="83"/>
        <v>#N/A</v>
      </c>
      <c r="GZ73" s="58" t="e">
        <f ca="1">AVERAGE(OFFSET($GY$3,0,0,'Données projet'!$E$18+1,1))-AVERAGE(OFFSET($H$3,0,0,'Données projet'!$E$18+1,1))</f>
        <v>#N/A</v>
      </c>
      <c r="HA73" s="58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0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3">
        <f t="shared" si="56"/>
        <v>183.33333333333334</v>
      </c>
      <c r="I74" s="6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260.80704000000003</v>
      </c>
      <c r="P74" s="14">
        <f t="shared" si="87"/>
        <v>62.89437522937974</v>
      </c>
      <c r="Q74" s="22">
        <f t="shared" si="54"/>
        <v>563.77996485783649</v>
      </c>
      <c r="R74" s="58">
        <f t="shared" si="55"/>
        <v>830.65264593588449</v>
      </c>
      <c r="S74" s="58">
        <f ca="1">AVERAGE(OFFSET($R$3,0,0,'Données projet'!$E$9+1,1))-AVERAGE(OFFSET($H$3,0,0,'Données projet'!$E$9+1,1))</f>
        <v>527.70171871461309</v>
      </c>
      <c r="T74" s="58">
        <f t="shared" si="88"/>
        <v>281.06176764290592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3.6</v>
      </c>
      <c r="AI74" s="14">
        <f>IF('Données projet'!$A$62&gt;35,AI73+AH74-AQ73,IF(A74&lt;'Données projet'!$A$62,$AF$205^A74,IF(A74='Données projet'!$A$62,'Données projet'!$B$62,AI73+AH74-AQ73)))</f>
        <v>226.60000000000008</v>
      </c>
      <c r="AJ74" s="14">
        <f>AI74*VLOOKUP('Données projet'!$B$10,Paramètres!$A$1:$I$89,3,0)*VLOOKUP('Données projet'!$B$10,Paramètres!$A$1:$I$89,5,0)</f>
        <v>148.46832000000003</v>
      </c>
      <c r="AK74" s="14">
        <f t="shared" si="89"/>
        <v>38.230298193326924</v>
      </c>
      <c r="AL74" s="22">
        <f t="shared" si="58"/>
        <v>325.16676002004442</v>
      </c>
      <c r="AM74" s="58">
        <f t="shared" si="59"/>
        <v>592.03944109809231</v>
      </c>
      <c r="AN74" s="58">
        <f ca="1">AVERAGE(OFFSET($AM$3,0,0,'Données projet'!$E$10+1,1))-AVERAGE(OFFSET($H$3,0,0,'Données projet'!$E$10+1,1))</f>
        <v>302.53318056366777</v>
      </c>
      <c r="AO74" s="58">
        <f t="shared" si="90"/>
        <v>318.32262615164541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0.87593035286700094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0.87593035286700094</v>
      </c>
      <c r="AY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3.4000000000000172</v>
      </c>
      <c r="BD74" s="13">
        <f>IF('Données projet'!$A$88&gt;35,BD73+BC74-BL73,IF(A74&lt;'Données projet'!$A$88,$BA$205^A74,IF(A74='Données projet'!$A$88,'Données projet'!$B$88,BD73+BC74-BL73)))</f>
        <v>256.10000000000014</v>
      </c>
      <c r="BE74" s="14">
        <f>BD74*VLOOKUP('Données projet'!$B$11,Paramètres!$A$1:$I$89,3,0)*VLOOKUP('Données projet'!$B$11,Paramètres!$A$1:$I$89,5,0)</f>
        <v>203.75316000000012</v>
      </c>
      <c r="BF74" s="14">
        <f t="shared" si="91"/>
        <v>50.568104070523368</v>
      </c>
      <c r="BG74" s="22">
        <f t="shared" si="61"/>
        <v>442.94286825616172</v>
      </c>
      <c r="BH74" s="58">
        <f t="shared" si="62"/>
        <v>709.81554933420966</v>
      </c>
      <c r="BI74" s="58">
        <f ca="1">AVERAGE(OFFSET($BH$3,0,0,'Données projet'!$E$11+1,1))-AVERAGE(OFFSET($H$3,0,0,'Données projet'!$E$11+1,1))</f>
        <v>336.25341821407534</v>
      </c>
      <c r="BJ74" s="58">
        <f t="shared" si="92"/>
        <v>360.3246221345039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1.6685269512329135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1.6685269512329135</v>
      </c>
      <c r="BT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4.5999999999999996</v>
      </c>
      <c r="BY74" s="13">
        <f>IF('Données projet'!$A$114&gt;35,BY73+BX74-CG73,IF(A74&lt;'Données projet'!$A$114,$BV$205^A74,IF(A74='Données projet'!$A$114,'Données projet'!$B$114,BY73+BX74-CG73)))</f>
        <v>208.60000000000016</v>
      </c>
      <c r="BZ74" s="14">
        <f>BY74*VLOOKUP('Données projet'!$B$12,Paramètres!$A$1:$I$89,3,0)*VLOOKUP('Données projet'!$B$12,Paramètres!$A$1:$I$89,5,0)</f>
        <v>169.21632000000014</v>
      </c>
      <c r="CA74" s="14">
        <f t="shared" si="93"/>
        <v>42.91445816325745</v>
      </c>
      <c r="CB74" s="22">
        <f t="shared" si="64"/>
        <v>369.46110530100697</v>
      </c>
      <c r="CC74" s="58">
        <f t="shared" si="65"/>
        <v>636.33378637905491</v>
      </c>
      <c r="CD74" s="58">
        <f ca="1">AVERAGE(OFFSET($CC$3,0,0,'Données projet'!$E$12+1,1))-AVERAGE(OFFSET($H$3,0,0,'Données projet'!$E$12+1,1))</f>
        <v>308.58270639204238</v>
      </c>
      <c r="CE74" s="58">
        <f t="shared" si="94"/>
        <v>258.90832875500325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4.2307692307692264</v>
      </c>
      <c r="CT74" s="13">
        <f>IF('Données projet'!$A$140&gt;35,CT73+CS74-DB73,IF(A74&lt;'Données projet'!$A$140,$CQ$205^A74,IF(A74='Données projet'!$A$140,'Données projet'!$B$140,CT73+CS74-DB73)))</f>
        <v>190.76923076923072</v>
      </c>
      <c r="CU74" s="18">
        <f>CT74*VLOOKUP('Données projet'!$B$13,Paramètres!$A$1:$I$89,3,0)*VLOOKUP('Données projet'!$B$13,Paramètres!$A$1:$I$89,5,0)</f>
        <v>181.53599999999997</v>
      </c>
      <c r="CV74" s="14">
        <f t="shared" si="95"/>
        <v>45.663748686335545</v>
      </c>
      <c r="CW74" s="22">
        <f t="shared" si="67"/>
        <v>395.70622896203434</v>
      </c>
      <c r="CX74" s="58">
        <f t="shared" si="68"/>
        <v>662.57891004008229</v>
      </c>
      <c r="CY74" s="58">
        <f ca="1">AVERAGE(OFFSET($CX$3,0,0,'Données projet'!$E$13+1,1))-AVERAGE(OFFSET($H$3,0,0,'Données projet'!$E$13+1,1))</f>
        <v>397.61813291201469</v>
      </c>
      <c r="CZ74" s="58">
        <f t="shared" si="96"/>
        <v>320.30651625485064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1.0193786539393903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1.0193786539393903</v>
      </c>
      <c r="DJ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58" t="e">
        <f t="shared" si="71"/>
        <v>#N/A</v>
      </c>
      <c r="DT74" s="58" t="e">
        <f ca="1">AVERAGE(OFFSET($DS$3,0,0,'Données projet'!$E$14+1,1))-AVERAGE(OFFSET($H$3,0,0,'Données projet'!$E$14+1,1))</f>
        <v>#N/A</v>
      </c>
      <c r="DU74" s="58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58" t="e">
        <f t="shared" si="74"/>
        <v>#N/A</v>
      </c>
      <c r="EO74" s="58" t="e">
        <f ca="1">AVERAGE(OFFSET($EN$3,0,0,'Données projet'!$E$15+1,1))-AVERAGE(OFFSET($H$3,0,0,'Données projet'!$E$15+1,1))</f>
        <v>#N/A</v>
      </c>
      <c r="EP74" s="58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58" t="e">
        <f t="shared" si="77"/>
        <v>#N/A</v>
      </c>
      <c r="FJ74" s="58" t="e">
        <f ca="1">AVERAGE(OFFSET($FI$3,0,0,'Données projet'!$E$16+1,1))-AVERAGE(OFFSET($H$3,0,0,'Données projet'!$E$16+1,1))</f>
        <v>#N/A</v>
      </c>
      <c r="FK74" s="58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58" t="e">
        <f t="shared" si="80"/>
        <v>#N/A</v>
      </c>
      <c r="GE74" s="58" t="e">
        <f ca="1">AVERAGE(OFFSET($GD$3,0,0,'Données projet'!$E$17+1,1))-AVERAGE(OFFSET($H$3,0,0,'Données projet'!$E$17+1,1))</f>
        <v>#N/A</v>
      </c>
      <c r="GF74" s="58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58" t="e">
        <f t="shared" si="83"/>
        <v>#N/A</v>
      </c>
      <c r="GZ74" s="58" t="e">
        <f ca="1">AVERAGE(OFFSET($GY$3,0,0,'Données projet'!$E$18+1,1))-AVERAGE(OFFSET($H$3,0,0,'Données projet'!$E$18+1,1))</f>
        <v>#N/A</v>
      </c>
      <c r="HA74" s="58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0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3">
        <f t="shared" si="56"/>
        <v>183.33333333333334</v>
      </c>
      <c r="I75" s="6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267.20928000000004</v>
      </c>
      <c r="P75" s="14">
        <f t="shared" si="87"/>
        <v>64.256650415058076</v>
      </c>
      <c r="Q75" s="22">
        <f t="shared" si="54"/>
        <v>577.3031621395595</v>
      </c>
      <c r="R75" s="58">
        <f t="shared" si="55"/>
        <v>844.63487637708067</v>
      </c>
      <c r="S75" s="58">
        <f ca="1">AVERAGE(OFFSET($R$3,0,0,'Données projet'!$E$9+1,1))-AVERAGE(OFFSET($H$3,0,0,'Données projet'!$E$9+1,1))</f>
        <v>527.70171871461309</v>
      </c>
      <c r="T75" s="58">
        <f t="shared" si="88"/>
        <v>281.06176764290592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3.6</v>
      </c>
      <c r="AI75" s="14">
        <f>IF('Données projet'!$A$62&gt;35,AI74+AH75-AQ74,IF(A75&lt;'Données projet'!$A$62,$AF$205^A75,IF(A75='Données projet'!$A$62,'Données projet'!$B$62,AI74+AH75-AQ74)))</f>
        <v>230.20000000000007</v>
      </c>
      <c r="AJ75" s="14">
        <f>AI75*VLOOKUP('Données projet'!$B$10,Paramètres!$A$1:$I$89,3,0)*VLOOKUP('Données projet'!$B$10,Paramètres!$A$1:$I$89,5,0)</f>
        <v>150.82704000000004</v>
      </c>
      <c r="AK75" s="14">
        <f t="shared" si="89"/>
        <v>38.766473241102211</v>
      </c>
      <c r="AL75" s="22">
        <f t="shared" si="58"/>
        <v>330.20870222825306</v>
      </c>
      <c r="AM75" s="58">
        <f t="shared" si="59"/>
        <v>597.54041646577411</v>
      </c>
      <c r="AN75" s="58">
        <f ca="1">AVERAGE(OFFSET($AM$3,0,0,'Données projet'!$E$10+1,1))-AVERAGE(OFFSET($H$3,0,0,'Données projet'!$E$10+1,1))</f>
        <v>302.53318056366777</v>
      </c>
      <c r="AO75" s="58">
        <f t="shared" si="90"/>
        <v>318.32262615164541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0.85197799130467755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0.85197799130467755</v>
      </c>
      <c r="AY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3.4000000000000172</v>
      </c>
      <c r="BD75" s="13">
        <f>IF('Données projet'!$A$88&gt;35,BD74+BC75-BL74,IF(A75&lt;'Données projet'!$A$88,$BA$205^A75,IF(A75='Données projet'!$A$88,'Données projet'!$B$88,BD74+BC75-BL74)))</f>
        <v>259.50000000000017</v>
      </c>
      <c r="BE75" s="14">
        <f>BD75*VLOOKUP('Données projet'!$B$11,Paramètres!$A$1:$I$89,3,0)*VLOOKUP('Données projet'!$B$11,Paramètres!$A$1:$I$89,5,0)</f>
        <v>206.45820000000015</v>
      </c>
      <c r="BF75" s="14">
        <f t="shared" si="91"/>
        <v>51.160848757309601</v>
      </c>
      <c r="BG75" s="22">
        <f t="shared" si="61"/>
        <v>448.68650991898113</v>
      </c>
      <c r="BH75" s="58">
        <f t="shared" si="62"/>
        <v>716.01822415650224</v>
      </c>
      <c r="BI75" s="58">
        <f ca="1">AVERAGE(OFFSET($BH$3,0,0,'Données projet'!$E$11+1,1))-AVERAGE(OFFSET($H$3,0,0,'Données projet'!$E$11+1,1))</f>
        <v>336.25341821407534</v>
      </c>
      <c r="BJ75" s="58">
        <f t="shared" si="92"/>
        <v>360.3246221345039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1.6229009940074306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1.6229009940074306</v>
      </c>
      <c r="BT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4.5999999999999996</v>
      </c>
      <c r="BY75" s="13">
        <f>IF('Données projet'!$A$114&gt;35,BY74+BX75-CG74,IF(A75&lt;'Données projet'!$A$114,$BV$205^A75,IF(A75='Données projet'!$A$114,'Données projet'!$B$114,BY74+BX75-CG74)))</f>
        <v>213.20000000000016</v>
      </c>
      <c r="BZ75" s="14">
        <f>BY75*VLOOKUP('Données projet'!$B$12,Paramètres!$A$1:$I$89,3,0)*VLOOKUP('Données projet'!$B$12,Paramètres!$A$1:$I$89,5,0)</f>
        <v>172.94784000000016</v>
      </c>
      <c r="CA75" s="14">
        <f t="shared" si="93"/>
        <v>43.749579650768112</v>
      </c>
      <c r="CB75" s="22">
        <f t="shared" si="64"/>
        <v>377.41467255842139</v>
      </c>
      <c r="CC75" s="58">
        <f t="shared" si="65"/>
        <v>644.7463867959425</v>
      </c>
      <c r="CD75" s="58">
        <f ca="1">AVERAGE(OFFSET($CC$3,0,0,'Données projet'!$E$12+1,1))-AVERAGE(OFFSET($H$3,0,0,'Données projet'!$E$12+1,1))</f>
        <v>308.58270639204238</v>
      </c>
      <c r="CE75" s="58">
        <f t="shared" si="94"/>
        <v>258.90832875500325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4.2307692307692264</v>
      </c>
      <c r="CT75" s="13">
        <f>IF('Données projet'!$A$140&gt;35,CT74+CS75-DB74,IF(A75&lt;'Données projet'!$A$140,$CQ$205^A75,IF(A75='Données projet'!$A$140,'Données projet'!$B$140,CT74+CS75-DB74)))</f>
        <v>194.99999999999994</v>
      </c>
      <c r="CU75" s="18">
        <f>CT75*VLOOKUP('Données projet'!$B$13,Paramètres!$A$1:$I$89,3,0)*VLOOKUP('Données projet'!$B$13,Paramètres!$A$1:$I$89,5,0)</f>
        <v>185.56199999999995</v>
      </c>
      <c r="CV75" s="14">
        <f t="shared" si="95"/>
        <v>46.557428480028591</v>
      </c>
      <c r="CW75" s="22">
        <f t="shared" si="67"/>
        <v>404.27467126938308</v>
      </c>
      <c r="CX75" s="58">
        <f t="shared" si="68"/>
        <v>671.60638550690419</v>
      </c>
      <c r="CY75" s="58">
        <f ca="1">AVERAGE(OFFSET($CX$3,0,0,'Données projet'!$E$13+1,1))-AVERAGE(OFFSET($H$3,0,0,'Données projet'!$E$13+1,1))</f>
        <v>397.61813291201469</v>
      </c>
      <c r="CZ75" s="58">
        <f t="shared" si="96"/>
        <v>320.30651625485064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0.99150369104062408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0.99150369104062408</v>
      </c>
      <c r="DJ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58" t="e">
        <f t="shared" si="71"/>
        <v>#N/A</v>
      </c>
      <c r="DT75" s="58" t="e">
        <f ca="1">AVERAGE(OFFSET($DS$3,0,0,'Données projet'!$E$14+1,1))-AVERAGE(OFFSET($H$3,0,0,'Données projet'!$E$14+1,1))</f>
        <v>#N/A</v>
      </c>
      <c r="DU75" s="58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58" t="e">
        <f t="shared" si="74"/>
        <v>#N/A</v>
      </c>
      <c r="EO75" s="58" t="e">
        <f ca="1">AVERAGE(OFFSET($EN$3,0,0,'Données projet'!$E$15+1,1))-AVERAGE(OFFSET($H$3,0,0,'Données projet'!$E$15+1,1))</f>
        <v>#N/A</v>
      </c>
      <c r="EP75" s="58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58" t="e">
        <f t="shared" si="77"/>
        <v>#N/A</v>
      </c>
      <c r="FJ75" s="58" t="e">
        <f ca="1">AVERAGE(OFFSET($FI$3,0,0,'Données projet'!$E$16+1,1))-AVERAGE(OFFSET($H$3,0,0,'Données projet'!$E$16+1,1))</f>
        <v>#N/A</v>
      </c>
      <c r="FK75" s="58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58" t="e">
        <f t="shared" si="80"/>
        <v>#N/A</v>
      </c>
      <c r="GE75" s="58" t="e">
        <f ca="1">AVERAGE(OFFSET($GD$3,0,0,'Données projet'!$E$17+1,1))-AVERAGE(OFFSET($H$3,0,0,'Données projet'!$E$17+1,1))</f>
        <v>#N/A</v>
      </c>
      <c r="GF75" s="58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58" t="e">
        <f t="shared" si="83"/>
        <v>#N/A</v>
      </c>
      <c r="GZ75" s="58" t="e">
        <f ca="1">AVERAGE(OFFSET($GY$3,0,0,'Données projet'!$E$18+1,1))-AVERAGE(OFFSET($H$3,0,0,'Données projet'!$E$18+1,1))</f>
        <v>#N/A</v>
      </c>
      <c r="HA75" s="58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0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3">
        <f t="shared" si="56"/>
        <v>183.33333333333334</v>
      </c>
      <c r="I76" s="6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273.61152000000004</v>
      </c>
      <c r="P76" s="14">
        <f t="shared" si="87"/>
        <v>65.615131256792893</v>
      </c>
      <c r="Q76" s="22">
        <f t="shared" si="54"/>
        <v>590.81975093891435</v>
      </c>
      <c r="R76" s="58">
        <f t="shared" si="55"/>
        <v>858.6025351368362</v>
      </c>
      <c r="S76" s="58">
        <f ca="1">AVERAGE(OFFSET($R$3,0,0,'Données projet'!$E$9+1,1))-AVERAGE(OFFSET($H$3,0,0,'Données projet'!$E$9+1,1))</f>
        <v>527.70171871461309</v>
      </c>
      <c r="T76" s="58">
        <f t="shared" si="88"/>
        <v>281.06176764290592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3.6</v>
      </c>
      <c r="AI76" s="14">
        <f>IF('Données projet'!$A$62&gt;35,AI75+AH76-AQ75,IF(A76&lt;'Données projet'!$A$62,$AF$205^A76,IF(A76='Données projet'!$A$62,'Données projet'!$B$62,AI75+AH76-AQ75)))</f>
        <v>233.80000000000007</v>
      </c>
      <c r="AJ76" s="14">
        <f>AI76*VLOOKUP('Données projet'!$B$10,Paramètres!$A$1:$I$89,3,0)*VLOOKUP('Données projet'!$B$10,Paramètres!$A$1:$I$89,5,0)</f>
        <v>153.18576000000004</v>
      </c>
      <c r="AK76" s="14">
        <f t="shared" si="89"/>
        <v>39.301673119043755</v>
      </c>
      <c r="AL76" s="22">
        <f t="shared" si="58"/>
        <v>335.24894601566797</v>
      </c>
      <c r="AM76" s="58">
        <f t="shared" si="59"/>
        <v>603.03173021358975</v>
      </c>
      <c r="AN76" s="58">
        <f ca="1">AVERAGE(OFFSET($AM$3,0,0,'Données projet'!$E$10+1,1))-AVERAGE(OFFSET($H$3,0,0,'Données projet'!$E$10+1,1))</f>
        <v>302.53318056366777</v>
      </c>
      <c r="AO76" s="58">
        <f t="shared" si="90"/>
        <v>318.32262615164541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0.8286806083288758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0.8286806083288758</v>
      </c>
      <c r="AY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3.4000000000000172</v>
      </c>
      <c r="BD76" s="13">
        <f>IF('Données projet'!$A$88&gt;35,BD75+BC76-BL75,IF(A76&lt;'Données projet'!$A$88,$BA$205^A76,IF(A76='Données projet'!$A$88,'Données projet'!$B$88,BD75+BC76-BL75)))</f>
        <v>262.9000000000002</v>
      </c>
      <c r="BE76" s="14">
        <f>BD76*VLOOKUP('Données projet'!$B$11,Paramètres!$A$1:$I$89,3,0)*VLOOKUP('Données projet'!$B$11,Paramètres!$A$1:$I$89,5,0)</f>
        <v>209.16324000000014</v>
      </c>
      <c r="BF76" s="14">
        <f t="shared" si="91"/>
        <v>51.752690118703946</v>
      </c>
      <c r="BG76" s="22">
        <f t="shared" si="61"/>
        <v>454.42857829007625</v>
      </c>
      <c r="BH76" s="58">
        <f t="shared" si="62"/>
        <v>722.21136248799803</v>
      </c>
      <c r="BI76" s="58">
        <f ca="1">AVERAGE(OFFSET($BH$3,0,0,'Données projet'!$E$11+1,1))-AVERAGE(OFFSET($H$3,0,0,'Données projet'!$E$11+1,1))</f>
        <v>336.25341821407534</v>
      </c>
      <c r="BJ76" s="58">
        <f t="shared" si="92"/>
        <v>360.3246221345039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1.5785226809816433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1.5785226809816433</v>
      </c>
      <c r="BT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4.5999999999999996</v>
      </c>
      <c r="BY76" s="13">
        <f>IF('Données projet'!$A$114&gt;35,BY75+BX76-CG75,IF(A76&lt;'Données projet'!$A$114,$BV$205^A76,IF(A76='Données projet'!$A$114,'Données projet'!$B$114,BY75+BX76-CG75)))</f>
        <v>217.80000000000015</v>
      </c>
      <c r="BZ76" s="14">
        <f>BY76*VLOOKUP('Données projet'!$B$12,Paramètres!$A$1:$I$89,3,0)*VLOOKUP('Données projet'!$B$12,Paramètres!$A$1:$I$89,5,0)</f>
        <v>176.67936000000014</v>
      </c>
      <c r="CA76" s="14">
        <f t="shared" si="93"/>
        <v>44.5826062365838</v>
      </c>
      <c r="CB76" s="22">
        <f t="shared" si="64"/>
        <v>385.36459119538364</v>
      </c>
      <c r="CC76" s="58">
        <f t="shared" si="65"/>
        <v>653.14737539330542</v>
      </c>
      <c r="CD76" s="58">
        <f ca="1">AVERAGE(OFFSET($CC$3,0,0,'Données projet'!$E$12+1,1))-AVERAGE(OFFSET($H$3,0,0,'Données projet'!$E$12+1,1))</f>
        <v>308.58270639204238</v>
      </c>
      <c r="CE76" s="58">
        <f t="shared" si="94"/>
        <v>258.90832875500325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4.2307692307692264</v>
      </c>
      <c r="CT76" s="13">
        <f>IF('Données projet'!$A$140&gt;35,CT75+CS76-DB75,IF(A76&lt;'Données projet'!$A$140,$CQ$205^A76,IF(A76='Données projet'!$A$140,'Données projet'!$B$140,CT75+CS76-DB75)))</f>
        <v>199.23076923076917</v>
      </c>
      <c r="CU76" s="18">
        <f>CT76*VLOOKUP('Données projet'!$B$13,Paramètres!$A$1:$I$89,3,0)*VLOOKUP('Données projet'!$B$13,Paramètres!$A$1:$I$89,5,0)</f>
        <v>189.58799999999994</v>
      </c>
      <c r="CV76" s="14">
        <f t="shared" si="95"/>
        <v>47.44885399619001</v>
      </c>
      <c r="CW76" s="22">
        <f t="shared" si="67"/>
        <v>412.83918737669751</v>
      </c>
      <c r="CX76" s="58">
        <f t="shared" si="68"/>
        <v>680.62197157461924</v>
      </c>
      <c r="CY76" s="58">
        <f ca="1">AVERAGE(OFFSET($CX$3,0,0,'Données projet'!$E$13+1,1))-AVERAGE(OFFSET($H$3,0,0,'Données projet'!$E$13+1,1))</f>
        <v>397.61813291201469</v>
      </c>
      <c r="CZ76" s="58">
        <f t="shared" si="96"/>
        <v>320.30651625485064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0.96439097046820521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0.96439097046820521</v>
      </c>
      <c r="DJ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58" t="e">
        <f t="shared" si="71"/>
        <v>#N/A</v>
      </c>
      <c r="DT76" s="58" t="e">
        <f ca="1">AVERAGE(OFFSET($DS$3,0,0,'Données projet'!$E$14+1,1))-AVERAGE(OFFSET($H$3,0,0,'Données projet'!$E$14+1,1))</f>
        <v>#N/A</v>
      </c>
      <c r="DU76" s="58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58" t="e">
        <f t="shared" si="74"/>
        <v>#N/A</v>
      </c>
      <c r="EO76" s="58" t="e">
        <f ca="1">AVERAGE(OFFSET($EN$3,0,0,'Données projet'!$E$15+1,1))-AVERAGE(OFFSET($H$3,0,0,'Données projet'!$E$15+1,1))</f>
        <v>#N/A</v>
      </c>
      <c r="EP76" s="58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58" t="e">
        <f t="shared" si="77"/>
        <v>#N/A</v>
      </c>
      <c r="FJ76" s="58" t="e">
        <f ca="1">AVERAGE(OFFSET($FI$3,0,0,'Données projet'!$E$16+1,1))-AVERAGE(OFFSET($H$3,0,0,'Données projet'!$E$16+1,1))</f>
        <v>#N/A</v>
      </c>
      <c r="FK76" s="58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58" t="e">
        <f t="shared" si="80"/>
        <v>#N/A</v>
      </c>
      <c r="GE76" s="58" t="e">
        <f ca="1">AVERAGE(OFFSET($GD$3,0,0,'Données projet'!$E$17+1,1))-AVERAGE(OFFSET($H$3,0,0,'Données projet'!$E$17+1,1))</f>
        <v>#N/A</v>
      </c>
      <c r="GF76" s="58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58" t="e">
        <f t="shared" si="83"/>
        <v>#N/A</v>
      </c>
      <c r="GZ76" s="58" t="e">
        <f ca="1">AVERAGE(OFFSET($GY$3,0,0,'Données projet'!$E$18+1,1))-AVERAGE(OFFSET($H$3,0,0,'Données projet'!$E$18+1,1))</f>
        <v>#N/A</v>
      </c>
      <c r="HA76" s="58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0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3">
        <f t="shared" si="56"/>
        <v>183.33333333333334</v>
      </c>
      <c r="I77" s="6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280.01376000000005</v>
      </c>
      <c r="P77" s="14">
        <f t="shared" si="87"/>
        <v>66.969916756344503</v>
      </c>
      <c r="Q77" s="22">
        <f t="shared" si="54"/>
        <v>604.32990368396679</v>
      </c>
      <c r="R77" s="58">
        <f t="shared" si="55"/>
        <v>872.55593278691765</v>
      </c>
      <c r="S77" s="58">
        <f ca="1">AVERAGE(OFFSET($R$3,0,0,'Données projet'!$E$9+1,1))-AVERAGE(OFFSET($H$3,0,0,'Données projet'!$E$9+1,1))</f>
        <v>527.70171871461309</v>
      </c>
      <c r="T77" s="58">
        <f t="shared" si="88"/>
        <v>281.06176764290592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3.6</v>
      </c>
      <c r="AI77" s="14">
        <f>IF('Données projet'!$A$62&gt;35,AI76+AH77-AQ76,IF(A77&lt;'Données projet'!$A$62,$AF$205^A77,IF(A77='Données projet'!$A$62,'Données projet'!$B$62,AI76+AH77-AQ76)))</f>
        <v>237.40000000000006</v>
      </c>
      <c r="AJ77" s="14">
        <f>AI77*VLOOKUP('Données projet'!$B$10,Paramètres!$A$1:$I$89,3,0)*VLOOKUP('Données projet'!$B$10,Paramètres!$A$1:$I$89,5,0)</f>
        <v>155.54448000000005</v>
      </c>
      <c r="AK77" s="14">
        <f t="shared" si="89"/>
        <v>39.835914576715666</v>
      </c>
      <c r="AL77" s="22">
        <f t="shared" si="58"/>
        <v>340.28752055444653</v>
      </c>
      <c r="AM77" s="58">
        <f t="shared" si="59"/>
        <v>608.51354965739733</v>
      </c>
      <c r="AN77" s="58">
        <f ca="1">AVERAGE(OFFSET($AM$3,0,0,'Données projet'!$E$10+1,1))-AVERAGE(OFFSET($H$3,0,0,'Données projet'!$E$10+1,1))</f>
        <v>302.53318056366777</v>
      </c>
      <c r="AO77" s="58">
        <f t="shared" si="90"/>
        <v>318.32262615164541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0.80602029351570348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0.80602029351570348</v>
      </c>
      <c r="AY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3.4000000000000172</v>
      </c>
      <c r="BD77" s="13">
        <f>IF('Données projet'!$A$88&gt;35,BD76+BC77-BL76,IF(A77&lt;'Données projet'!$A$88,$BA$205^A77,IF(A77='Données projet'!$A$88,'Données projet'!$B$88,BD76+BC77-BL76)))</f>
        <v>266.30000000000024</v>
      </c>
      <c r="BE77" s="14">
        <f>BD77*VLOOKUP('Données projet'!$B$11,Paramètres!$A$1:$I$89,3,0)*VLOOKUP('Données projet'!$B$11,Paramètres!$A$1:$I$89,5,0)</f>
        <v>211.8682800000002</v>
      </c>
      <c r="BF77" s="14">
        <f t="shared" si="91"/>
        <v>52.343641187871285</v>
      </c>
      <c r="BG77" s="22">
        <f t="shared" si="61"/>
        <v>460.16909606887612</v>
      </c>
      <c r="BH77" s="58">
        <f t="shared" si="62"/>
        <v>728.39512517182698</v>
      </c>
      <c r="BI77" s="58">
        <f ca="1">AVERAGE(OFFSET($BH$3,0,0,'Données projet'!$E$11+1,1))-AVERAGE(OFFSET($H$3,0,0,'Données projet'!$E$11+1,1))</f>
        <v>336.25341821407534</v>
      </c>
      <c r="BJ77" s="58">
        <f t="shared" si="92"/>
        <v>360.3246221345039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1.5353578952593001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1.5353578952593001</v>
      </c>
      <c r="BT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4.5999999999999996</v>
      </c>
      <c r="BY77" s="13">
        <f>IF('Données projet'!$A$114&gt;35,BY76+BX77-CG76,IF(A77&lt;'Données projet'!$A$114,$BV$205^A77,IF(A77='Données projet'!$A$114,'Données projet'!$B$114,BY76+BX77-CG76)))</f>
        <v>222.40000000000015</v>
      </c>
      <c r="BZ77" s="14">
        <f>BY77*VLOOKUP('Données projet'!$B$12,Paramètres!$A$1:$I$89,3,0)*VLOOKUP('Données projet'!$B$12,Paramètres!$A$1:$I$89,5,0)</f>
        <v>180.41088000000013</v>
      </c>
      <c r="CA77" s="14">
        <f t="shared" si="93"/>
        <v>45.413587262495575</v>
      </c>
      <c r="CB77" s="22">
        <f t="shared" si="64"/>
        <v>393.31094714884671</v>
      </c>
      <c r="CC77" s="58">
        <f t="shared" si="65"/>
        <v>661.53697625179757</v>
      </c>
      <c r="CD77" s="58">
        <f ca="1">AVERAGE(OFFSET($CC$3,0,0,'Données projet'!$E$12+1,1))-AVERAGE(OFFSET($H$3,0,0,'Données projet'!$E$12+1,1))</f>
        <v>308.58270639204238</v>
      </c>
      <c r="CE77" s="58">
        <f t="shared" si="94"/>
        <v>258.90832875500325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4.2307692307692264</v>
      </c>
      <c r="CT77" s="13">
        <f>IF('Données projet'!$A$140&gt;35,CT76+CS77-DB76,IF(A77&lt;'Données projet'!$A$140,$CQ$205^A77,IF(A77='Données projet'!$A$140,'Données projet'!$B$140,CT76+CS77-DB76)))</f>
        <v>203.4615384615384</v>
      </c>
      <c r="CU77" s="18">
        <f>CT77*VLOOKUP('Données projet'!$B$13,Paramètres!$A$1:$I$89,3,0)*VLOOKUP('Données projet'!$B$13,Paramètres!$A$1:$I$89,5,0)</f>
        <v>193.61399999999995</v>
      </c>
      <c r="CV77" s="14">
        <f t="shared" si="95"/>
        <v>48.338078619840999</v>
      </c>
      <c r="CW77" s="22">
        <f t="shared" si="67"/>
        <v>421.39987026288964</v>
      </c>
      <c r="CX77" s="58">
        <f t="shared" si="68"/>
        <v>689.6258993658405</v>
      </c>
      <c r="CY77" s="58">
        <f ca="1">AVERAGE(OFFSET($CX$3,0,0,'Données projet'!$E$13+1,1))-AVERAGE(OFFSET($H$3,0,0,'Données projet'!$E$13+1,1))</f>
        <v>397.61813291201469</v>
      </c>
      <c r="CZ77" s="58">
        <f t="shared" si="96"/>
        <v>320.30651625485064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0.93801964866563514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0.93801964866563514</v>
      </c>
      <c r="DJ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58" t="e">
        <f t="shared" si="71"/>
        <v>#N/A</v>
      </c>
      <c r="DT77" s="58" t="e">
        <f ca="1">AVERAGE(OFFSET($DS$3,0,0,'Données projet'!$E$14+1,1))-AVERAGE(OFFSET($H$3,0,0,'Données projet'!$E$14+1,1))</f>
        <v>#N/A</v>
      </c>
      <c r="DU77" s="58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58" t="e">
        <f t="shared" si="74"/>
        <v>#N/A</v>
      </c>
      <c r="EO77" s="58" t="e">
        <f ca="1">AVERAGE(OFFSET($EN$3,0,0,'Données projet'!$E$15+1,1))-AVERAGE(OFFSET($H$3,0,0,'Données projet'!$E$15+1,1))</f>
        <v>#N/A</v>
      </c>
      <c r="EP77" s="58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58" t="e">
        <f t="shared" si="77"/>
        <v>#N/A</v>
      </c>
      <c r="FJ77" s="58" t="e">
        <f ca="1">AVERAGE(OFFSET($FI$3,0,0,'Données projet'!$E$16+1,1))-AVERAGE(OFFSET($H$3,0,0,'Données projet'!$E$16+1,1))</f>
        <v>#N/A</v>
      </c>
      <c r="FK77" s="58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58" t="e">
        <f t="shared" si="80"/>
        <v>#N/A</v>
      </c>
      <c r="GE77" s="58" t="e">
        <f ca="1">AVERAGE(OFFSET($GD$3,0,0,'Données projet'!$E$17+1,1))-AVERAGE(OFFSET($H$3,0,0,'Données projet'!$E$17+1,1))</f>
        <v>#N/A</v>
      </c>
      <c r="GF77" s="58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58" t="e">
        <f t="shared" si="83"/>
        <v>#N/A</v>
      </c>
      <c r="GZ77" s="58" t="e">
        <f ca="1">AVERAGE(OFFSET($GY$3,0,0,'Données projet'!$E$18+1,1))-AVERAGE(OFFSET($H$3,0,0,'Données projet'!$E$18+1,1))</f>
        <v>#N/A</v>
      </c>
      <c r="HA77" s="58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0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3">
        <f t="shared" si="56"/>
        <v>183.33333333333334</v>
      </c>
      <c r="I78" s="6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286.41600000000011</v>
      </c>
      <c r="P78" s="14">
        <f t="shared" si="87"/>
        <v>68.321101129951245</v>
      </c>
      <c r="Q78" s="22">
        <f t="shared" si="54"/>
        <v>617.83378446799861</v>
      </c>
      <c r="R78" s="58">
        <f t="shared" si="55"/>
        <v>886.49536916782336</v>
      </c>
      <c r="S78" s="58">
        <f ca="1">AVERAGE(OFFSET($R$3,0,0,'Données projet'!$E$9+1,1))-AVERAGE(OFFSET($H$3,0,0,'Données projet'!$E$9+1,1))</f>
        <v>527.70171871461309</v>
      </c>
      <c r="T78" s="58">
        <f t="shared" si="88"/>
        <v>281.06176764290592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241</v>
      </c>
      <c r="AG78" s="13">
        <f>VLOOKUP(A78,'Données projet'!$A$61:$I$81,9,0)</f>
        <v>3.6</v>
      </c>
      <c r="AH78" s="13">
        <f t="array" ref="AH78">INDEX(AG:AG,MIN(IF(ISNUMBER(AG78:AG274),ROW(AG78:AG274),"")))</f>
        <v>3.6</v>
      </c>
      <c r="AI78" s="14">
        <f>IF('Données projet'!$A$62&gt;35,AI77+AH78-AQ77,IF(A78&lt;'Données projet'!$A$62,$AF$205^A78,IF(A78='Données projet'!$A$62,'Données projet'!$B$62,AI77+AH78-AQ77)))</f>
        <v>241.00000000000006</v>
      </c>
      <c r="AJ78" s="14">
        <f>AI78*VLOOKUP('Données projet'!$B$10,Paramètres!$A$1:$I$89,3,0)*VLOOKUP('Données projet'!$B$10,Paramètres!$A$1:$I$89,5,0)</f>
        <v>157.90320000000003</v>
      </c>
      <c r="AK78" s="14">
        <f t="shared" si="89"/>
        <v>40.369213826539486</v>
      </c>
      <c r="AL78" s="22">
        <f t="shared" si="58"/>
        <v>345.32445408122294</v>
      </c>
      <c r="AM78" s="58">
        <f t="shared" si="59"/>
        <v>613.98603878104768</v>
      </c>
      <c r="AN78" s="58">
        <f ca="1">AVERAGE(OFFSET($AM$3,0,0,'Données projet'!$E$10+1,1))-AVERAGE(OFFSET($H$3,0,0,'Données projet'!$E$10+1,1))</f>
        <v>302.53318056366777</v>
      </c>
      <c r="AO78" s="58">
        <f t="shared" si="90"/>
        <v>318.32262615164541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0.78397962620275152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0.78397962620275152</v>
      </c>
      <c r="AY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269.70000000000005</v>
      </c>
      <c r="BB78" s="13">
        <f>VLOOKUP(A78,'Données projet'!$A$87:$I$107,9,0)</f>
        <v>3.4000000000000172</v>
      </c>
      <c r="BC78" s="13">
        <f t="array" ref="BC78">INDEX(BB:BB,MIN(IF(ISNUMBER(BB78:BB274),ROW(BB78:BB274),"")))</f>
        <v>3.4000000000000172</v>
      </c>
      <c r="BD78" s="13">
        <f>IF('Données projet'!$A$88&gt;35,BD77+BC78-BL77,IF(A78&lt;'Données projet'!$A$88,$BA$205^A78,IF(A78='Données projet'!$A$88,'Données projet'!$B$88,BD77+BC78-BL77)))</f>
        <v>269.70000000000027</v>
      </c>
      <c r="BE78" s="14">
        <f>BD78*VLOOKUP('Données projet'!$B$11,Paramètres!$A$1:$I$89,3,0)*VLOOKUP('Données projet'!$B$11,Paramètres!$A$1:$I$89,5,0)</f>
        <v>214.57332000000022</v>
      </c>
      <c r="BF78" s="14">
        <f t="shared" si="91"/>
        <v>52.933714646037032</v>
      </c>
      <c r="BG78" s="22">
        <f t="shared" si="61"/>
        <v>465.90808534184816</v>
      </c>
      <c r="BH78" s="58">
        <f t="shared" si="62"/>
        <v>734.56967004167291</v>
      </c>
      <c r="BI78" s="58">
        <f ca="1">AVERAGE(OFFSET($BH$3,0,0,'Données projet'!$E$11+1,1))-AVERAGE(OFFSET($H$3,0,0,'Données projet'!$E$11+1,1))</f>
        <v>336.25341821407534</v>
      </c>
      <c r="BJ78" s="58">
        <f t="shared" si="92"/>
        <v>360.3246221345039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1.493373452872472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1.493373452872472</v>
      </c>
      <c r="BT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227</v>
      </c>
      <c r="BW78" s="13">
        <f>VLOOKUP(A78,'Données projet'!$A$113:$I$133,9,0)</f>
        <v>4.5999999999999996</v>
      </c>
      <c r="BX78" s="13">
        <f t="array" ref="BX78">INDEX(BW:BW,MIN(IF(ISNUMBER(BW78:BW274),ROW(BW78:BW274),"")))</f>
        <v>4.5999999999999996</v>
      </c>
      <c r="BY78" s="13">
        <f>IF('Données projet'!$A$114&gt;35,BY77+BX78-CG77,IF(A78&lt;'Données projet'!$A$114,$BV$205^A78,IF(A78='Données projet'!$A$114,'Données projet'!$B$114,BY77+BX78-CG77)))</f>
        <v>227.00000000000014</v>
      </c>
      <c r="BZ78" s="14">
        <f>BY78*VLOOKUP('Données projet'!$B$12,Paramètres!$A$1:$I$89,3,0)*VLOOKUP('Données projet'!$B$12,Paramètres!$A$1:$I$89,5,0)</f>
        <v>184.14240000000012</v>
      </c>
      <c r="CA78" s="14">
        <f t="shared" si="93"/>
        <v>46.242569912520345</v>
      </c>
      <c r="CB78" s="22">
        <f t="shared" si="64"/>
        <v>401.25382259763978</v>
      </c>
      <c r="CC78" s="58">
        <f t="shared" si="65"/>
        <v>669.91540729746453</v>
      </c>
      <c r="CD78" s="58">
        <f ca="1">AVERAGE(OFFSET($CC$3,0,0,'Données projet'!$E$12+1,1))-AVERAGE(OFFSET($H$3,0,0,'Données projet'!$E$12+1,1))</f>
        <v>308.58270639204238</v>
      </c>
      <c r="CE78" s="58">
        <f t="shared" si="94"/>
        <v>258.90832875500325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207.69230769230768</v>
      </c>
      <c r="CR78" s="13">
        <f>VLOOKUP(A78,'Données projet'!$A$139:$I$159,9,0)</f>
        <v>4.2307692307692264</v>
      </c>
      <c r="CS78" s="13">
        <f t="array" ref="CS78">INDEX(CR:CR,MIN(IF(ISNUMBER(CR78:CR274),ROW(CR78:CR274),"")))</f>
        <v>4.2307692307692264</v>
      </c>
      <c r="CT78" s="13">
        <f>IF('Données projet'!$A$140&gt;35,CT77+CS78-DB77,IF(A78&lt;'Données projet'!$A$140,$CQ$205^A78,IF(A78='Données projet'!$A$140,'Données projet'!$B$140,CT77+CS78-DB77)))</f>
        <v>207.69230769230762</v>
      </c>
      <c r="CU78" s="18">
        <f>CT78*VLOOKUP('Données projet'!$B$13,Paramètres!$A$1:$I$89,3,0)*VLOOKUP('Données projet'!$B$13,Paramètres!$A$1:$I$89,5,0)</f>
        <v>197.63999999999993</v>
      </c>
      <c r="CV78" s="14">
        <f t="shared" si="95"/>
        <v>49.22515338895078</v>
      </c>
      <c r="CW78" s="22">
        <f t="shared" si="67"/>
        <v>429.95680881908919</v>
      </c>
      <c r="CX78" s="58">
        <f t="shared" si="68"/>
        <v>698.61839351891399</v>
      </c>
      <c r="CY78" s="58">
        <f ca="1">AVERAGE(OFFSET($CX$3,0,0,'Données projet'!$E$13+1,1))-AVERAGE(OFFSET($H$3,0,0,'Données projet'!$E$13+1,1))</f>
        <v>397.61813291201469</v>
      </c>
      <c r="CZ78" s="58">
        <f t="shared" si="96"/>
        <v>320.30651625485064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0.91236945204456388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0.91236945204456388</v>
      </c>
      <c r="DJ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58" t="e">
        <f t="shared" si="71"/>
        <v>#N/A</v>
      </c>
      <c r="DT78" s="58" t="e">
        <f ca="1">AVERAGE(OFFSET($DS$3,0,0,'Données projet'!$E$14+1,1))-AVERAGE(OFFSET($H$3,0,0,'Données projet'!$E$14+1,1))</f>
        <v>#N/A</v>
      </c>
      <c r="DU78" s="58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58" t="e">
        <f t="shared" si="74"/>
        <v>#N/A</v>
      </c>
      <c r="EO78" s="58" t="e">
        <f ca="1">AVERAGE(OFFSET($EN$3,0,0,'Données projet'!$E$15+1,1))-AVERAGE(OFFSET($H$3,0,0,'Données projet'!$E$15+1,1))</f>
        <v>#N/A</v>
      </c>
      <c r="EP78" s="58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58" t="e">
        <f t="shared" si="77"/>
        <v>#N/A</v>
      </c>
      <c r="FJ78" s="58" t="e">
        <f ca="1">AVERAGE(OFFSET($FI$3,0,0,'Données projet'!$E$16+1,1))-AVERAGE(OFFSET($H$3,0,0,'Données projet'!$E$16+1,1))</f>
        <v>#N/A</v>
      </c>
      <c r="FK78" s="58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58" t="e">
        <f t="shared" si="80"/>
        <v>#N/A</v>
      </c>
      <c r="GE78" s="58" t="e">
        <f ca="1">AVERAGE(OFFSET($GD$3,0,0,'Données projet'!$E$17+1,1))-AVERAGE(OFFSET($H$3,0,0,'Données projet'!$E$17+1,1))</f>
        <v>#N/A</v>
      </c>
      <c r="GF78" s="58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58" t="e">
        <f t="shared" si="83"/>
        <v>#N/A</v>
      </c>
      <c r="GZ78" s="58" t="e">
        <f ca="1">AVERAGE(OFFSET($GY$3,0,0,'Données projet'!$E$18+1,1))-AVERAGE(OFFSET($H$3,0,0,'Données projet'!$E$18+1,1))</f>
        <v>#N/A</v>
      </c>
      <c r="HA78" s="58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0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3">
        <f t="shared" si="56"/>
        <v>183.33333333333334</v>
      </c>
      <c r="I79" s="6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245.30688000000009</v>
      </c>
      <c r="P79" s="14">
        <f t="shared" si="87"/>
        <v>59.579874112906374</v>
      </c>
      <c r="Q79" s="22">
        <f t="shared" si="54"/>
        <v>531.01109674664542</v>
      </c>
      <c r="R79" s="58">
        <f t="shared" si="55"/>
        <v>800.10068112749491</v>
      </c>
      <c r="S79" s="58">
        <f ca="1">AVERAGE(OFFSET($R$3,0,0,'Données projet'!$E$9+1,1))-AVERAGE(OFFSET($H$3,0,0,'Données projet'!$E$9+1,1))</f>
        <v>527.70171871461309</v>
      </c>
      <c r="T79" s="58">
        <f t="shared" si="88"/>
        <v>281.06176764290592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4.2</v>
      </c>
      <c r="AI79" s="14">
        <f>IF('Données projet'!$A$62&gt;35,AI78+AH79-AQ78,IF(A79&lt;'Données projet'!$A$62,$AF$205^A79,IF(A79='Données projet'!$A$62,'Données projet'!$B$62,AI78+AH79-AQ78)))</f>
        <v>245.20000000000005</v>
      </c>
      <c r="AJ79" s="14">
        <f>AI79*VLOOKUP('Données projet'!$B$10,Paramètres!$A$1:$I$89,3,0)*VLOOKUP('Données projet'!$B$10,Paramètres!$A$1:$I$89,5,0)</f>
        <v>160.65504000000001</v>
      </c>
      <c r="AK79" s="14">
        <f t="shared" si="89"/>
        <v>40.990226357066611</v>
      </c>
      <c r="AL79" s="22">
        <f t="shared" si="58"/>
        <v>351.19883890522436</v>
      </c>
      <c r="AM79" s="58">
        <f t="shared" si="59"/>
        <v>620.28842328607379</v>
      </c>
      <c r="AN79" s="58">
        <f ca="1">AVERAGE(OFFSET($AM$3,0,0,'Données projet'!$E$10+1,1))-AVERAGE(OFFSET($H$3,0,0,'Données projet'!$E$10+1,1))</f>
        <v>302.53318056366777</v>
      </c>
      <c r="AO79" s="58">
        <f t="shared" si="90"/>
        <v>318.32262615164541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0.76254166209654051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0.76254166209654051</v>
      </c>
      <c r="AY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2.9799999999999955</v>
      </c>
      <c r="BD79" s="13">
        <f>IF('Données projet'!$A$88&gt;35,BD78+BC79-BL78,IF(A79&lt;'Données projet'!$A$88,$BA$205^A79,IF(A79='Données projet'!$A$88,'Données projet'!$B$88,BD78+BC79-BL78)))</f>
        <v>272.68000000000029</v>
      </c>
      <c r="BE79" s="14">
        <f>BD79*VLOOKUP('Données projet'!$B$11,Paramètres!$A$1:$I$89,3,0)*VLOOKUP('Données projet'!$B$11,Paramètres!$A$1:$I$89,5,0)</f>
        <v>216.94420800000023</v>
      </c>
      <c r="BF79" s="14">
        <f t="shared" si="91"/>
        <v>53.450184726422172</v>
      </c>
      <c r="BG79" s="22">
        <f t="shared" si="61"/>
        <v>470.93690066518553</v>
      </c>
      <c r="BH79" s="58">
        <f t="shared" si="62"/>
        <v>740.02648504603496</v>
      </c>
      <c r="BI79" s="58">
        <f ca="1">AVERAGE(OFFSET($BH$3,0,0,'Données projet'!$E$11+1,1))-AVERAGE(OFFSET($H$3,0,0,'Données projet'!$E$11+1,1))</f>
        <v>336.25341821407534</v>
      </c>
      <c r="BJ79" s="58">
        <f t="shared" si="92"/>
        <v>360.3246221345039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1.4525370772705775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1.4525370772705775</v>
      </c>
      <c r="BT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4.2</v>
      </c>
      <c r="BY79" s="13">
        <f>IF('Données projet'!$A$114&gt;35,BY78+BX79-CG78,IF(A79&lt;'Données projet'!$A$114,$BV$205^A79,IF(A79='Données projet'!$A$114,'Données projet'!$B$114,BY78+BX79-CG78)))</f>
        <v>231.20000000000013</v>
      </c>
      <c r="BZ79" s="14">
        <f>BY79*VLOOKUP('Données projet'!$B$12,Paramètres!$A$1:$I$89,3,0)*VLOOKUP('Données projet'!$B$12,Paramètres!$A$1:$I$89,5,0)</f>
        <v>187.54944000000012</v>
      </c>
      <c r="CA79" s="14">
        <f t="shared" si="93"/>
        <v>46.997760175826045</v>
      </c>
      <c r="CB79" s="22">
        <f t="shared" si="64"/>
        <v>408.50304030623056</v>
      </c>
      <c r="CC79" s="58">
        <f t="shared" si="65"/>
        <v>677.59262468707993</v>
      </c>
      <c r="CD79" s="58">
        <f ca="1">AVERAGE(OFFSET($CC$3,0,0,'Données projet'!$E$12+1,1))-AVERAGE(OFFSET($H$3,0,0,'Données projet'!$E$12+1,1))</f>
        <v>308.58270639204238</v>
      </c>
      <c r="CE79" s="58">
        <f t="shared" si="94"/>
        <v>258.90832875500325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3.974358974358978</v>
      </c>
      <c r="CT79" s="13">
        <f>IF('Données projet'!$A$140&gt;35,CT78+CS79-DB78,IF(A79&lt;'Données projet'!$A$140,$CQ$205^A79,IF(A79='Données projet'!$A$140,'Données projet'!$B$140,CT78+CS79-DB78)))</f>
        <v>211.6666666666666</v>
      </c>
      <c r="CU79" s="18">
        <f>CT79*VLOOKUP('Données projet'!$B$13,Paramètres!$A$1:$I$89,3,0)*VLOOKUP('Données projet'!$B$13,Paramètres!$A$1:$I$89,5,0)</f>
        <v>201.42199999999994</v>
      </c>
      <c r="CV79" s="14">
        <f t="shared" si="95"/>
        <v>50.056551308279687</v>
      </c>
      <c r="CW79" s="22">
        <f t="shared" si="67"/>
        <v>437.99181019525372</v>
      </c>
      <c r="CX79" s="58">
        <f t="shared" si="68"/>
        <v>707.08139457610309</v>
      </c>
      <c r="CY79" s="58">
        <f ca="1">AVERAGE(OFFSET($CX$3,0,0,'Données projet'!$E$13+1,1))-AVERAGE(OFFSET($H$3,0,0,'Données projet'!$E$13+1,1))</f>
        <v>397.61813291201469</v>
      </c>
      <c r="CZ79" s="58">
        <f t="shared" si="96"/>
        <v>320.30651625485064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0.88742066139898101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0.88742066139898101</v>
      </c>
      <c r="DJ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58" t="e">
        <f t="shared" si="71"/>
        <v>#N/A</v>
      </c>
      <c r="DT79" s="58" t="e">
        <f ca="1">AVERAGE(OFFSET($DS$3,0,0,'Données projet'!$E$14+1,1))-AVERAGE(OFFSET($H$3,0,0,'Données projet'!$E$14+1,1))</f>
        <v>#N/A</v>
      </c>
      <c r="DU79" s="58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58" t="e">
        <f t="shared" si="74"/>
        <v>#N/A</v>
      </c>
      <c r="EO79" s="58" t="e">
        <f ca="1">AVERAGE(OFFSET($EN$3,0,0,'Données projet'!$E$15+1,1))-AVERAGE(OFFSET($H$3,0,0,'Données projet'!$E$15+1,1))</f>
        <v>#N/A</v>
      </c>
      <c r="EP79" s="58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58" t="e">
        <f t="shared" si="77"/>
        <v>#N/A</v>
      </c>
      <c r="FJ79" s="58" t="e">
        <f ca="1">AVERAGE(OFFSET($FI$3,0,0,'Données projet'!$E$16+1,1))-AVERAGE(OFFSET($H$3,0,0,'Données projet'!$E$16+1,1))</f>
        <v>#N/A</v>
      </c>
      <c r="FK79" s="58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58" t="e">
        <f t="shared" si="80"/>
        <v>#N/A</v>
      </c>
      <c r="GE79" s="58" t="e">
        <f ca="1">AVERAGE(OFFSET($GD$3,0,0,'Données projet'!$E$17+1,1))-AVERAGE(OFFSET($H$3,0,0,'Données projet'!$E$17+1,1))</f>
        <v>#N/A</v>
      </c>
      <c r="GF79" s="58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58" t="e">
        <f t="shared" si="83"/>
        <v>#N/A</v>
      </c>
      <c r="GZ79" s="58" t="e">
        <f ca="1">AVERAGE(OFFSET($GY$3,0,0,'Données projet'!$E$18+1,1))-AVERAGE(OFFSET($H$3,0,0,'Données projet'!$E$18+1,1))</f>
        <v>#N/A</v>
      </c>
      <c r="HA79" s="58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0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3">
        <f t="shared" si="56"/>
        <v>183.33333333333334</v>
      </c>
      <c r="I80" s="6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251.37216000000004</v>
      </c>
      <c r="P80" s="14">
        <f t="shared" si="87"/>
        <v>60.879674595707343</v>
      </c>
      <c r="Q80" s="22">
        <f t="shared" si="54"/>
        <v>543.83861192085692</v>
      </c>
      <c r="R80" s="58">
        <f t="shared" si="55"/>
        <v>813.34877114512915</v>
      </c>
      <c r="S80" s="58">
        <f ca="1">AVERAGE(OFFSET($R$3,0,0,'Données projet'!$E$9+1,1))-AVERAGE(OFFSET($H$3,0,0,'Données projet'!$E$9+1,1))</f>
        <v>527.70171871461309</v>
      </c>
      <c r="T80" s="58">
        <f t="shared" si="88"/>
        <v>281.06176764290592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4.2</v>
      </c>
      <c r="AI80" s="14">
        <f>IF('Données projet'!$A$62&gt;35,AI79+AH80-AQ79,IF(A80&lt;'Données projet'!$A$62,$AF$205^A80,IF(A80='Données projet'!$A$62,'Données projet'!$B$62,AI79+AH80-AQ79)))</f>
        <v>249.40000000000003</v>
      </c>
      <c r="AJ80" s="14">
        <f>AI80*VLOOKUP('Données projet'!$B$10,Paramètres!$A$1:$I$89,3,0)*VLOOKUP('Données projet'!$B$10,Paramètres!$A$1:$I$89,5,0)</f>
        <v>163.40688</v>
      </c>
      <c r="AK80" s="14">
        <f t="shared" si="89"/>
        <v>41.610001881769797</v>
      </c>
      <c r="AL80" s="22">
        <f t="shared" si="58"/>
        <v>357.07106927741569</v>
      </c>
      <c r="AM80" s="58">
        <f t="shared" si="59"/>
        <v>626.58122850168797</v>
      </c>
      <c r="AN80" s="58">
        <f ca="1">AVERAGE(OFFSET($AM$3,0,0,'Données projet'!$E$10+1,1))-AVERAGE(OFFSET($H$3,0,0,'Données projet'!$E$10+1,1))</f>
        <v>302.53318056366777</v>
      </c>
      <c r="AO80" s="58">
        <f t="shared" si="90"/>
        <v>318.32262615164541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0.74168992024618741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0.74168992024618741</v>
      </c>
      <c r="AY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2.9799999999999955</v>
      </c>
      <c r="BD80" s="13">
        <f>IF('Données projet'!$A$88&gt;35,BD79+BC80-BL79,IF(A80&lt;'Données projet'!$A$88,$BA$205^A80,IF(A80='Données projet'!$A$88,'Données projet'!$B$88,BD79+BC80-BL79)))</f>
        <v>275.66000000000031</v>
      </c>
      <c r="BE80" s="14">
        <f>BD80*VLOOKUP('Données projet'!$B$11,Paramètres!$A$1:$I$89,3,0)*VLOOKUP('Données projet'!$B$11,Paramètres!$A$1:$I$89,5,0)</f>
        <v>219.31509600000024</v>
      </c>
      <c r="BF80" s="14">
        <f t="shared" si="91"/>
        <v>53.965998217102616</v>
      </c>
      <c r="BG80" s="22">
        <f t="shared" si="61"/>
        <v>475.96457242812079</v>
      </c>
      <c r="BH80" s="58">
        <f t="shared" si="62"/>
        <v>745.47473165239307</v>
      </c>
      <c r="BI80" s="58">
        <f ca="1">AVERAGE(OFFSET($BH$3,0,0,'Données projet'!$E$11+1,1))-AVERAGE(OFFSET($H$3,0,0,'Données projet'!$E$11+1,1))</f>
        <v>336.25341821407534</v>
      </c>
      <c r="BJ80" s="58">
        <f t="shared" si="92"/>
        <v>360.3246221345039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1.4128173745070085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1.4128173745070085</v>
      </c>
      <c r="BT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4.2</v>
      </c>
      <c r="BY80" s="13">
        <f>IF('Données projet'!$A$114&gt;35,BY79+BX80-CG79,IF(A80&lt;'Données projet'!$A$114,$BV$205^A80,IF(A80='Données projet'!$A$114,'Données projet'!$B$114,BY79+BX80-CG79)))</f>
        <v>235.40000000000012</v>
      </c>
      <c r="BZ80" s="14">
        <f>BY80*VLOOKUP('Données projet'!$B$12,Paramètres!$A$1:$I$89,3,0)*VLOOKUP('Données projet'!$B$12,Paramètres!$A$1:$I$89,5,0)</f>
        <v>190.95648000000011</v>
      </c>
      <c r="CA80" s="14">
        <f t="shared" si="93"/>
        <v>47.751355158869849</v>
      </c>
      <c r="CB80" s="22">
        <f t="shared" si="64"/>
        <v>415.74947956836513</v>
      </c>
      <c r="CC80" s="58">
        <f t="shared" si="65"/>
        <v>685.25963879263736</v>
      </c>
      <c r="CD80" s="58">
        <f ca="1">AVERAGE(OFFSET($CC$3,0,0,'Données projet'!$E$12+1,1))-AVERAGE(OFFSET($H$3,0,0,'Données projet'!$E$12+1,1))</f>
        <v>308.58270639204238</v>
      </c>
      <c r="CE80" s="58">
        <f t="shared" si="94"/>
        <v>258.90832875500325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3.974358974358978</v>
      </c>
      <c r="CT80" s="13">
        <f>IF('Données projet'!$A$140&gt;35,CT79+CS80-DB79,IF(A80&lt;'Données projet'!$A$140,$CQ$205^A80,IF(A80='Données projet'!$A$140,'Données projet'!$B$140,CT79+CS80-DB79)))</f>
        <v>215.64102564102558</v>
      </c>
      <c r="CU80" s="18">
        <f>CT80*VLOOKUP('Données projet'!$B$13,Paramètres!$A$1:$I$89,3,0)*VLOOKUP('Données projet'!$B$13,Paramètres!$A$1:$I$89,5,0)</f>
        <v>205.20399999999995</v>
      </c>
      <c r="CV80" s="14">
        <f t="shared" si="95"/>
        <v>50.886134008708602</v>
      </c>
      <c r="CW80" s="22">
        <f t="shared" si="67"/>
        <v>446.02365006516737</v>
      </c>
      <c r="CX80" s="58">
        <f t="shared" si="68"/>
        <v>715.53380928943966</v>
      </c>
      <c r="CY80" s="58">
        <f ca="1">AVERAGE(OFFSET($CX$3,0,0,'Données projet'!$E$13+1,1))-AVERAGE(OFFSET($H$3,0,0,'Données projet'!$E$13+1,1))</f>
        <v>397.61813291201469</v>
      </c>
      <c r="CZ80" s="58">
        <f t="shared" si="96"/>
        <v>320.30651625485064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0.86315409674560151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0.86315409674560151</v>
      </c>
      <c r="DJ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58" t="e">
        <f t="shared" si="71"/>
        <v>#N/A</v>
      </c>
      <c r="DT80" s="58" t="e">
        <f ca="1">AVERAGE(OFFSET($DS$3,0,0,'Données projet'!$E$14+1,1))-AVERAGE(OFFSET($H$3,0,0,'Données projet'!$E$14+1,1))</f>
        <v>#N/A</v>
      </c>
      <c r="DU80" s="58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58" t="e">
        <f t="shared" si="74"/>
        <v>#N/A</v>
      </c>
      <c r="EO80" s="58" t="e">
        <f ca="1">AVERAGE(OFFSET($EN$3,0,0,'Données projet'!$E$15+1,1))-AVERAGE(OFFSET($H$3,0,0,'Données projet'!$E$15+1,1))</f>
        <v>#N/A</v>
      </c>
      <c r="EP80" s="58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58" t="e">
        <f t="shared" si="77"/>
        <v>#N/A</v>
      </c>
      <c r="FJ80" s="58" t="e">
        <f ca="1">AVERAGE(OFFSET($FI$3,0,0,'Données projet'!$E$16+1,1))-AVERAGE(OFFSET($H$3,0,0,'Données projet'!$E$16+1,1))</f>
        <v>#N/A</v>
      </c>
      <c r="FK80" s="58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58" t="e">
        <f t="shared" si="80"/>
        <v>#N/A</v>
      </c>
      <c r="GE80" s="58" t="e">
        <f ca="1">AVERAGE(OFFSET($GD$3,0,0,'Données projet'!$E$17+1,1))-AVERAGE(OFFSET($H$3,0,0,'Données projet'!$E$17+1,1))</f>
        <v>#N/A</v>
      </c>
      <c r="GF80" s="58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58" t="e">
        <f t="shared" si="83"/>
        <v>#N/A</v>
      </c>
      <c r="GZ80" s="58" t="e">
        <f ca="1">AVERAGE(OFFSET($GY$3,0,0,'Données projet'!$E$18+1,1))-AVERAGE(OFFSET($H$3,0,0,'Données projet'!$E$18+1,1))</f>
        <v>#N/A</v>
      </c>
      <c r="HA80" s="58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0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3">
        <f t="shared" si="56"/>
        <v>183.33333333333334</v>
      </c>
      <c r="I81" s="6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257.43744000000004</v>
      </c>
      <c r="P81" s="14">
        <f t="shared" si="87"/>
        <v>62.175829233865038</v>
      </c>
      <c r="Q81" s="22">
        <f t="shared" si="54"/>
        <v>556.65977724898164</v>
      </c>
      <c r="R81" s="58">
        <f t="shared" si="55"/>
        <v>826.58321528340787</v>
      </c>
      <c r="S81" s="58">
        <f ca="1">AVERAGE(OFFSET($R$3,0,0,'Données projet'!$E$9+1,1))-AVERAGE(OFFSET($H$3,0,0,'Données projet'!$E$9+1,1))</f>
        <v>527.70171871461309</v>
      </c>
      <c r="T81" s="58">
        <f t="shared" si="88"/>
        <v>281.06176764290592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4.2</v>
      </c>
      <c r="AI81" s="14">
        <f>IF('Données projet'!$A$62&gt;35,AI80+AH81-AQ80,IF(A81&lt;'Données projet'!$A$62,$AF$205^A81,IF(A81='Données projet'!$A$62,'Données projet'!$B$62,AI80+AH81-AQ80)))</f>
        <v>253.60000000000002</v>
      </c>
      <c r="AJ81" s="14">
        <f>AI81*VLOOKUP('Données projet'!$B$10,Paramètres!$A$1:$I$89,3,0)*VLOOKUP('Données projet'!$B$10,Paramètres!$A$1:$I$89,5,0)</f>
        <v>166.15872000000002</v>
      </c>
      <c r="AK81" s="14">
        <f t="shared" si="89"/>
        <v>42.228563636586422</v>
      </c>
      <c r="AL81" s="22">
        <f t="shared" si="58"/>
        <v>362.9411856670547</v>
      </c>
      <c r="AM81" s="58">
        <f t="shared" si="59"/>
        <v>632.86462370148092</v>
      </c>
      <c r="AN81" s="58">
        <f ca="1">AVERAGE(OFFSET($AM$3,0,0,'Données projet'!$E$10+1,1))-AVERAGE(OFFSET($H$3,0,0,'Données projet'!$E$10+1,1))</f>
        <v>302.53318056366777</v>
      </c>
      <c r="AO81" s="58">
        <f t="shared" si="90"/>
        <v>318.32262615164541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0.72140837037327765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0.72140837037327765</v>
      </c>
      <c r="AY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2.9799999999999955</v>
      </c>
      <c r="BD81" s="13">
        <f>IF('Données projet'!$A$88&gt;35,BD80+BC81-BL80,IF(A81&lt;'Données projet'!$A$88,$BA$205^A81,IF(A81='Données projet'!$A$88,'Données projet'!$B$88,BD80+BC81-BL80)))</f>
        <v>278.64000000000033</v>
      </c>
      <c r="BE81" s="14">
        <f>BD81*VLOOKUP('Données projet'!$B$11,Paramètres!$A$1:$I$89,3,0)*VLOOKUP('Données projet'!$B$11,Paramètres!$A$1:$I$89,5,0)</f>
        <v>221.68598400000027</v>
      </c>
      <c r="BF81" s="14">
        <f t="shared" si="91"/>
        <v>54.481163037622622</v>
      </c>
      <c r="BG81" s="22">
        <f t="shared" si="61"/>
        <v>480.99111442385987</v>
      </c>
      <c r="BH81" s="58">
        <f t="shared" si="62"/>
        <v>750.91455245828615</v>
      </c>
      <c r="BI81" s="58">
        <f ca="1">AVERAGE(OFFSET($BH$3,0,0,'Données projet'!$E$11+1,1))-AVERAGE(OFFSET($H$3,0,0,'Données projet'!$E$11+1,1))</f>
        <v>336.25341821407534</v>
      </c>
      <c r="BJ81" s="58">
        <f t="shared" si="92"/>
        <v>360.3246221345039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1.3741838091042777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1.3741838091042777</v>
      </c>
      <c r="BT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4.2</v>
      </c>
      <c r="BY81" s="13">
        <f>IF('Données projet'!$A$114&gt;35,BY80+BX81-CG80,IF(A81&lt;'Données projet'!$A$114,$BV$205^A81,IF(A81='Données projet'!$A$114,'Données projet'!$B$114,BY80+BX81-CG80)))</f>
        <v>239.60000000000011</v>
      </c>
      <c r="BZ81" s="14">
        <f>BY81*VLOOKUP('Données projet'!$B$12,Paramètres!$A$1:$I$89,3,0)*VLOOKUP('Données projet'!$B$12,Paramètres!$A$1:$I$89,5,0)</f>
        <v>194.36352000000008</v>
      </c>
      <c r="CA81" s="14">
        <f t="shared" si="93"/>
        <v>48.50338660810538</v>
      </c>
      <c r="CB81" s="22">
        <f t="shared" si="64"/>
        <v>422.99319567578368</v>
      </c>
      <c r="CC81" s="58">
        <f t="shared" si="65"/>
        <v>692.91663371020991</v>
      </c>
      <c r="CD81" s="58">
        <f ca="1">AVERAGE(OFFSET($CC$3,0,0,'Données projet'!$E$12+1,1))-AVERAGE(OFFSET($H$3,0,0,'Données projet'!$E$12+1,1))</f>
        <v>308.58270639204238</v>
      </c>
      <c r="CE81" s="58">
        <f t="shared" si="94"/>
        <v>258.90832875500325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3.974358974358978</v>
      </c>
      <c r="CT81" s="13">
        <f>IF('Données projet'!$A$140&gt;35,CT80+CS81-DB80,IF(A81&lt;'Données projet'!$A$140,$CQ$205^A81,IF(A81='Données projet'!$A$140,'Données projet'!$B$140,CT80+CS81-DB80)))</f>
        <v>219.61538461538456</v>
      </c>
      <c r="CU81" s="18">
        <f>CT81*VLOOKUP('Données projet'!$B$13,Paramètres!$A$1:$I$89,3,0)*VLOOKUP('Données projet'!$B$13,Paramètres!$A$1:$I$89,5,0)</f>
        <v>208.98599999999996</v>
      </c>
      <c r="CV81" s="14">
        <f t="shared" si="95"/>
        <v>51.713938803941488</v>
      </c>
      <c r="CW81" s="22">
        <f t="shared" si="67"/>
        <v>454.05239341686462</v>
      </c>
      <c r="CX81" s="58">
        <f t="shared" si="68"/>
        <v>723.97583145129079</v>
      </c>
      <c r="CY81" s="58">
        <f ca="1">AVERAGE(OFFSET($CX$3,0,0,'Données projet'!$E$13+1,1))-AVERAGE(OFFSET($H$3,0,0,'Données projet'!$E$13+1,1))</f>
        <v>397.61813291201469</v>
      </c>
      <c r="CZ81" s="58">
        <f t="shared" si="96"/>
        <v>320.30651625485064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0.83955110257879184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0.83955110257879184</v>
      </c>
      <c r="DJ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58" t="e">
        <f t="shared" si="71"/>
        <v>#N/A</v>
      </c>
      <c r="DT81" s="58" t="e">
        <f ca="1">AVERAGE(OFFSET($DS$3,0,0,'Données projet'!$E$14+1,1))-AVERAGE(OFFSET($H$3,0,0,'Données projet'!$E$14+1,1))</f>
        <v>#N/A</v>
      </c>
      <c r="DU81" s="58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58" t="e">
        <f t="shared" si="74"/>
        <v>#N/A</v>
      </c>
      <c r="EO81" s="58" t="e">
        <f ca="1">AVERAGE(OFFSET($EN$3,0,0,'Données projet'!$E$15+1,1))-AVERAGE(OFFSET($H$3,0,0,'Données projet'!$E$15+1,1))</f>
        <v>#N/A</v>
      </c>
      <c r="EP81" s="58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58" t="e">
        <f t="shared" si="77"/>
        <v>#N/A</v>
      </c>
      <c r="FJ81" s="58" t="e">
        <f ca="1">AVERAGE(OFFSET($FI$3,0,0,'Données projet'!$E$16+1,1))-AVERAGE(OFFSET($H$3,0,0,'Données projet'!$E$16+1,1))</f>
        <v>#N/A</v>
      </c>
      <c r="FK81" s="58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58" t="e">
        <f t="shared" si="80"/>
        <v>#N/A</v>
      </c>
      <c r="GE81" s="58" t="e">
        <f ca="1">AVERAGE(OFFSET($GD$3,0,0,'Données projet'!$E$17+1,1))-AVERAGE(OFFSET($H$3,0,0,'Données projet'!$E$17+1,1))</f>
        <v>#N/A</v>
      </c>
      <c r="GF81" s="58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58" t="e">
        <f t="shared" si="83"/>
        <v>#N/A</v>
      </c>
      <c r="GZ81" s="58" t="e">
        <f ca="1">AVERAGE(OFFSET($GY$3,0,0,'Données projet'!$E$18+1,1))-AVERAGE(OFFSET($H$3,0,0,'Données projet'!$E$18+1,1))</f>
        <v>#N/A</v>
      </c>
      <c r="HA81" s="58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0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3">
        <f t="shared" si="56"/>
        <v>183.33333333333334</v>
      </c>
      <c r="I82" s="6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263.50272000000001</v>
      </c>
      <c r="P82" s="14">
        <f t="shared" si="87"/>
        <v>63.468433809179743</v>
      </c>
      <c r="Q82" s="22">
        <f t="shared" si="54"/>
        <v>569.4747595509881</v>
      </c>
      <c r="R82" s="58">
        <f t="shared" si="55"/>
        <v>839.80430693216499</v>
      </c>
      <c r="S82" s="58">
        <f ca="1">AVERAGE(OFFSET($R$3,0,0,'Données projet'!$E$9+1,1))-AVERAGE(OFFSET($H$3,0,0,'Données projet'!$E$9+1,1))</f>
        <v>527.70171871461309</v>
      </c>
      <c r="T82" s="58">
        <f t="shared" si="88"/>
        <v>281.06176764290592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4.2</v>
      </c>
      <c r="AI82" s="14">
        <f>IF('Données projet'!$A$62&gt;35,AI81+AH82-AQ81,IF(A82&lt;'Données projet'!$A$62,$AF$205^A82,IF(A82='Données projet'!$A$62,'Données projet'!$B$62,AI81+AH82-AQ81)))</f>
        <v>257.8</v>
      </c>
      <c r="AJ82" s="14">
        <f>AI82*VLOOKUP('Données projet'!$B$10,Paramètres!$A$1:$I$89,3,0)*VLOOKUP('Données projet'!$B$10,Paramètres!$A$1:$I$89,5,0)</f>
        <v>168.91056</v>
      </c>
      <c r="AK82" s="14">
        <f t="shared" si="89"/>
        <v>42.845934043689041</v>
      </c>
      <c r="AL82" s="22">
        <f t="shared" si="58"/>
        <v>368.80922712609168</v>
      </c>
      <c r="AM82" s="58">
        <f t="shared" si="59"/>
        <v>639.13877450726864</v>
      </c>
      <c r="AN82" s="58">
        <f ca="1">AVERAGE(OFFSET($AM$3,0,0,'Données projet'!$E$10+1,1))-AVERAGE(OFFSET($H$3,0,0,'Données projet'!$E$10+1,1))</f>
        <v>302.53318056366777</v>
      </c>
      <c r="AO82" s="58">
        <f t="shared" si="90"/>
        <v>318.32262615164541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0.70168142054820293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0.70168142054820293</v>
      </c>
      <c r="AY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2.9799999999999955</v>
      </c>
      <c r="BD82" s="13">
        <f>IF('Données projet'!$A$88&gt;35,BD81+BC82-BL81,IF(A82&lt;'Données projet'!$A$88,$BA$205^A82,IF(A82='Données projet'!$A$88,'Données projet'!$B$88,BD81+BC82-BL81)))</f>
        <v>281.62000000000035</v>
      </c>
      <c r="BE82" s="14">
        <f>BD82*VLOOKUP('Données projet'!$B$11,Paramètres!$A$1:$I$89,3,0)*VLOOKUP('Données projet'!$B$11,Paramètres!$A$1:$I$89,5,0)</f>
        <v>224.05687200000028</v>
      </c>
      <c r="BF82" s="14">
        <f t="shared" si="91"/>
        <v>54.995686928373175</v>
      </c>
      <c r="BG82" s="22">
        <f t="shared" si="61"/>
        <v>486.01654013358376</v>
      </c>
      <c r="BH82" s="58">
        <f t="shared" si="62"/>
        <v>756.34608751476071</v>
      </c>
      <c r="BI82" s="58">
        <f ca="1">AVERAGE(OFFSET($BH$3,0,0,'Données projet'!$E$11+1,1))-AVERAGE(OFFSET($H$3,0,0,'Données projet'!$E$11+1,1))</f>
        <v>336.25341821407534</v>
      </c>
      <c r="BJ82" s="58">
        <f t="shared" si="92"/>
        <v>360.3246221345039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1.3366066805791355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1.3366066805791355</v>
      </c>
      <c r="BT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4.2</v>
      </c>
      <c r="BY82" s="13">
        <f>IF('Données projet'!$A$114&gt;35,BY81+BX82-CG81,IF(A82&lt;'Données projet'!$A$114,$BV$205^A82,IF(A82='Données projet'!$A$114,'Données projet'!$B$114,BY81+BX82-CG81)))</f>
        <v>243.8000000000001</v>
      </c>
      <c r="BZ82" s="14">
        <f>BY82*VLOOKUP('Données projet'!$B$12,Paramètres!$A$1:$I$89,3,0)*VLOOKUP('Données projet'!$B$12,Paramètres!$A$1:$I$89,5,0)</f>
        <v>197.7705600000001</v>
      </c>
      <c r="CA82" s="14">
        <f t="shared" si="93"/>
        <v>49.253885093250254</v>
      </c>
      <c r="CB82" s="22">
        <f t="shared" si="64"/>
        <v>430.23424187074437</v>
      </c>
      <c r="CC82" s="58">
        <f t="shared" si="65"/>
        <v>700.56378925192132</v>
      </c>
      <c r="CD82" s="58">
        <f ca="1">AVERAGE(OFFSET($CC$3,0,0,'Données projet'!$E$12+1,1))-AVERAGE(OFFSET($H$3,0,0,'Données projet'!$E$12+1,1))</f>
        <v>308.58270639204238</v>
      </c>
      <c r="CE82" s="58">
        <f t="shared" si="94"/>
        <v>258.90832875500325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3.974358974358978</v>
      </c>
      <c r="CT82" s="13">
        <f>IF('Données projet'!$A$140&gt;35,CT81+CS82-DB81,IF(A82&lt;'Données projet'!$A$140,$CQ$205^A82,IF(A82='Données projet'!$A$140,'Données projet'!$B$140,CT81+CS82-DB81)))</f>
        <v>223.58974358974353</v>
      </c>
      <c r="CU82" s="18">
        <f>CT82*VLOOKUP('Données projet'!$B$13,Paramètres!$A$1:$I$89,3,0)*VLOOKUP('Données projet'!$B$13,Paramètres!$A$1:$I$89,5,0)</f>
        <v>212.76799999999994</v>
      </c>
      <c r="CV82" s="14">
        <f t="shared" si="95"/>
        <v>52.540001579827234</v>
      </c>
      <c r="CW82" s="22">
        <f t="shared" si="67"/>
        <v>462.0781027515323</v>
      </c>
      <c r="CX82" s="58">
        <f t="shared" si="68"/>
        <v>732.40765013270925</v>
      </c>
      <c r="CY82" s="58">
        <f ca="1">AVERAGE(OFFSET($CX$3,0,0,'Données projet'!$E$13+1,1))-AVERAGE(OFFSET($H$3,0,0,'Données projet'!$E$13+1,1))</f>
        <v>397.61813291201469</v>
      </c>
      <c r="CZ82" s="58">
        <f t="shared" si="96"/>
        <v>320.30651625485064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0.81659353352870112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0.81659353352870112</v>
      </c>
      <c r="DJ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58" t="e">
        <f t="shared" si="71"/>
        <v>#N/A</v>
      </c>
      <c r="DT82" s="58" t="e">
        <f ca="1">AVERAGE(OFFSET($DS$3,0,0,'Données projet'!$E$14+1,1))-AVERAGE(OFFSET($H$3,0,0,'Données projet'!$E$14+1,1))</f>
        <v>#N/A</v>
      </c>
      <c r="DU82" s="58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58" t="e">
        <f t="shared" si="74"/>
        <v>#N/A</v>
      </c>
      <c r="EO82" s="58" t="e">
        <f ca="1">AVERAGE(OFFSET($EN$3,0,0,'Données projet'!$E$15+1,1))-AVERAGE(OFFSET($H$3,0,0,'Données projet'!$E$15+1,1))</f>
        <v>#N/A</v>
      </c>
      <c r="EP82" s="58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58" t="e">
        <f t="shared" si="77"/>
        <v>#N/A</v>
      </c>
      <c r="FJ82" s="58" t="e">
        <f ca="1">AVERAGE(OFFSET($FI$3,0,0,'Données projet'!$E$16+1,1))-AVERAGE(OFFSET($H$3,0,0,'Données projet'!$E$16+1,1))</f>
        <v>#N/A</v>
      </c>
      <c r="FK82" s="58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58" t="e">
        <f t="shared" si="80"/>
        <v>#N/A</v>
      </c>
      <c r="GE82" s="58" t="e">
        <f ca="1">AVERAGE(OFFSET($GD$3,0,0,'Données projet'!$E$17+1,1))-AVERAGE(OFFSET($H$3,0,0,'Données projet'!$E$17+1,1))</f>
        <v>#N/A</v>
      </c>
      <c r="GF82" s="58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58" t="e">
        <f t="shared" si="83"/>
        <v>#N/A</v>
      </c>
      <c r="GZ82" s="58" t="e">
        <f ca="1">AVERAGE(OFFSET($GY$3,0,0,'Données projet'!$E$18+1,1))-AVERAGE(OFFSET($H$3,0,0,'Données projet'!$E$18+1,1))</f>
        <v>#N/A</v>
      </c>
      <c r="HA82" s="58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0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3">
        <f t="shared" si="56"/>
        <v>183.33333333333334</v>
      </c>
      <c r="I83" s="6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269.56800000000004</v>
      </c>
      <c r="P83" s="14">
        <f t="shared" si="87"/>
        <v>64.757579442439862</v>
      </c>
      <c r="Q83" s="22">
        <f t="shared" si="54"/>
        <v>582.28371752891621</v>
      </c>
      <c r="R83" s="58">
        <f t="shared" si="55"/>
        <v>853.01232916760227</v>
      </c>
      <c r="S83" s="58">
        <f ca="1">AVERAGE(OFFSET($R$3,0,0,'Données projet'!$E$9+1,1))-AVERAGE(OFFSET($H$3,0,0,'Données projet'!$E$9+1,1))</f>
        <v>527.70171871461309</v>
      </c>
      <c r="T83" s="58">
        <f t="shared" si="88"/>
        <v>281.06176764290592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4.2</v>
      </c>
      <c r="AH83" s="13">
        <f t="array" ref="AH83">INDEX(AG:AG,MIN(IF(ISNUMBER(AG83:AG279),ROW(AG83:AG279),"")))</f>
        <v>4.2</v>
      </c>
      <c r="AI83" s="14">
        <f>IF('Données projet'!$A$62&gt;35,AI82+AH83-AQ82,IF(A83&lt;'Données projet'!$A$62,$AF$205^A83,IF(A83='Données projet'!$A$62,'Données projet'!$B$62,AI82+AH83-AQ82)))</f>
        <v>262</v>
      </c>
      <c r="AJ83" s="14">
        <f>AI83*VLOOKUP('Données projet'!$B$10,Paramètres!$A$1:$I$89,3,0)*VLOOKUP('Données projet'!$B$10,Paramètres!$A$1:$I$89,5,0)</f>
        <v>171.66239999999999</v>
      </c>
      <c r="AK83" s="14">
        <f t="shared" si="89"/>
        <v>43.462134752770041</v>
      </c>
      <c r="AL83" s="22">
        <f t="shared" si="58"/>
        <v>374.67523136107451</v>
      </c>
      <c r="AM83" s="58">
        <f t="shared" si="59"/>
        <v>645.40384299976063</v>
      </c>
      <c r="AN83" s="58">
        <f ca="1">AVERAGE(OFFSET($AM$3,0,0,'Données projet'!$E$10+1,1))-AVERAGE(OFFSET($H$3,0,0,'Données projet'!$E$10+1,1))</f>
        <v>302.53318056366777</v>
      </c>
      <c r="AO83" s="58">
        <f t="shared" si="90"/>
        <v>318.32262615164541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34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0.68249390520349018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0.68249390520349018</v>
      </c>
      <c r="AY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284.60000000000002</v>
      </c>
      <c r="BB83" s="13">
        <f>VLOOKUP(A83,'Données projet'!$A$87:$I$107,9,0)</f>
        <v>2.9799999999999955</v>
      </c>
      <c r="BC83" s="13">
        <f t="array" ref="BC83">INDEX(BB:BB,MIN(IF(ISNUMBER(BB83:BB279),ROW(BB83:BB279),"")))</f>
        <v>2.9799999999999955</v>
      </c>
      <c r="BD83" s="13">
        <f>IF('Données projet'!$A$88&gt;35,BD82+BC83-BL82,IF(A83&lt;'Données projet'!$A$88,$BA$205^A83,IF(A83='Données projet'!$A$88,'Données projet'!$B$88,BD82+BC83-BL82)))</f>
        <v>284.60000000000036</v>
      </c>
      <c r="BE83" s="14">
        <f>BD83*VLOOKUP('Données projet'!$B$11,Paramètres!$A$1:$I$89,3,0)*VLOOKUP('Données projet'!$B$11,Paramètres!$A$1:$I$89,5,0)</f>
        <v>226.42776000000029</v>
      </c>
      <c r="BF83" s="14">
        <f t="shared" si="91"/>
        <v>55.50957745649643</v>
      </c>
      <c r="BG83" s="22">
        <f t="shared" si="61"/>
        <v>491.0408627367317</v>
      </c>
      <c r="BH83" s="58">
        <f t="shared" si="62"/>
        <v>761.76947437541776</v>
      </c>
      <c r="BI83" s="58">
        <f ca="1">AVERAGE(OFFSET($BH$3,0,0,'Données projet'!$E$11+1,1))-AVERAGE(OFFSET($H$3,0,0,'Données projet'!$E$11+1,1))</f>
        <v>336.25341821407534</v>
      </c>
      <c r="BJ83" s="58">
        <f t="shared" si="92"/>
        <v>360.3246221345039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275.5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1.3000571006096084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1.3000571006096084</v>
      </c>
      <c r="BT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248</v>
      </c>
      <c r="BW83" s="13">
        <f>VLOOKUP(A83,'Données projet'!$A$113:$I$133,9,0)</f>
        <v>4.2</v>
      </c>
      <c r="BX83" s="13">
        <f t="array" ref="BX83">INDEX(BW:BW,MIN(IF(ISNUMBER(BW83:BW279),ROW(BW83:BW279),"")))</f>
        <v>4.2</v>
      </c>
      <c r="BY83" s="13">
        <f>IF('Données projet'!$A$114&gt;35,BY82+BX83-CG82,IF(A83&lt;'Données projet'!$A$114,$BV$205^A83,IF(A83='Données projet'!$A$114,'Données projet'!$B$114,BY82+BX83-CG82)))</f>
        <v>248.00000000000009</v>
      </c>
      <c r="BZ83" s="14">
        <f>BY83*VLOOKUP('Données projet'!$B$12,Paramètres!$A$1:$I$89,3,0)*VLOOKUP('Données projet'!$B$12,Paramètres!$A$1:$I$89,5,0)</f>
        <v>201.17760000000007</v>
      </c>
      <c r="CA83" s="14">
        <f t="shared" si="93"/>
        <v>50.002880070410733</v>
      </c>
      <c r="CB83" s="22">
        <f t="shared" si="64"/>
        <v>437.47266945596539</v>
      </c>
      <c r="CC83" s="58">
        <f t="shared" si="65"/>
        <v>708.20128109465145</v>
      </c>
      <c r="CD83" s="58">
        <f ca="1">AVERAGE(OFFSET($CC$3,0,0,'Données projet'!$E$12+1,1))-AVERAGE(OFFSET($H$3,0,0,'Données projet'!$E$12+1,1))</f>
        <v>308.58270639204238</v>
      </c>
      <c r="CE83" s="58">
        <f t="shared" si="94"/>
        <v>258.90832875500325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27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227.56410256410257</v>
      </c>
      <c r="CR83" s="13">
        <f>VLOOKUP(A83,'Données projet'!$A$139:$I$159,9,0)</f>
        <v>3.974358974358978</v>
      </c>
      <c r="CS83" s="13">
        <f t="array" ref="CS83">INDEX(CR:CR,MIN(IF(ISNUMBER(CR83:CR279),ROW(CR83:CR279),"")))</f>
        <v>3.974358974358978</v>
      </c>
      <c r="CT83" s="13">
        <f>IF('Données projet'!$A$140&gt;35,CT82+CS83-DB82,IF(A83&lt;'Données projet'!$A$140,$CQ$205^A83,IF(A83='Données projet'!$A$140,'Données projet'!$B$140,CT82+CS83-DB82)))</f>
        <v>227.56410256410251</v>
      </c>
      <c r="CU83" s="18">
        <f>CT83*VLOOKUP('Données projet'!$B$13,Paramètres!$A$1:$I$89,3,0)*VLOOKUP('Données projet'!$B$13,Paramètres!$A$1:$I$89,5,0)</f>
        <v>216.54999999999998</v>
      </c>
      <c r="CV83" s="14">
        <f t="shared" si="95"/>
        <v>53.364356873390378</v>
      </c>
      <c r="CW83" s="22">
        <f t="shared" si="67"/>
        <v>470.1008382211549</v>
      </c>
      <c r="CX83" s="58">
        <f t="shared" si="68"/>
        <v>740.82944985984102</v>
      </c>
      <c r="CY83" s="58">
        <f ca="1">AVERAGE(OFFSET($CX$3,0,0,'Données projet'!$E$13+1,1))-AVERAGE(OFFSET($H$3,0,0,'Données projet'!$E$13+1,1))</f>
        <v>397.61813291201469</v>
      </c>
      <c r="CZ83" s="58">
        <f t="shared" si="96"/>
        <v>320.30651625485064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27.564102564102562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0.79426374041157122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0.79426374041157122</v>
      </c>
      <c r="DJ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58" t="e">
        <f t="shared" si="71"/>
        <v>#N/A</v>
      </c>
      <c r="DT83" s="58" t="e">
        <f ca="1">AVERAGE(OFFSET($DS$3,0,0,'Données projet'!$E$14+1,1))-AVERAGE(OFFSET($H$3,0,0,'Données projet'!$E$14+1,1))</f>
        <v>#N/A</v>
      </c>
      <c r="DU83" s="58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58" t="e">
        <f t="shared" si="74"/>
        <v>#N/A</v>
      </c>
      <c r="EO83" s="58" t="e">
        <f ca="1">AVERAGE(OFFSET($EN$3,0,0,'Données projet'!$E$15+1,1))-AVERAGE(OFFSET($H$3,0,0,'Données projet'!$E$15+1,1))</f>
        <v>#N/A</v>
      </c>
      <c r="EP83" s="58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58" t="e">
        <f t="shared" si="77"/>
        <v>#N/A</v>
      </c>
      <c r="FJ83" s="58" t="e">
        <f ca="1">AVERAGE(OFFSET($FI$3,0,0,'Données projet'!$E$16+1,1))-AVERAGE(OFFSET($H$3,0,0,'Données projet'!$E$16+1,1))</f>
        <v>#N/A</v>
      </c>
      <c r="FK83" s="58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58" t="e">
        <f t="shared" si="80"/>
        <v>#N/A</v>
      </c>
      <c r="GE83" s="58" t="e">
        <f ca="1">AVERAGE(OFFSET($GD$3,0,0,'Données projet'!$E$17+1,1))-AVERAGE(OFFSET($H$3,0,0,'Données projet'!$E$17+1,1))</f>
        <v>#N/A</v>
      </c>
      <c r="GF83" s="58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58" t="e">
        <f t="shared" si="83"/>
        <v>#N/A</v>
      </c>
      <c r="GZ83" s="58" t="e">
        <f ca="1">AVERAGE(OFFSET($GY$3,0,0,'Données projet'!$E$18+1,1))-AVERAGE(OFFSET($H$3,0,0,'Données projet'!$E$18+1,1))</f>
        <v>#N/A</v>
      </c>
      <c r="HA83" s="58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0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3">
        <f t="shared" si="56"/>
        <v>183.33333333333334</v>
      </c>
      <c r="I84" s="6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6.6</v>
      </c>
      <c r="N84" s="14">
        <f>IF('Données projet'!$A$36&gt;35,N83+M84-V83,IF(A84&lt;'Données projet'!$A$36,$K$205^A84,IF(A84='Données projet'!$A$36,'Données projet'!$B$36,N83+M84-V83)))</f>
        <v>326.60000000000002</v>
      </c>
      <c r="O84" s="14">
        <f>N84*VLOOKUP('Données projet'!$B$9,Paramètres!$A$1:$I$89,3,0)*VLOOKUP('Données projet'!$B$9,Paramètres!$A$1:$I$89,5,0)</f>
        <v>275.12784000000005</v>
      </c>
      <c r="P84" s="14">
        <f t="shared" si="87"/>
        <v>65.936331882912981</v>
      </c>
      <c r="Q84" s="22">
        <f t="shared" si="54"/>
        <v>594.0200993627401</v>
      </c>
      <c r="R84" s="58">
        <f t="shared" si="55"/>
        <v>865.14085238624148</v>
      </c>
      <c r="S84" s="58">
        <f ca="1">AVERAGE(OFFSET($R$3,0,0,'Données projet'!$E$9+1,1))-AVERAGE(OFFSET($H$3,0,0,'Données projet'!$E$9+1,1))</f>
        <v>527.70171871461309</v>
      </c>
      <c r="T84" s="58">
        <f t="shared" si="88"/>
        <v>281.06176764290592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3.8</v>
      </c>
      <c r="AI84" s="14">
        <f>IF('Données projet'!$A$62&gt;35,AI83+AH84-AQ83,IF(A84&lt;'Données projet'!$A$62,$AF$205^A84,IF(A84='Données projet'!$A$62,'Données projet'!$B$62,AI83+AH84-AQ83)))</f>
        <v>231.8</v>
      </c>
      <c r="AJ84" s="14">
        <f>AI84*VLOOKUP('Données projet'!$B$10,Paramètres!$A$1:$I$89,3,0)*VLOOKUP('Données projet'!$B$10,Paramètres!$A$1:$I$89,5,0)</f>
        <v>151.87536</v>
      </c>
      <c r="AK84" s="14">
        <f t="shared" si="89"/>
        <v>39.004459236504758</v>
      </c>
      <c r="AL84" s="22">
        <f t="shared" si="58"/>
        <v>332.44901850357911</v>
      </c>
      <c r="AM84" s="58">
        <f t="shared" si="59"/>
        <v>603.56977152708055</v>
      </c>
      <c r="AN84" s="58">
        <f ca="1">AVERAGE(OFFSET($AM$3,0,0,'Données projet'!$E$10+1,1))-AVERAGE(OFFSET($H$3,0,0,'Données projet'!$E$10+1,1))</f>
        <v>302.53318056366777</v>
      </c>
      <c r="AO84" s="58">
        <f t="shared" si="90"/>
        <v>318.32262615164541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0.66383107347490611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0.66383107347490611</v>
      </c>
      <c r="AY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9.1000000000003638</v>
      </c>
      <c r="BE84" s="14">
        <f>BD84*VLOOKUP('Données projet'!$B$11,Paramètres!$A$1:$I$89,3,0)*VLOOKUP('Données projet'!$B$11,Paramètres!$A$1:$I$89,5,0)</f>
        <v>7.2399600000002895</v>
      </c>
      <c r="BF84" s="14">
        <f t="shared" si="91"/>
        <v>2.6498112636338633</v>
      </c>
      <c r="BG84" s="22">
        <f t="shared" si="61"/>
        <v>17.224684950829481</v>
      </c>
      <c r="BH84" s="58">
        <f t="shared" si="62"/>
        <v>288.34543797433093</v>
      </c>
      <c r="BI84" s="58">
        <f ca="1">AVERAGE(OFFSET($BH$3,0,0,'Données projet'!$E$11+1,1))-AVERAGE(OFFSET($H$3,0,0,'Données projet'!$E$11+1,1))</f>
        <v>336.25341821407534</v>
      </c>
      <c r="BJ84" s="58">
        <f t="shared" si="92"/>
        <v>360.3246221345039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1.2645069708264072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1.2645069708264072</v>
      </c>
      <c r="BT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</v>
      </c>
      <c r="BY84" s="13">
        <f>IF('Données projet'!$A$114&gt;35,BY83+BX84-CG83,IF(A84&lt;'Données projet'!$A$114,$BV$205^A84,IF(A84='Données projet'!$A$114,'Données projet'!$B$114,BY83+BX84-CG83)))</f>
        <v>225.00000000000009</v>
      </c>
      <c r="BZ84" s="14">
        <f>BY84*VLOOKUP('Données projet'!$B$12,Paramètres!$A$1:$I$89,3,0)*VLOOKUP('Données projet'!$B$12,Paramètres!$A$1:$I$89,5,0)</f>
        <v>182.52000000000007</v>
      </c>
      <c r="CA84" s="14">
        <f t="shared" si="93"/>
        <v>45.882385280285632</v>
      </c>
      <c r="CB84" s="22">
        <f t="shared" si="64"/>
        <v>397.80082102983096</v>
      </c>
      <c r="CC84" s="58">
        <f t="shared" si="65"/>
        <v>668.92157405333239</v>
      </c>
      <c r="CD84" s="58">
        <f ca="1">AVERAGE(OFFSET($CC$3,0,0,'Données projet'!$E$12+1,1))-AVERAGE(OFFSET($H$3,0,0,'Données projet'!$E$12+1,1))</f>
        <v>308.58270639204238</v>
      </c>
      <c r="CE84" s="58">
        <f t="shared" si="94"/>
        <v>258.90832875500325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3.8461538461538454</v>
      </c>
      <c r="CT84" s="13">
        <f>IF('Données projet'!$A$140&gt;35,CT83+CS84-DB83,IF(A84&lt;'Données projet'!$A$140,$CQ$205^A84,IF(A84='Données projet'!$A$140,'Données projet'!$B$140,CT83+CS84-DB83)))</f>
        <v>203.84615384615378</v>
      </c>
      <c r="CU84" s="18">
        <f>CT84*VLOOKUP('Données projet'!$B$13,Paramètres!$A$1:$I$89,3,0)*VLOOKUP('Données projet'!$B$13,Paramètres!$A$1:$I$89,5,0)</f>
        <v>193.97999999999996</v>
      </c>
      <c r="CV84" s="14">
        <f t="shared" si="95"/>
        <v>48.418809868414776</v>
      </c>
      <c r="CW84" s="22">
        <f t="shared" si="67"/>
        <v>422.17792718748893</v>
      </c>
      <c r="CX84" s="58">
        <f t="shared" si="68"/>
        <v>693.29868021099037</v>
      </c>
      <c r="CY84" s="58">
        <f ca="1">AVERAGE(OFFSET($CX$3,0,0,'Données projet'!$E$13+1,1))-AVERAGE(OFFSET($H$3,0,0,'Données projet'!$E$13+1,1))</f>
        <v>397.61813291201469</v>
      </c>
      <c r="CZ84" s="58">
        <f t="shared" si="96"/>
        <v>320.30651625485064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0.77254455666150201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0.77254455666150201</v>
      </c>
      <c r="DJ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58" t="e">
        <f t="shared" si="71"/>
        <v>#N/A</v>
      </c>
      <c r="DT84" s="58" t="e">
        <f ca="1">AVERAGE(OFFSET($DS$3,0,0,'Données projet'!$E$14+1,1))-AVERAGE(OFFSET($H$3,0,0,'Données projet'!$E$14+1,1))</f>
        <v>#N/A</v>
      </c>
      <c r="DU84" s="58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58" t="e">
        <f t="shared" si="74"/>
        <v>#N/A</v>
      </c>
      <c r="EO84" s="58" t="e">
        <f ca="1">AVERAGE(OFFSET($EN$3,0,0,'Données projet'!$E$15+1,1))-AVERAGE(OFFSET($H$3,0,0,'Données projet'!$E$15+1,1))</f>
        <v>#N/A</v>
      </c>
      <c r="EP84" s="58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58" t="e">
        <f t="shared" si="77"/>
        <v>#N/A</v>
      </c>
      <c r="FJ84" s="58" t="e">
        <f ca="1">AVERAGE(OFFSET($FI$3,0,0,'Données projet'!$E$16+1,1))-AVERAGE(OFFSET($H$3,0,0,'Données projet'!$E$16+1,1))</f>
        <v>#N/A</v>
      </c>
      <c r="FK84" s="58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58" t="e">
        <f t="shared" si="80"/>
        <v>#N/A</v>
      </c>
      <c r="GE84" s="58" t="e">
        <f ca="1">AVERAGE(OFFSET($GD$3,0,0,'Données projet'!$E$17+1,1))-AVERAGE(OFFSET($H$3,0,0,'Données projet'!$E$17+1,1))</f>
        <v>#N/A</v>
      </c>
      <c r="GF84" s="58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58" t="e">
        <f t="shared" si="83"/>
        <v>#N/A</v>
      </c>
      <c r="GZ84" s="58" t="e">
        <f ca="1">AVERAGE(OFFSET($GY$3,0,0,'Données projet'!$E$18+1,1))-AVERAGE(OFFSET($H$3,0,0,'Données projet'!$E$18+1,1))</f>
        <v>#N/A</v>
      </c>
      <c r="HA84" s="58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0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3">
        <f t="shared" si="56"/>
        <v>183.33333333333334</v>
      </c>
      <c r="I85" s="6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6.6</v>
      </c>
      <c r="N85" s="14">
        <f>IF('Données projet'!$A$36&gt;35,N84+M85-V84,IF(A85&lt;'Données projet'!$A$36,$K$205^A85,IF(A85='Données projet'!$A$36,'Données projet'!$B$36,N84+M85-V84)))</f>
        <v>333.20000000000005</v>
      </c>
      <c r="O85" s="14">
        <f>N85*VLOOKUP('Données projet'!$B$9,Paramètres!$A$1:$I$89,3,0)*VLOOKUP('Données projet'!$B$9,Paramètres!$A$1:$I$89,5,0)</f>
        <v>280.68768000000006</v>
      </c>
      <c r="P85" s="14">
        <f t="shared" si="87"/>
        <v>67.11231467966806</v>
      </c>
      <c r="Q85" s="22">
        <f t="shared" si="54"/>
        <v>605.75165740042189</v>
      </c>
      <c r="R85" s="58">
        <f t="shared" si="55"/>
        <v>877.25774903240892</v>
      </c>
      <c r="S85" s="58">
        <f ca="1">AVERAGE(OFFSET($R$3,0,0,'Données projet'!$E$9+1,1))-AVERAGE(OFFSET($H$3,0,0,'Données projet'!$E$9+1,1))</f>
        <v>527.70171871461309</v>
      </c>
      <c r="T85" s="58">
        <f t="shared" si="88"/>
        <v>281.06176764290592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3.8</v>
      </c>
      <c r="AI85" s="14">
        <f>IF('Données projet'!$A$62&gt;35,AI84+AH85-AQ84,IF(A85&lt;'Données projet'!$A$62,$AF$205^A85,IF(A85='Données projet'!$A$62,'Données projet'!$B$62,AI84+AH85-AQ84)))</f>
        <v>235.60000000000002</v>
      </c>
      <c r="AJ85" s="14">
        <f>AI85*VLOOKUP('Données projet'!$B$10,Paramètres!$A$1:$I$89,3,0)*VLOOKUP('Données projet'!$B$10,Paramètres!$A$1:$I$89,5,0)</f>
        <v>154.36512000000002</v>
      </c>
      <c r="AK85" s="14">
        <f t="shared" si="89"/>
        <v>39.568912624848309</v>
      </c>
      <c r="AL85" s="22">
        <f t="shared" si="58"/>
        <v>337.76844015494413</v>
      </c>
      <c r="AM85" s="58">
        <f t="shared" si="59"/>
        <v>609.27453178693122</v>
      </c>
      <c r="AN85" s="58">
        <f ca="1">AVERAGE(OFFSET($AM$3,0,0,'Données projet'!$E$10+1,1))-AVERAGE(OFFSET($H$3,0,0,'Données projet'!$E$10+1,1))</f>
        <v>302.53318056366777</v>
      </c>
      <c r="AO85" s="58">
        <f t="shared" si="90"/>
        <v>318.32262615164541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0.64567857786137584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0.64567857786137584</v>
      </c>
      <c r="AY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9.1000000000003638</v>
      </c>
      <c r="BE85" s="14">
        <f>BD85*VLOOKUP('Données projet'!$B$11,Paramètres!$A$1:$I$89,3,0)*VLOOKUP('Données projet'!$B$11,Paramètres!$A$1:$I$89,5,0)</f>
        <v>7.2399600000002895</v>
      </c>
      <c r="BF85" s="14">
        <f t="shared" si="91"/>
        <v>2.6498112636338633</v>
      </c>
      <c r="BG85" s="22">
        <f t="shared" si="61"/>
        <v>17.224684950829481</v>
      </c>
      <c r="BH85" s="58">
        <f t="shared" si="62"/>
        <v>288.73077658281653</v>
      </c>
      <c r="BI85" s="58">
        <f ca="1">AVERAGE(OFFSET($BH$3,0,0,'Données projet'!$E$11+1,1))-AVERAGE(OFFSET($H$3,0,0,'Données projet'!$E$11+1,1))</f>
        <v>336.25341821407534</v>
      </c>
      <c r="BJ85" s="58">
        <f t="shared" si="92"/>
        <v>360.3246221345039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1.2299289612116275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1.2299289612116275</v>
      </c>
      <c r="BT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</v>
      </c>
      <c r="BY85" s="13">
        <f>IF('Données projet'!$A$114&gt;35,BY84+BX85-CG84,IF(A85&lt;'Données projet'!$A$114,$BV$205^A85,IF(A85='Données projet'!$A$114,'Données projet'!$B$114,BY84+BX85-CG84)))</f>
        <v>229.00000000000009</v>
      </c>
      <c r="BZ85" s="14">
        <f>BY85*VLOOKUP('Données projet'!$B$12,Paramètres!$A$1:$I$89,3,0)*VLOOKUP('Données projet'!$B$12,Paramètres!$A$1:$I$89,5,0)</f>
        <v>185.76480000000009</v>
      </c>
      <c r="CA85" s="14">
        <f t="shared" si="93"/>
        <v>46.602385341463361</v>
      </c>
      <c r="CB85" s="22">
        <f t="shared" si="64"/>
        <v>404.70618113638216</v>
      </c>
      <c r="CC85" s="58">
        <f t="shared" si="65"/>
        <v>676.21227276836919</v>
      </c>
      <c r="CD85" s="58">
        <f ca="1">AVERAGE(OFFSET($CC$3,0,0,'Données projet'!$E$12+1,1))-AVERAGE(OFFSET($H$3,0,0,'Données projet'!$E$12+1,1))</f>
        <v>308.58270639204238</v>
      </c>
      <c r="CE85" s="58">
        <f t="shared" si="94"/>
        <v>258.90832875500325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3.8461538461538454</v>
      </c>
      <c r="CT85" s="13">
        <f>IF('Données projet'!$A$140&gt;35,CT84+CS85-DB84,IF(A85&lt;'Données projet'!$A$140,$CQ$205^A85,IF(A85='Données projet'!$A$140,'Données projet'!$B$140,CT84+CS85-DB84)))</f>
        <v>207.69230769230762</v>
      </c>
      <c r="CU85" s="18">
        <f>CT85*VLOOKUP('Données projet'!$B$13,Paramètres!$A$1:$I$89,3,0)*VLOOKUP('Données projet'!$B$13,Paramètres!$A$1:$I$89,5,0)</f>
        <v>197.63999999999993</v>
      </c>
      <c r="CV85" s="14">
        <f t="shared" si="95"/>
        <v>49.22515338895078</v>
      </c>
      <c r="CW85" s="22">
        <f t="shared" si="67"/>
        <v>429.95680881908919</v>
      </c>
      <c r="CX85" s="58">
        <f t="shared" si="68"/>
        <v>701.46290045107617</v>
      </c>
      <c r="CY85" s="58">
        <f ca="1">AVERAGE(OFFSET($CX$3,0,0,'Données projet'!$E$13+1,1))-AVERAGE(OFFSET($H$3,0,0,'Données projet'!$E$13+1,1))</f>
        <v>397.61813291201469</v>
      </c>
      <c r="CZ85" s="58">
        <f t="shared" si="96"/>
        <v>320.30651625485064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0.75141928513324063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0.75141928513324063</v>
      </c>
      <c r="DJ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58" t="e">
        <f t="shared" si="71"/>
        <v>#N/A</v>
      </c>
      <c r="DT85" s="58" t="e">
        <f ca="1">AVERAGE(OFFSET($DS$3,0,0,'Données projet'!$E$14+1,1))-AVERAGE(OFFSET($H$3,0,0,'Données projet'!$E$14+1,1))</f>
        <v>#N/A</v>
      </c>
      <c r="DU85" s="58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58" t="e">
        <f t="shared" si="74"/>
        <v>#N/A</v>
      </c>
      <c r="EO85" s="58" t="e">
        <f ca="1">AVERAGE(OFFSET($EN$3,0,0,'Données projet'!$E$15+1,1))-AVERAGE(OFFSET($H$3,0,0,'Données projet'!$E$15+1,1))</f>
        <v>#N/A</v>
      </c>
      <c r="EP85" s="58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58" t="e">
        <f t="shared" si="77"/>
        <v>#N/A</v>
      </c>
      <c r="FJ85" s="58" t="e">
        <f ca="1">AVERAGE(OFFSET($FI$3,0,0,'Données projet'!$E$16+1,1))-AVERAGE(OFFSET($H$3,0,0,'Données projet'!$E$16+1,1))</f>
        <v>#N/A</v>
      </c>
      <c r="FK85" s="58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58" t="e">
        <f t="shared" si="80"/>
        <v>#N/A</v>
      </c>
      <c r="GE85" s="58" t="e">
        <f ca="1">AVERAGE(OFFSET($GD$3,0,0,'Données projet'!$E$17+1,1))-AVERAGE(OFFSET($H$3,0,0,'Données projet'!$E$17+1,1))</f>
        <v>#N/A</v>
      </c>
      <c r="GF85" s="58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58" t="e">
        <f t="shared" si="83"/>
        <v>#N/A</v>
      </c>
      <c r="GZ85" s="58" t="e">
        <f ca="1">AVERAGE(OFFSET($GY$3,0,0,'Données projet'!$E$18+1,1))-AVERAGE(OFFSET($H$3,0,0,'Données projet'!$E$18+1,1))</f>
        <v>#N/A</v>
      </c>
      <c r="HA85" s="58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0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3">
        <f t="shared" si="56"/>
        <v>183.33333333333334</v>
      </c>
      <c r="I86" s="6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6.6</v>
      </c>
      <c r="N86" s="14">
        <f>IF('Données projet'!$A$36&gt;35,N85+M86-V85,IF(A86&lt;'Données projet'!$A$36,$K$205^A86,IF(A86='Données projet'!$A$36,'Données projet'!$B$36,N85+M86-V85)))</f>
        <v>339.80000000000007</v>
      </c>
      <c r="O86" s="14">
        <f>N86*VLOOKUP('Données projet'!$B$9,Paramètres!$A$1:$I$89,3,0)*VLOOKUP('Données projet'!$B$9,Paramètres!$A$1:$I$89,5,0)</f>
        <v>286.24752000000007</v>
      </c>
      <c r="P86" s="14">
        <f t="shared" si="87"/>
        <v>68.285589016924646</v>
      </c>
      <c r="Q86" s="22">
        <f t="shared" si="54"/>
        <v>617.47849820447721</v>
      </c>
      <c r="R86" s="58">
        <f t="shared" si="55"/>
        <v>889.36324368158068</v>
      </c>
      <c r="S86" s="58">
        <f ca="1">AVERAGE(OFFSET($R$3,0,0,'Données projet'!$E$9+1,1))-AVERAGE(OFFSET($H$3,0,0,'Données projet'!$E$9+1,1))</f>
        <v>527.70171871461309</v>
      </c>
      <c r="T86" s="58">
        <f t="shared" si="88"/>
        <v>281.06176764290592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3.8</v>
      </c>
      <c r="AI86" s="14">
        <f>IF('Données projet'!$A$62&gt;35,AI85+AH86-AQ85,IF(A86&lt;'Données projet'!$A$62,$AF$205^A86,IF(A86='Données projet'!$A$62,'Données projet'!$B$62,AI85+AH86-AQ85)))</f>
        <v>239.40000000000003</v>
      </c>
      <c r="AJ86" s="14">
        <f>AI86*VLOOKUP('Données projet'!$B$10,Paramètres!$A$1:$I$89,3,0)*VLOOKUP('Données projet'!$B$10,Paramètres!$A$1:$I$89,5,0)</f>
        <v>156.85488000000004</v>
      </c>
      <c r="AK86" s="14">
        <f t="shared" si="89"/>
        <v>40.132307243083858</v>
      </c>
      <c r="AL86" s="22">
        <f t="shared" si="58"/>
        <v>343.08601778170441</v>
      </c>
      <c r="AM86" s="58">
        <f t="shared" si="59"/>
        <v>614.97076325880789</v>
      </c>
      <c r="AN86" s="58">
        <f ca="1">AVERAGE(OFFSET($AM$3,0,0,'Données projet'!$E$10+1,1))-AVERAGE(OFFSET($H$3,0,0,'Données projet'!$E$10+1,1))</f>
        <v>302.53318056366777</v>
      </c>
      <c r="AO86" s="58">
        <f t="shared" si="90"/>
        <v>318.32262615164541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0.62802246319499577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0.62802246319499577</v>
      </c>
      <c r="AY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9.1000000000003638</v>
      </c>
      <c r="BE86" s="14">
        <f>BD86*VLOOKUP('Données projet'!$B$11,Paramètres!$A$1:$I$89,3,0)*VLOOKUP('Données projet'!$B$11,Paramètres!$A$1:$I$89,5,0)</f>
        <v>7.2399600000002895</v>
      </c>
      <c r="BF86" s="14">
        <f t="shared" si="91"/>
        <v>2.6498112636338633</v>
      </c>
      <c r="BG86" s="22">
        <f t="shared" si="61"/>
        <v>17.224684950829481</v>
      </c>
      <c r="BH86" s="58">
        <f t="shared" si="62"/>
        <v>289.10943042793298</v>
      </c>
      <c r="BI86" s="58">
        <f ca="1">AVERAGE(OFFSET($BH$3,0,0,'Données projet'!$E$11+1,1))-AVERAGE(OFFSET($H$3,0,0,'Données projet'!$E$11+1,1))</f>
        <v>336.25341821407534</v>
      </c>
      <c r="BJ86" s="58">
        <f t="shared" si="92"/>
        <v>360.3246221345039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1.1962964890881425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1.1962964890881425</v>
      </c>
      <c r="BT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</v>
      </c>
      <c r="BY86" s="13">
        <f>IF('Données projet'!$A$114&gt;35,BY85+BX86-CG85,IF(A86&lt;'Données projet'!$A$114,$BV$205^A86,IF(A86='Données projet'!$A$114,'Données projet'!$B$114,BY85+BX86-CG85)))</f>
        <v>233.00000000000009</v>
      </c>
      <c r="BZ86" s="14">
        <f>BY86*VLOOKUP('Données projet'!$B$12,Paramètres!$A$1:$I$89,3,0)*VLOOKUP('Données projet'!$B$12,Paramètres!$A$1:$I$89,5,0)</f>
        <v>189.00960000000009</v>
      </c>
      <c r="CA86" s="14">
        <f t="shared" si="93"/>
        <v>47.320922915876508</v>
      </c>
      <c r="CB86" s="22">
        <f t="shared" si="64"/>
        <v>411.60899407848507</v>
      </c>
      <c r="CC86" s="58">
        <f t="shared" si="65"/>
        <v>683.49373955558849</v>
      </c>
      <c r="CD86" s="58">
        <f ca="1">AVERAGE(OFFSET($CC$3,0,0,'Données projet'!$E$12+1,1))-AVERAGE(OFFSET($H$3,0,0,'Données projet'!$E$12+1,1))</f>
        <v>308.58270639204238</v>
      </c>
      <c r="CE86" s="58">
        <f t="shared" si="94"/>
        <v>258.90832875500325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3.8461538461538454</v>
      </c>
      <c r="CT86" s="13">
        <f>IF('Données projet'!$A$140&gt;35,CT85+CS86-DB85,IF(A86&lt;'Données projet'!$A$140,$CQ$205^A86,IF(A86='Données projet'!$A$140,'Données projet'!$B$140,CT85+CS86-DB85)))</f>
        <v>211.53846153846146</v>
      </c>
      <c r="CU86" s="18">
        <f>CT86*VLOOKUP('Données projet'!$B$13,Paramètres!$A$1:$I$89,3,0)*VLOOKUP('Données projet'!$B$13,Paramètres!$A$1:$I$89,5,0)</f>
        <v>201.29999999999993</v>
      </c>
      <c r="CV86" s="14">
        <f t="shared" si="95"/>
        <v>50.029760558277118</v>
      </c>
      <c r="CW86" s="22">
        <f t="shared" si="67"/>
        <v>437.73266630566582</v>
      </c>
      <c r="CX86" s="58">
        <f t="shared" si="68"/>
        <v>709.6174117827693</v>
      </c>
      <c r="CY86" s="58">
        <f ca="1">AVERAGE(OFFSET($CX$3,0,0,'Données projet'!$E$13+1,1))-AVERAGE(OFFSET($H$3,0,0,'Données projet'!$E$13+1,1))</f>
        <v>397.61813291201469</v>
      </c>
      <c r="CZ86" s="58">
        <f t="shared" si="96"/>
        <v>320.30651625485064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0.73087168526584934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0.73087168526584934</v>
      </c>
      <c r="DJ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58" t="e">
        <f t="shared" si="71"/>
        <v>#N/A</v>
      </c>
      <c r="DT86" s="58" t="e">
        <f ca="1">AVERAGE(OFFSET($DS$3,0,0,'Données projet'!$E$14+1,1))-AVERAGE(OFFSET($H$3,0,0,'Données projet'!$E$14+1,1))</f>
        <v>#N/A</v>
      </c>
      <c r="DU86" s="58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58" t="e">
        <f t="shared" si="74"/>
        <v>#N/A</v>
      </c>
      <c r="EO86" s="58" t="e">
        <f ca="1">AVERAGE(OFFSET($EN$3,0,0,'Données projet'!$E$15+1,1))-AVERAGE(OFFSET($H$3,0,0,'Données projet'!$E$15+1,1))</f>
        <v>#N/A</v>
      </c>
      <c r="EP86" s="58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58" t="e">
        <f t="shared" si="77"/>
        <v>#N/A</v>
      </c>
      <c r="FJ86" s="58" t="e">
        <f ca="1">AVERAGE(OFFSET($FI$3,0,0,'Données projet'!$E$16+1,1))-AVERAGE(OFFSET($H$3,0,0,'Données projet'!$E$16+1,1))</f>
        <v>#N/A</v>
      </c>
      <c r="FK86" s="58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58" t="e">
        <f t="shared" si="80"/>
        <v>#N/A</v>
      </c>
      <c r="GE86" s="58" t="e">
        <f ca="1">AVERAGE(OFFSET($GD$3,0,0,'Données projet'!$E$17+1,1))-AVERAGE(OFFSET($H$3,0,0,'Données projet'!$E$17+1,1))</f>
        <v>#N/A</v>
      </c>
      <c r="GF86" s="58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58" t="e">
        <f t="shared" si="83"/>
        <v>#N/A</v>
      </c>
      <c r="GZ86" s="58" t="e">
        <f ca="1">AVERAGE(OFFSET($GY$3,0,0,'Données projet'!$E$18+1,1))-AVERAGE(OFFSET($H$3,0,0,'Données projet'!$E$18+1,1))</f>
        <v>#N/A</v>
      </c>
      <c r="HA86" s="58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0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3">
        <f t="shared" si="56"/>
        <v>183.33333333333334</v>
      </c>
      <c r="I87" s="6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6.6</v>
      </c>
      <c r="N87" s="14">
        <f>IF('Données projet'!$A$36&gt;35,N86+M87-V86,IF(A87&lt;'Données projet'!$A$36,$K$205^A87,IF(A87='Données projet'!$A$36,'Données projet'!$B$36,N86+M87-V86)))</f>
        <v>346.40000000000009</v>
      </c>
      <c r="O87" s="14">
        <f>N87*VLOOKUP('Données projet'!$B$9,Paramètres!$A$1:$I$89,3,0)*VLOOKUP('Données projet'!$B$9,Paramètres!$A$1:$I$89,5,0)</f>
        <v>291.80736000000013</v>
      </c>
      <c r="P87" s="14">
        <f t="shared" si="87"/>
        <v>69.456213566155327</v>
      </c>
      <c r="Q87" s="22">
        <f t="shared" si="54"/>
        <v>629.200723961054</v>
      </c>
      <c r="R87" s="58">
        <f t="shared" si="55"/>
        <v>901.45755448560431</v>
      </c>
      <c r="S87" s="58">
        <f ca="1">AVERAGE(OFFSET($R$3,0,0,'Données projet'!$E$9+1,1))-AVERAGE(OFFSET($H$3,0,0,'Données projet'!$E$9+1,1))</f>
        <v>527.70171871461309</v>
      </c>
      <c r="T87" s="58">
        <f t="shared" si="88"/>
        <v>281.06176764290592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3.8</v>
      </c>
      <c r="AI87" s="14">
        <f>IF('Données projet'!$A$62&gt;35,AI86+AH87-AQ86,IF(A87&lt;'Données projet'!$A$62,$AF$205^A87,IF(A87='Données projet'!$A$62,'Données projet'!$B$62,AI86+AH87-AQ86)))</f>
        <v>243.20000000000005</v>
      </c>
      <c r="AJ87" s="14">
        <f>AI87*VLOOKUP('Données projet'!$B$10,Paramètres!$A$1:$I$89,3,0)*VLOOKUP('Données projet'!$B$10,Paramètres!$A$1:$I$89,5,0)</f>
        <v>159.34464000000003</v>
      </c>
      <c r="AK87" s="14">
        <f t="shared" si="89"/>
        <v>40.694661837553809</v>
      </c>
      <c r="AL87" s="22">
        <f t="shared" si="58"/>
        <v>348.4017840337396</v>
      </c>
      <c r="AM87" s="58">
        <f t="shared" si="59"/>
        <v>620.65861455828986</v>
      </c>
      <c r="AN87" s="58">
        <f ca="1">AVERAGE(OFFSET($AM$3,0,0,'Données projet'!$E$10+1,1))-AVERAGE(OFFSET($H$3,0,0,'Données projet'!$E$10+1,1))</f>
        <v>302.53318056366777</v>
      </c>
      <c r="AO87" s="58">
        <f t="shared" si="90"/>
        <v>318.32262615164541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0.61084915591266264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0.61084915591266264</v>
      </c>
      <c r="AY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9.1000000000003638</v>
      </c>
      <c r="BE87" s="14">
        <f>BD87*VLOOKUP('Données projet'!$B$11,Paramètres!$A$1:$I$89,3,0)*VLOOKUP('Données projet'!$B$11,Paramètres!$A$1:$I$89,5,0)</f>
        <v>7.2399600000002895</v>
      </c>
      <c r="BF87" s="14">
        <f t="shared" si="91"/>
        <v>2.6498112636338633</v>
      </c>
      <c r="BG87" s="22">
        <f t="shared" si="61"/>
        <v>17.224684950829481</v>
      </c>
      <c r="BH87" s="58">
        <f t="shared" si="62"/>
        <v>289.48151547537981</v>
      </c>
      <c r="BI87" s="58">
        <f ca="1">AVERAGE(OFFSET($BH$3,0,0,'Données projet'!$E$11+1,1))-AVERAGE(OFFSET($H$3,0,0,'Données projet'!$E$11+1,1))</f>
        <v>336.25341821407534</v>
      </c>
      <c r="BJ87" s="58">
        <f t="shared" si="92"/>
        <v>360.3246221345039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1.1635836986835291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1.1635836986835291</v>
      </c>
      <c r="BT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</v>
      </c>
      <c r="BY87" s="13">
        <f>IF('Données projet'!$A$114&gt;35,BY86+BX87-CG86,IF(A87&lt;'Données projet'!$A$114,$BV$205^A87,IF(A87='Données projet'!$A$114,'Données projet'!$B$114,BY86+BX87-CG86)))</f>
        <v>237.00000000000009</v>
      </c>
      <c r="BZ87" s="14">
        <f>BY87*VLOOKUP('Données projet'!$B$12,Paramètres!$A$1:$I$89,3,0)*VLOOKUP('Données projet'!$B$12,Paramètres!$A$1:$I$89,5,0)</f>
        <v>192.25440000000009</v>
      </c>
      <c r="CA87" s="14">
        <f t="shared" si="93"/>
        <v>48.038026007842433</v>
      </c>
      <c r="CB87" s="22">
        <f t="shared" si="64"/>
        <v>418.50930863032568</v>
      </c>
      <c r="CC87" s="58">
        <f t="shared" si="65"/>
        <v>690.76613915487599</v>
      </c>
      <c r="CD87" s="58">
        <f ca="1">AVERAGE(OFFSET($CC$3,0,0,'Données projet'!$E$12+1,1))-AVERAGE(OFFSET($H$3,0,0,'Données projet'!$E$12+1,1))</f>
        <v>308.58270639204238</v>
      </c>
      <c r="CE87" s="58">
        <f t="shared" si="94"/>
        <v>258.90832875500325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3.8461538461538454</v>
      </c>
      <c r="CT87" s="13">
        <f>IF('Données projet'!$A$140&gt;35,CT86+CS87-DB86,IF(A87&lt;'Données projet'!$A$140,$CQ$205^A87,IF(A87='Données projet'!$A$140,'Données projet'!$B$140,CT86+CS87-DB86)))</f>
        <v>215.3846153846153</v>
      </c>
      <c r="CU87" s="18">
        <f>CT87*VLOOKUP('Données projet'!$B$13,Paramètres!$A$1:$I$89,3,0)*VLOOKUP('Données projet'!$B$13,Paramètres!$A$1:$I$89,5,0)</f>
        <v>204.95999999999992</v>
      </c>
      <c r="CV87" s="14">
        <f t="shared" si="95"/>
        <v>50.832666587809335</v>
      </c>
      <c r="CW87" s="22">
        <f t="shared" si="67"/>
        <v>445.50556097376779</v>
      </c>
      <c r="CX87" s="58">
        <f t="shared" si="68"/>
        <v>717.76239149831804</v>
      </c>
      <c r="CY87" s="58">
        <f ca="1">AVERAGE(OFFSET($CX$3,0,0,'Données projet'!$E$13+1,1))-AVERAGE(OFFSET($H$3,0,0,'Données projet'!$E$13+1,1))</f>
        <v>397.61813291201469</v>
      </c>
      <c r="CZ87" s="58">
        <f t="shared" si="96"/>
        <v>320.30651625485064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0.71088596059738318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0.71088596059738318</v>
      </c>
      <c r="DJ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58" t="e">
        <f t="shared" si="71"/>
        <v>#N/A</v>
      </c>
      <c r="DT87" s="58" t="e">
        <f ca="1">AVERAGE(OFFSET($DS$3,0,0,'Données projet'!$E$14+1,1))-AVERAGE(OFFSET($H$3,0,0,'Données projet'!$E$14+1,1))</f>
        <v>#N/A</v>
      </c>
      <c r="DU87" s="58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58" t="e">
        <f t="shared" si="74"/>
        <v>#N/A</v>
      </c>
      <c r="EO87" s="58" t="e">
        <f ca="1">AVERAGE(OFFSET($EN$3,0,0,'Données projet'!$E$15+1,1))-AVERAGE(OFFSET($H$3,0,0,'Données projet'!$E$15+1,1))</f>
        <v>#N/A</v>
      </c>
      <c r="EP87" s="58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58" t="e">
        <f t="shared" si="77"/>
        <v>#N/A</v>
      </c>
      <c r="FJ87" s="58" t="e">
        <f ca="1">AVERAGE(OFFSET($FI$3,0,0,'Données projet'!$E$16+1,1))-AVERAGE(OFFSET($H$3,0,0,'Données projet'!$E$16+1,1))</f>
        <v>#N/A</v>
      </c>
      <c r="FK87" s="58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58" t="e">
        <f t="shared" si="80"/>
        <v>#N/A</v>
      </c>
      <c r="GE87" s="58" t="e">
        <f ca="1">AVERAGE(OFFSET($GD$3,0,0,'Données projet'!$E$17+1,1))-AVERAGE(OFFSET($H$3,0,0,'Données projet'!$E$17+1,1))</f>
        <v>#N/A</v>
      </c>
      <c r="GF87" s="58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58" t="e">
        <f t="shared" si="83"/>
        <v>#N/A</v>
      </c>
      <c r="GZ87" s="58" t="e">
        <f ca="1">AVERAGE(OFFSET($GY$3,0,0,'Données projet'!$E$18+1,1))-AVERAGE(OFFSET($H$3,0,0,'Données projet'!$E$18+1,1))</f>
        <v>#N/A</v>
      </c>
      <c r="HA87" s="58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0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3">
        <f t="shared" si="56"/>
        <v>183.33333333333334</v>
      </c>
      <c r="I88" s="6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6.6</v>
      </c>
      <c r="N88" s="14">
        <f>IF('Données projet'!$A$36&gt;35,N87+M88-V87,IF(A88&lt;'Données projet'!$A$36,$K$205^A88,IF(A88='Données projet'!$A$36,'Données projet'!$B$36,N87+M88-V87)))</f>
        <v>353.00000000000011</v>
      </c>
      <c r="O88" s="14">
        <f>N88*VLOOKUP('Données projet'!$B$9,Paramètres!$A$1:$I$89,3,0)*VLOOKUP('Données projet'!$B$9,Paramètres!$A$1:$I$89,5,0)</f>
        <v>297.36720000000008</v>
      </c>
      <c r="P88" s="14">
        <f t="shared" si="87"/>
        <v>70.624244635156032</v>
      </c>
      <c r="Q88" s="22">
        <f t="shared" si="54"/>
        <v>640.91843273956351</v>
      </c>
      <c r="R88" s="58">
        <f t="shared" si="55"/>
        <v>913.54089346784508</v>
      </c>
      <c r="S88" s="58">
        <f ca="1">AVERAGE(OFFSET($R$3,0,0,'Données projet'!$E$9+1,1))-AVERAGE(OFFSET($H$3,0,0,'Données projet'!$E$9+1,1))</f>
        <v>527.70171871461309</v>
      </c>
      <c r="T88" s="58">
        <f t="shared" si="88"/>
        <v>281.06176764290592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247</v>
      </c>
      <c r="AG88" s="13">
        <f>VLOOKUP(A88,'Données projet'!$A$61:$I$81,9,0)</f>
        <v>3.8</v>
      </c>
      <c r="AH88" s="13">
        <f t="array" ref="AH88">INDEX(AG:AG,MIN(IF(ISNUMBER(AG88:AG284),ROW(AG88:AG284),"")))</f>
        <v>3.8</v>
      </c>
      <c r="AI88" s="14">
        <f>IF('Données projet'!$A$62&gt;35,AI87+AH88-AQ87,IF(A88&lt;'Données projet'!$A$62,$AF$205^A88,IF(A88='Données projet'!$A$62,'Données projet'!$B$62,AI87+AH88-AQ87)))</f>
        <v>247.00000000000006</v>
      </c>
      <c r="AJ88" s="14">
        <f>AI88*VLOOKUP('Données projet'!$B$10,Paramètres!$A$1:$I$89,3,0)*VLOOKUP('Données projet'!$B$10,Paramètres!$A$1:$I$89,5,0)</f>
        <v>161.83440000000004</v>
      </c>
      <c r="AK88" s="14">
        <f t="shared" si="89"/>
        <v>41.25599453517048</v>
      </c>
      <c r="AL88" s="22">
        <f t="shared" si="58"/>
        <v>353.71577048208866</v>
      </c>
      <c r="AM88" s="58">
        <f t="shared" si="59"/>
        <v>626.33823121037017</v>
      </c>
      <c r="AN88" s="58">
        <f ca="1">AVERAGE(OFFSET($AM$3,0,0,'Données projet'!$E$10+1,1))-AVERAGE(OFFSET($H$3,0,0,'Données projet'!$E$10+1,1))</f>
        <v>302.53318056366777</v>
      </c>
      <c r="AO88" s="58">
        <f t="shared" si="90"/>
        <v>318.32262615164541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0.59414545362106985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0.59414545362106985</v>
      </c>
      <c r="AY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9.1000000000003638</v>
      </c>
      <c r="BE88" s="14">
        <f>BD88*VLOOKUP('Données projet'!$B$11,Paramètres!$A$1:$I$89,3,0)*VLOOKUP('Données projet'!$B$11,Paramètres!$A$1:$I$89,5,0)</f>
        <v>7.2399600000002895</v>
      </c>
      <c r="BF88" s="14">
        <f t="shared" si="91"/>
        <v>2.6498112636338633</v>
      </c>
      <c r="BG88" s="22">
        <f t="shared" si="61"/>
        <v>17.224684950829481</v>
      </c>
      <c r="BH88" s="58">
        <f t="shared" si="62"/>
        <v>289.84714567911101</v>
      </c>
      <c r="BI88" s="58">
        <f ca="1">AVERAGE(OFFSET($BH$3,0,0,'Données projet'!$E$11+1,1))-AVERAGE(OFFSET($H$3,0,0,'Données projet'!$E$11+1,1))</f>
        <v>336.25341821407534</v>
      </c>
      <c r="BJ88" s="58">
        <f t="shared" si="92"/>
        <v>360.3246221345039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1.1317654412528206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1.1317654412528206</v>
      </c>
      <c r="BT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241</v>
      </c>
      <c r="BW88" s="13">
        <f>VLOOKUP(A88,'Données projet'!$A$113:$I$133,9,0)</f>
        <v>4</v>
      </c>
      <c r="BX88" s="13">
        <f t="array" ref="BX88">INDEX(BW:BW,MIN(IF(ISNUMBER(BW88:BW284),ROW(BW88:BW284),"")))</f>
        <v>4</v>
      </c>
      <c r="BY88" s="13">
        <f>IF('Données projet'!$A$114&gt;35,BY87+BX88-CG87,IF(A88&lt;'Données projet'!$A$114,$BV$205^A88,IF(A88='Données projet'!$A$114,'Données projet'!$B$114,BY87+BX88-CG87)))</f>
        <v>241.00000000000009</v>
      </c>
      <c r="BZ88" s="14">
        <f>BY88*VLOOKUP('Données projet'!$B$12,Paramètres!$A$1:$I$89,3,0)*VLOOKUP('Données projet'!$B$12,Paramètres!$A$1:$I$89,5,0)</f>
        <v>195.49920000000009</v>
      </c>
      <c r="CA88" s="14">
        <f t="shared" si="93"/>
        <v>48.753721622209305</v>
      </c>
      <c r="CB88" s="22">
        <f t="shared" si="64"/>
        <v>425.40717182534803</v>
      </c>
      <c r="CC88" s="58">
        <f t="shared" si="65"/>
        <v>698.02963255362954</v>
      </c>
      <c r="CD88" s="58">
        <f ca="1">AVERAGE(OFFSET($CC$3,0,0,'Données projet'!$E$12+1,1))-AVERAGE(OFFSET($H$3,0,0,'Données projet'!$E$12+1,1))</f>
        <v>308.58270639204238</v>
      </c>
      <c r="CE88" s="58">
        <f t="shared" si="94"/>
        <v>258.90832875500325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219.23076923076923</v>
      </c>
      <c r="CR88" s="13">
        <f>VLOOKUP(A88,'Données projet'!$A$139:$I$159,9,0)</f>
        <v>3.8461538461538454</v>
      </c>
      <c r="CS88" s="13">
        <f t="array" ref="CS88">INDEX(CR:CR,MIN(IF(ISNUMBER(CR88:CR284),ROW(CR88:CR284),"")))</f>
        <v>3.8461538461538454</v>
      </c>
      <c r="CT88" s="13">
        <f>IF('Données projet'!$A$140&gt;35,CT87+CS88-DB87,IF(A88&lt;'Données projet'!$A$140,$CQ$205^A88,IF(A88='Données projet'!$A$140,'Données projet'!$B$140,CT87+CS88-DB87)))</f>
        <v>219.23076923076914</v>
      </c>
      <c r="CU88" s="18">
        <f>CT88*VLOOKUP('Données projet'!$B$13,Paramètres!$A$1:$I$89,3,0)*VLOOKUP('Données projet'!$B$13,Paramètres!$A$1:$I$89,5,0)</f>
        <v>208.61999999999992</v>
      </c>
      <c r="CV88" s="14">
        <f t="shared" si="95"/>
        <v>51.63390535939368</v>
      </c>
      <c r="CW88" s="22">
        <f t="shared" si="67"/>
        <v>453.27555183427711</v>
      </c>
      <c r="CX88" s="58">
        <f t="shared" si="68"/>
        <v>725.89801256255862</v>
      </c>
      <c r="CY88" s="58">
        <f ca="1">AVERAGE(OFFSET($CX$3,0,0,'Données projet'!$E$13+1,1))-AVERAGE(OFFSET($H$3,0,0,'Données projet'!$E$13+1,1))</f>
        <v>397.61813291201469</v>
      </c>
      <c r="CZ88" s="58">
        <f t="shared" si="96"/>
        <v>320.30651625485064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0.69144674662097982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0.69144674662097982</v>
      </c>
      <c r="DJ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58" t="e">
        <f t="shared" si="71"/>
        <v>#N/A</v>
      </c>
      <c r="DT88" s="58" t="e">
        <f ca="1">AVERAGE(OFFSET($DS$3,0,0,'Données projet'!$E$14+1,1))-AVERAGE(OFFSET($H$3,0,0,'Données projet'!$E$14+1,1))</f>
        <v>#N/A</v>
      </c>
      <c r="DU88" s="58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58" t="e">
        <f t="shared" si="74"/>
        <v>#N/A</v>
      </c>
      <c r="EO88" s="58" t="e">
        <f ca="1">AVERAGE(OFFSET($EN$3,0,0,'Données projet'!$E$15+1,1))-AVERAGE(OFFSET($H$3,0,0,'Données projet'!$E$15+1,1))</f>
        <v>#N/A</v>
      </c>
      <c r="EP88" s="58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58" t="e">
        <f t="shared" si="77"/>
        <v>#N/A</v>
      </c>
      <c r="FJ88" s="58" t="e">
        <f ca="1">AVERAGE(OFFSET($FI$3,0,0,'Données projet'!$E$16+1,1))-AVERAGE(OFFSET($H$3,0,0,'Données projet'!$E$16+1,1))</f>
        <v>#N/A</v>
      </c>
      <c r="FK88" s="58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58" t="e">
        <f t="shared" si="80"/>
        <v>#N/A</v>
      </c>
      <c r="GE88" s="58" t="e">
        <f ca="1">AVERAGE(OFFSET($GD$3,0,0,'Données projet'!$E$17+1,1))-AVERAGE(OFFSET($H$3,0,0,'Données projet'!$E$17+1,1))</f>
        <v>#N/A</v>
      </c>
      <c r="GF88" s="58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58" t="e">
        <f t="shared" si="83"/>
        <v>#N/A</v>
      </c>
      <c r="GZ88" s="58" t="e">
        <f ca="1">AVERAGE(OFFSET($GY$3,0,0,'Données projet'!$E$18+1,1))-AVERAGE(OFFSET($H$3,0,0,'Données projet'!$E$18+1,1))</f>
        <v>#N/A</v>
      </c>
      <c r="HA88" s="58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0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3">
        <f t="shared" si="56"/>
        <v>183.33333333333334</v>
      </c>
      <c r="I89" s="6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6.6</v>
      </c>
      <c r="N89" s="14">
        <f>IF('Données projet'!$A$36&gt;35,N88+M89-V88,IF(A89&lt;'Données projet'!$A$36,$K$205^A89,IF(A89='Données projet'!$A$36,'Données projet'!$B$36,N88+M89-V88)))</f>
        <v>359.60000000000014</v>
      </c>
      <c r="O89" s="14">
        <f>N89*VLOOKUP('Données projet'!$B$9,Paramètres!$A$1:$I$89,3,0)*VLOOKUP('Données projet'!$B$9,Paramètres!$A$1:$I$89,5,0)</f>
        <v>302.92704000000015</v>
      </c>
      <c r="P89" s="14">
        <f t="shared" si="87"/>
        <v>71.789736305653022</v>
      </c>
      <c r="Q89" s="22">
        <f t="shared" si="54"/>
        <v>652.63171873234603</v>
      </c>
      <c r="R89" s="58">
        <f t="shared" si="55"/>
        <v>925.61346679775079</v>
      </c>
      <c r="S89" s="58">
        <f ca="1">AVERAGE(OFFSET($R$3,0,0,'Données projet'!$E$9+1,1))-AVERAGE(OFFSET($H$3,0,0,'Données projet'!$E$9+1,1))</f>
        <v>527.70171871461309</v>
      </c>
      <c r="T89" s="58">
        <f t="shared" si="88"/>
        <v>281.06176764290592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3.6</v>
      </c>
      <c r="AI89" s="14">
        <f>IF('Données projet'!$A$62&gt;35,AI88+AH89-AQ88,IF(A89&lt;'Données projet'!$A$62,$AF$205^A89,IF(A89='Données projet'!$A$62,'Données projet'!$B$62,AI88+AH89-AQ88)))</f>
        <v>250.60000000000005</v>
      </c>
      <c r="AJ89" s="14">
        <f>AI89*VLOOKUP('Données projet'!$B$10,Paramètres!$A$1:$I$89,3,0)*VLOOKUP('Données projet'!$B$10,Paramètres!$A$1:$I$89,5,0)</f>
        <v>164.19312000000005</v>
      </c>
      <c r="AK89" s="14">
        <f t="shared" si="89"/>
        <v>41.786856670339013</v>
      </c>
      <c r="AL89" s="22">
        <f t="shared" si="58"/>
        <v>358.74845936750717</v>
      </c>
      <c r="AM89" s="58">
        <f t="shared" si="59"/>
        <v>631.73020743291181</v>
      </c>
      <c r="AN89" s="58">
        <f ca="1">AVERAGE(OFFSET($AM$3,0,0,'Données projet'!$E$10+1,1))-AVERAGE(OFFSET($H$3,0,0,'Données projet'!$E$10+1,1))</f>
        <v>302.53318056366777</v>
      </c>
      <c r="AO89" s="58">
        <f t="shared" si="90"/>
        <v>318.32262615164541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0.57789851494705025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0.57789851494705025</v>
      </c>
      <c r="AY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9.1000000000003638</v>
      </c>
      <c r="BE89" s="14">
        <f>BD89*VLOOKUP('Données projet'!$B$11,Paramètres!$A$1:$I$89,3,0)*VLOOKUP('Données projet'!$B$11,Paramètres!$A$1:$I$89,5,0)</f>
        <v>7.2399600000002895</v>
      </c>
      <c r="BF89" s="14">
        <f t="shared" si="91"/>
        <v>2.6498112636338633</v>
      </c>
      <c r="BG89" s="22">
        <f t="shared" si="61"/>
        <v>17.224684950829481</v>
      </c>
      <c r="BH89" s="58">
        <f t="shared" si="62"/>
        <v>290.2064330162342</v>
      </c>
      <c r="BI89" s="58">
        <f ca="1">AVERAGE(OFFSET($BH$3,0,0,'Données projet'!$E$11+1,1))-AVERAGE(OFFSET($H$3,0,0,'Données projet'!$E$11+1,1))</f>
        <v>336.25341821407534</v>
      </c>
      <c r="BJ89" s="58">
        <f t="shared" si="92"/>
        <v>360.3246221345039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1.1008172557448044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1.1008172557448044</v>
      </c>
      <c r="BT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3.6</v>
      </c>
      <c r="BY89" s="13">
        <f>IF('Données projet'!$A$114&gt;35,BY88+BX89-CG88,IF(A89&lt;'Données projet'!$A$114,$BV$205^A89,IF(A89='Données projet'!$A$114,'Données projet'!$B$114,BY88+BX89-CG88)))</f>
        <v>244.60000000000008</v>
      </c>
      <c r="BZ89" s="14">
        <f>BY89*VLOOKUP('Données projet'!$B$12,Paramètres!$A$1:$I$89,3,0)*VLOOKUP('Données projet'!$B$12,Paramètres!$A$1:$I$89,5,0)</f>
        <v>198.41952000000009</v>
      </c>
      <c r="CA89" s="14">
        <f t="shared" si="93"/>
        <v>49.396665836729724</v>
      </c>
      <c r="CB89" s="22">
        <f t="shared" si="64"/>
        <v>431.61319033230438</v>
      </c>
      <c r="CC89" s="58">
        <f t="shared" si="65"/>
        <v>704.59493839770903</v>
      </c>
      <c r="CD89" s="58">
        <f ca="1">AVERAGE(OFFSET($CC$3,0,0,'Données projet'!$E$12+1,1))-AVERAGE(OFFSET($H$3,0,0,'Données projet'!$E$12+1,1))</f>
        <v>308.58270639204238</v>
      </c>
      <c r="CE89" s="58">
        <f t="shared" si="94"/>
        <v>258.90832875500325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3.5897435897435912</v>
      </c>
      <c r="CT89" s="13">
        <f>IF('Données projet'!$A$140&gt;35,CT88+CS89-DB88,IF(A89&lt;'Données projet'!$A$140,$CQ$205^A89,IF(A89='Données projet'!$A$140,'Données projet'!$B$140,CT88+CS89-DB88)))</f>
        <v>222.82051282051273</v>
      </c>
      <c r="CU89" s="18">
        <f>CT89*VLOOKUP('Données projet'!$B$13,Paramètres!$A$1:$I$89,3,0)*VLOOKUP('Données projet'!$B$13,Paramètres!$A$1:$I$89,5,0)</f>
        <v>212.03599999999992</v>
      </c>
      <c r="CV89" s="14">
        <f t="shared" si="95"/>
        <v>52.380252774201118</v>
      </c>
      <c r="CW89" s="22">
        <f t="shared" si="67"/>
        <v>460.52497358173349</v>
      </c>
      <c r="CX89" s="58">
        <f t="shared" si="68"/>
        <v>733.50672164713819</v>
      </c>
      <c r="CY89" s="58">
        <f ca="1">AVERAGE(OFFSET($CX$3,0,0,'Données projet'!$E$13+1,1))-AVERAGE(OFFSET($H$3,0,0,'Données projet'!$E$13+1,1))</f>
        <v>397.61813291201469</v>
      </c>
      <c r="CZ89" s="58">
        <f t="shared" si="96"/>
        <v>320.30651625485064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0.672539098973025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0.672539098973025</v>
      </c>
      <c r="DJ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58" t="e">
        <f t="shared" si="71"/>
        <v>#N/A</v>
      </c>
      <c r="DT89" s="58" t="e">
        <f ca="1">AVERAGE(OFFSET($DS$3,0,0,'Données projet'!$E$14+1,1))-AVERAGE(OFFSET($H$3,0,0,'Données projet'!$E$14+1,1))</f>
        <v>#N/A</v>
      </c>
      <c r="DU89" s="58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58" t="e">
        <f t="shared" si="74"/>
        <v>#N/A</v>
      </c>
      <c r="EO89" s="58" t="e">
        <f ca="1">AVERAGE(OFFSET($EN$3,0,0,'Données projet'!$E$15+1,1))-AVERAGE(OFFSET($H$3,0,0,'Données projet'!$E$15+1,1))</f>
        <v>#N/A</v>
      </c>
      <c r="EP89" s="58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58" t="e">
        <f t="shared" si="77"/>
        <v>#N/A</v>
      </c>
      <c r="FJ89" s="58" t="e">
        <f ca="1">AVERAGE(OFFSET($FI$3,0,0,'Données projet'!$E$16+1,1))-AVERAGE(OFFSET($H$3,0,0,'Données projet'!$E$16+1,1))</f>
        <v>#N/A</v>
      </c>
      <c r="FK89" s="58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58" t="e">
        <f t="shared" si="80"/>
        <v>#N/A</v>
      </c>
      <c r="GE89" s="58" t="e">
        <f ca="1">AVERAGE(OFFSET($GD$3,0,0,'Données projet'!$E$17+1,1))-AVERAGE(OFFSET($H$3,0,0,'Données projet'!$E$17+1,1))</f>
        <v>#N/A</v>
      </c>
      <c r="GF89" s="58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58" t="e">
        <f t="shared" si="83"/>
        <v>#N/A</v>
      </c>
      <c r="GZ89" s="58" t="e">
        <f ca="1">AVERAGE(OFFSET($GY$3,0,0,'Données projet'!$E$18+1,1))-AVERAGE(OFFSET($H$3,0,0,'Données projet'!$E$18+1,1))</f>
        <v>#N/A</v>
      </c>
      <c r="HA89" s="58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0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3">
        <f t="shared" si="56"/>
        <v>183.33333333333334</v>
      </c>
      <c r="I90" s="6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6.6</v>
      </c>
      <c r="N90" s="14">
        <f>IF('Données projet'!$A$36&gt;35,N89+M90-V89,IF(A90&lt;'Données projet'!$A$36,$K$205^A90,IF(A90='Données projet'!$A$36,'Données projet'!$B$36,N89+M90-V89)))</f>
        <v>366.20000000000016</v>
      </c>
      <c r="O90" s="14">
        <f>N90*VLOOKUP('Données projet'!$B$9,Paramètres!$A$1:$I$89,3,0)*VLOOKUP('Données projet'!$B$9,Paramètres!$A$1:$I$89,5,0)</f>
        <v>308.48688000000016</v>
      </c>
      <c r="P90" s="14">
        <f t="shared" si="87"/>
        <v>72.952740560520368</v>
      </c>
      <c r="Q90" s="22">
        <f t="shared" si="54"/>
        <v>664.34067247624</v>
      </c>
      <c r="R90" s="58">
        <f t="shared" si="55"/>
        <v>937.67547504671484</v>
      </c>
      <c r="S90" s="58">
        <f ca="1">AVERAGE(OFFSET($R$3,0,0,'Données projet'!$E$9+1,1))-AVERAGE(OFFSET($H$3,0,0,'Données projet'!$E$9+1,1))</f>
        <v>527.70171871461309</v>
      </c>
      <c r="T90" s="58">
        <f t="shared" si="88"/>
        <v>281.06176764290592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3.6</v>
      </c>
      <c r="AI90" s="14">
        <f>IF('Données projet'!$A$62&gt;35,AI89+AH90-AQ89,IF(A90&lt;'Données projet'!$A$62,$AF$205^A90,IF(A90='Données projet'!$A$62,'Données projet'!$B$62,AI89+AH90-AQ89)))</f>
        <v>254.20000000000005</v>
      </c>
      <c r="AJ90" s="14">
        <f>AI90*VLOOKUP('Données projet'!$B$10,Paramètres!$A$1:$I$89,3,0)*VLOOKUP('Données projet'!$B$10,Paramètres!$A$1:$I$89,5,0)</f>
        <v>166.55184000000003</v>
      </c>
      <c r="AK90" s="14">
        <f t="shared" si="89"/>
        <v>42.316831835556165</v>
      </c>
      <c r="AL90" s="22">
        <f t="shared" si="58"/>
        <v>363.77960344692701</v>
      </c>
      <c r="AM90" s="58">
        <f t="shared" si="59"/>
        <v>637.11440601740185</v>
      </c>
      <c r="AN90" s="58">
        <f ca="1">AVERAGE(OFFSET($AM$3,0,0,'Données projet'!$E$10+1,1))-AVERAGE(OFFSET($H$3,0,0,'Données projet'!$E$10+1,1))</f>
        <v>302.53318056366777</v>
      </c>
      <c r="AO90" s="58">
        <f t="shared" si="90"/>
        <v>318.32262615164541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0.56209584966546111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0.56209584966546111</v>
      </c>
      <c r="AY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9.1000000000003638</v>
      </c>
      <c r="BE90" s="14">
        <f>BD90*VLOOKUP('Données projet'!$B$11,Paramètres!$A$1:$I$89,3,0)*VLOOKUP('Données projet'!$B$11,Paramètres!$A$1:$I$89,5,0)</f>
        <v>7.2399600000002895</v>
      </c>
      <c r="BF90" s="14">
        <f t="shared" si="91"/>
        <v>2.6498112636338633</v>
      </c>
      <c r="BG90" s="22">
        <f t="shared" si="61"/>
        <v>17.224684950829481</v>
      </c>
      <c r="BH90" s="58">
        <f t="shared" si="62"/>
        <v>290.55948752130433</v>
      </c>
      <c r="BI90" s="58">
        <f ca="1">AVERAGE(OFFSET($BH$3,0,0,'Données projet'!$E$11+1,1))-AVERAGE(OFFSET($H$3,0,0,'Données projet'!$E$11+1,1))</f>
        <v>336.25341821407534</v>
      </c>
      <c r="BJ90" s="58">
        <f t="shared" si="92"/>
        <v>360.3246221345039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1.0707153499969992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1.0707153499969992</v>
      </c>
      <c r="BT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3.6</v>
      </c>
      <c r="BY90" s="13">
        <f>IF('Données projet'!$A$114&gt;35,BY89+BX90-CG89,IF(A90&lt;'Données projet'!$A$114,$BV$205^A90,IF(A90='Données projet'!$A$114,'Données projet'!$B$114,BY89+BX90-CG89)))</f>
        <v>248.20000000000007</v>
      </c>
      <c r="BZ90" s="14">
        <f>BY90*VLOOKUP('Données projet'!$B$12,Paramètres!$A$1:$I$89,3,0)*VLOOKUP('Données projet'!$B$12,Paramètres!$A$1:$I$89,5,0)</f>
        <v>201.33984000000009</v>
      </c>
      <c r="CA90" s="14">
        <f t="shared" si="93"/>
        <v>50.038509483090742</v>
      </c>
      <c r="CB90" s="22">
        <f t="shared" si="64"/>
        <v>437.81729201638319</v>
      </c>
      <c r="CC90" s="58">
        <f t="shared" si="65"/>
        <v>711.15209458685808</v>
      </c>
      <c r="CD90" s="58">
        <f ca="1">AVERAGE(OFFSET($CC$3,0,0,'Données projet'!$E$12+1,1))-AVERAGE(OFFSET($H$3,0,0,'Données projet'!$E$12+1,1))</f>
        <v>308.58270639204238</v>
      </c>
      <c r="CE90" s="58">
        <f t="shared" si="94"/>
        <v>258.90832875500325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3.5897435897435912</v>
      </c>
      <c r="CT90" s="13">
        <f>IF('Données projet'!$A$140&gt;35,CT89+CS90-DB89,IF(A90&lt;'Données projet'!$A$140,$CQ$205^A90,IF(A90='Données projet'!$A$140,'Données projet'!$B$140,CT89+CS90-DB89)))</f>
        <v>226.41025641025632</v>
      </c>
      <c r="CU90" s="18">
        <f>CT90*VLOOKUP('Données projet'!$B$13,Paramètres!$A$1:$I$89,3,0)*VLOOKUP('Données projet'!$B$13,Paramètres!$A$1:$I$89,5,0)</f>
        <v>215.45199999999988</v>
      </c>
      <c r="CV90" s="14">
        <f t="shared" si="95"/>
        <v>53.125201841889961</v>
      </c>
      <c r="CW90" s="22">
        <f t="shared" si="67"/>
        <v>467.77195987462483</v>
      </c>
      <c r="CX90" s="58">
        <f t="shared" si="68"/>
        <v>741.10676244509966</v>
      </c>
      <c r="CY90" s="58">
        <f ca="1">AVERAGE(OFFSET($CX$3,0,0,'Données projet'!$E$13+1,1))-AVERAGE(OFFSET($H$3,0,0,'Données projet'!$E$13+1,1))</f>
        <v>397.61813291201469</v>
      </c>
      <c r="CZ90" s="58">
        <f t="shared" si="96"/>
        <v>320.30651625485064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0.65414848194431352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0.65414848194431352</v>
      </c>
      <c r="DJ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58" t="e">
        <f t="shared" si="71"/>
        <v>#N/A</v>
      </c>
      <c r="DT90" s="58" t="e">
        <f ca="1">AVERAGE(OFFSET($DS$3,0,0,'Données projet'!$E$14+1,1))-AVERAGE(OFFSET($H$3,0,0,'Données projet'!$E$14+1,1))</f>
        <v>#N/A</v>
      </c>
      <c r="DU90" s="58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58" t="e">
        <f t="shared" si="74"/>
        <v>#N/A</v>
      </c>
      <c r="EO90" s="58" t="e">
        <f ca="1">AVERAGE(OFFSET($EN$3,0,0,'Données projet'!$E$15+1,1))-AVERAGE(OFFSET($H$3,0,0,'Données projet'!$E$15+1,1))</f>
        <v>#N/A</v>
      </c>
      <c r="EP90" s="58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58" t="e">
        <f t="shared" si="77"/>
        <v>#N/A</v>
      </c>
      <c r="FJ90" s="58" t="e">
        <f ca="1">AVERAGE(OFFSET($FI$3,0,0,'Données projet'!$E$16+1,1))-AVERAGE(OFFSET($H$3,0,0,'Données projet'!$E$16+1,1))</f>
        <v>#N/A</v>
      </c>
      <c r="FK90" s="58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58" t="e">
        <f t="shared" si="80"/>
        <v>#N/A</v>
      </c>
      <c r="GE90" s="58" t="e">
        <f ca="1">AVERAGE(OFFSET($GD$3,0,0,'Données projet'!$E$17+1,1))-AVERAGE(OFFSET($H$3,0,0,'Données projet'!$E$17+1,1))</f>
        <v>#N/A</v>
      </c>
      <c r="GF90" s="58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58" t="e">
        <f t="shared" si="83"/>
        <v>#N/A</v>
      </c>
      <c r="GZ90" s="58" t="e">
        <f ca="1">AVERAGE(OFFSET($GY$3,0,0,'Données projet'!$E$18+1,1))-AVERAGE(OFFSET($H$3,0,0,'Données projet'!$E$18+1,1))</f>
        <v>#N/A</v>
      </c>
      <c r="HA90" s="58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0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3">
        <f t="shared" si="56"/>
        <v>183.33333333333334</v>
      </c>
      <c r="I91" s="6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6.6</v>
      </c>
      <c r="N91" s="14">
        <f>IF('Données projet'!$A$36&gt;35,N90+M91-V90,IF(A91&lt;'Données projet'!$A$36,$K$205^A91,IF(A91='Données projet'!$A$36,'Données projet'!$B$36,N90+M91-V90)))</f>
        <v>372.80000000000018</v>
      </c>
      <c r="O91" s="14">
        <f>N91*VLOOKUP('Données projet'!$B$9,Paramètres!$A$1:$I$89,3,0)*VLOOKUP('Données projet'!$B$9,Paramètres!$A$1:$I$89,5,0)</f>
        <v>314.04672000000022</v>
      </c>
      <c r="P91" s="14">
        <f t="shared" si="87"/>
        <v>74.113307401568349</v>
      </c>
      <c r="Q91" s="22">
        <f t="shared" si="54"/>
        <v>676.0453810577319</v>
      </c>
      <c r="R91" s="58">
        <f t="shared" si="55"/>
        <v>949.7271134269256</v>
      </c>
      <c r="S91" s="58">
        <f ca="1">AVERAGE(OFFSET($R$3,0,0,'Données projet'!$E$9+1,1))-AVERAGE(OFFSET($H$3,0,0,'Données projet'!$E$9+1,1))</f>
        <v>527.70171871461309</v>
      </c>
      <c r="T91" s="58">
        <f t="shared" si="88"/>
        <v>281.06176764290592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3.6</v>
      </c>
      <c r="AI91" s="14">
        <f>IF('Données projet'!$A$62&gt;35,AI90+AH91-AQ90,IF(A91&lt;'Données projet'!$A$62,$AF$205^A91,IF(A91='Données projet'!$A$62,'Données projet'!$B$62,AI90+AH91-AQ90)))</f>
        <v>257.80000000000007</v>
      </c>
      <c r="AJ91" s="14">
        <f>AI91*VLOOKUP('Données projet'!$B$10,Paramètres!$A$1:$I$89,3,0)*VLOOKUP('Données projet'!$B$10,Paramètres!$A$1:$I$89,5,0)</f>
        <v>168.91056000000003</v>
      </c>
      <c r="AK91" s="14">
        <f t="shared" si="89"/>
        <v>42.845934043689041</v>
      </c>
      <c r="AL91" s="22">
        <f t="shared" si="58"/>
        <v>368.8092271260918</v>
      </c>
      <c r="AM91" s="58">
        <f t="shared" si="59"/>
        <v>642.49095949528555</v>
      </c>
      <c r="AN91" s="58">
        <f ca="1">AVERAGE(OFFSET($AM$3,0,0,'Données projet'!$E$10+1,1))-AVERAGE(OFFSET($H$3,0,0,'Données projet'!$E$10+1,1))</f>
        <v>302.53318056366777</v>
      </c>
      <c r="AO91" s="58">
        <f t="shared" si="90"/>
        <v>318.32262615164541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0.54672530909702299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0.54672530909702299</v>
      </c>
      <c r="AY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9.1000000000003638</v>
      </c>
      <c r="BE91" s="14">
        <f>BD91*VLOOKUP('Données projet'!$B$11,Paramètres!$A$1:$I$89,3,0)*VLOOKUP('Données projet'!$B$11,Paramètres!$A$1:$I$89,5,0)</f>
        <v>7.2399600000002895</v>
      </c>
      <c r="BF91" s="14">
        <f t="shared" si="91"/>
        <v>2.6498112636338633</v>
      </c>
      <c r="BG91" s="22">
        <f t="shared" si="61"/>
        <v>17.224684950829481</v>
      </c>
      <c r="BH91" s="58">
        <f t="shared" si="62"/>
        <v>290.90641732002319</v>
      </c>
      <c r="BI91" s="58">
        <f ca="1">AVERAGE(OFFSET($BH$3,0,0,'Données projet'!$E$11+1,1))-AVERAGE(OFFSET($H$3,0,0,'Données projet'!$E$11+1,1))</f>
        <v>336.25341821407534</v>
      </c>
      <c r="BJ91" s="58">
        <f t="shared" si="92"/>
        <v>360.3246221345039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1.0414365824448581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1.0414365824448581</v>
      </c>
      <c r="BT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3.6</v>
      </c>
      <c r="BY91" s="13">
        <f>IF('Données projet'!$A$114&gt;35,BY90+BX91-CG90,IF(A91&lt;'Données projet'!$A$114,$BV$205^A91,IF(A91='Données projet'!$A$114,'Données projet'!$B$114,BY90+BX91-CG90)))</f>
        <v>251.80000000000007</v>
      </c>
      <c r="BZ91" s="14">
        <f>BY91*VLOOKUP('Données projet'!$B$12,Paramètres!$A$1:$I$89,3,0)*VLOOKUP('Données projet'!$B$12,Paramètres!$A$1:$I$89,5,0)</f>
        <v>204.26016000000007</v>
      </c>
      <c r="CA91" s="14">
        <f t="shared" si="93"/>
        <v>50.679270368736539</v>
      </c>
      <c r="CB91" s="22">
        <f t="shared" si="64"/>
        <v>444.01950789221627</v>
      </c>
      <c r="CC91" s="58">
        <f t="shared" si="65"/>
        <v>717.70124026141002</v>
      </c>
      <c r="CD91" s="58">
        <f ca="1">AVERAGE(OFFSET($CC$3,0,0,'Données projet'!$E$12+1,1))-AVERAGE(OFFSET($H$3,0,0,'Données projet'!$E$12+1,1))</f>
        <v>308.58270639204238</v>
      </c>
      <c r="CE91" s="58">
        <f t="shared" si="94"/>
        <v>258.90832875500325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3.5897435897435912</v>
      </c>
      <c r="CT91" s="13">
        <f>IF('Données projet'!$A$140&gt;35,CT90+CS91-DB90,IF(A91&lt;'Données projet'!$A$140,$CQ$205^A91,IF(A91='Données projet'!$A$140,'Données projet'!$B$140,CT90+CS91-DB90)))</f>
        <v>229.99999999999991</v>
      </c>
      <c r="CU91" s="18">
        <f>CT91*VLOOKUP('Données projet'!$B$13,Paramètres!$A$1:$I$89,3,0)*VLOOKUP('Données projet'!$B$13,Paramètres!$A$1:$I$89,5,0)</f>
        <v>218.86799999999994</v>
      </c>
      <c r="CV91" s="14">
        <f t="shared" si="95"/>
        <v>53.868777293257502</v>
      </c>
      <c r="CW91" s="22">
        <f t="shared" si="67"/>
        <v>475.01655378575668</v>
      </c>
      <c r="CX91" s="58">
        <f t="shared" si="68"/>
        <v>748.69828615495044</v>
      </c>
      <c r="CY91" s="58">
        <f ca="1">AVERAGE(OFFSET($CX$3,0,0,'Données projet'!$E$13+1,1))-AVERAGE(OFFSET($H$3,0,0,'Données projet'!$E$13+1,1))</f>
        <v>397.61813291201469</v>
      </c>
      <c r="CZ91" s="58">
        <f t="shared" si="96"/>
        <v>320.30651625485064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0.63626075730537268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0.63626075730537268</v>
      </c>
      <c r="DJ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58" t="e">
        <f t="shared" si="71"/>
        <v>#N/A</v>
      </c>
      <c r="DT91" s="58" t="e">
        <f ca="1">AVERAGE(OFFSET($DS$3,0,0,'Données projet'!$E$14+1,1))-AVERAGE(OFFSET($H$3,0,0,'Données projet'!$E$14+1,1))</f>
        <v>#N/A</v>
      </c>
      <c r="DU91" s="58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58" t="e">
        <f t="shared" si="74"/>
        <v>#N/A</v>
      </c>
      <c r="EO91" s="58" t="e">
        <f ca="1">AVERAGE(OFFSET($EN$3,0,0,'Données projet'!$E$15+1,1))-AVERAGE(OFFSET($H$3,0,0,'Données projet'!$E$15+1,1))</f>
        <v>#N/A</v>
      </c>
      <c r="EP91" s="58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58" t="e">
        <f t="shared" si="77"/>
        <v>#N/A</v>
      </c>
      <c r="FJ91" s="58" t="e">
        <f ca="1">AVERAGE(OFFSET($FI$3,0,0,'Données projet'!$E$16+1,1))-AVERAGE(OFFSET($H$3,0,0,'Données projet'!$E$16+1,1))</f>
        <v>#N/A</v>
      </c>
      <c r="FK91" s="58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58" t="e">
        <f t="shared" si="80"/>
        <v>#N/A</v>
      </c>
      <c r="GE91" s="58" t="e">
        <f ca="1">AVERAGE(OFFSET($GD$3,0,0,'Données projet'!$E$17+1,1))-AVERAGE(OFFSET($H$3,0,0,'Données projet'!$E$17+1,1))</f>
        <v>#N/A</v>
      </c>
      <c r="GF91" s="58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58" t="e">
        <f t="shared" si="83"/>
        <v>#N/A</v>
      </c>
      <c r="GZ91" s="58" t="e">
        <f ca="1">AVERAGE(OFFSET($GY$3,0,0,'Données projet'!$E$18+1,1))-AVERAGE(OFFSET($H$3,0,0,'Données projet'!$E$18+1,1))</f>
        <v>#N/A</v>
      </c>
      <c r="HA91" s="58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0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3">
        <f t="shared" si="56"/>
        <v>183.33333333333334</v>
      </c>
      <c r="I92" s="6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6.6</v>
      </c>
      <c r="N92" s="14">
        <f>IF('Données projet'!$A$36&gt;35,N91+M92-V91,IF(A92&lt;'Données projet'!$A$36,$K$205^A92,IF(A92='Données projet'!$A$36,'Données projet'!$B$36,N91+M92-V91)))</f>
        <v>379.4000000000002</v>
      </c>
      <c r="O92" s="14">
        <f>N92*VLOOKUP('Données projet'!$B$9,Paramètres!$A$1:$I$89,3,0)*VLOOKUP('Données projet'!$B$9,Paramètres!$A$1:$I$89,5,0)</f>
        <v>319.60656000000017</v>
      </c>
      <c r="P92" s="14">
        <f t="shared" si="87"/>
        <v>75.271484958752922</v>
      </c>
      <c r="Q92" s="22">
        <f t="shared" si="54"/>
        <v>687.74592830316158</v>
      </c>
      <c r="R92" s="58">
        <f t="shared" si="55"/>
        <v>961.76857201468511</v>
      </c>
      <c r="S92" s="58">
        <f ca="1">AVERAGE(OFFSET($R$3,0,0,'Données projet'!$E$9+1,1))-AVERAGE(OFFSET($H$3,0,0,'Données projet'!$E$9+1,1))</f>
        <v>527.70171871461309</v>
      </c>
      <c r="T92" s="58">
        <f t="shared" si="88"/>
        <v>281.06176764290592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3.6</v>
      </c>
      <c r="AI92" s="14">
        <f>IF('Données projet'!$A$62&gt;35,AI91+AH92-AQ91,IF(A92&lt;'Données projet'!$A$62,$AF$205^A92,IF(A92='Données projet'!$A$62,'Données projet'!$B$62,AI91+AH92-AQ91)))</f>
        <v>261.40000000000009</v>
      </c>
      <c r="AJ92" s="14">
        <f>AI92*VLOOKUP('Données projet'!$B$10,Paramètres!$A$1:$I$89,3,0)*VLOOKUP('Données projet'!$B$10,Paramètres!$A$1:$I$89,5,0)</f>
        <v>171.26928000000007</v>
      </c>
      <c r="AK92" s="14">
        <f t="shared" si="89"/>
        <v>43.374176893763575</v>
      </c>
      <c r="AL92" s="22">
        <f t="shared" si="58"/>
        <v>373.83735408997171</v>
      </c>
      <c r="AM92" s="58">
        <f t="shared" si="59"/>
        <v>647.8599978014953</v>
      </c>
      <c r="AN92" s="58">
        <f ca="1">AVERAGE(OFFSET($AM$3,0,0,'Données projet'!$E$10+1,1))-AVERAGE(OFFSET($H$3,0,0,'Données projet'!$E$10+1,1))</f>
        <v>302.53318056366777</v>
      </c>
      <c r="AO92" s="58">
        <f t="shared" si="90"/>
        <v>318.32262615164541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0.53177507676873048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0.53177507676873048</v>
      </c>
      <c r="AY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9.1000000000003638</v>
      </c>
      <c r="BE92" s="14">
        <f>BD92*VLOOKUP('Données projet'!$B$11,Paramètres!$A$1:$I$89,3,0)*VLOOKUP('Données projet'!$B$11,Paramètres!$A$1:$I$89,5,0)</f>
        <v>7.2399600000002895</v>
      </c>
      <c r="BF92" s="14">
        <f t="shared" si="91"/>
        <v>2.6498112636338633</v>
      </c>
      <c r="BG92" s="22">
        <f t="shared" si="61"/>
        <v>17.224684950829481</v>
      </c>
      <c r="BH92" s="58">
        <f t="shared" si="62"/>
        <v>291.24732866235308</v>
      </c>
      <c r="BI92" s="58">
        <f ca="1">AVERAGE(OFFSET($BH$3,0,0,'Données projet'!$E$11+1,1))-AVERAGE(OFFSET($H$3,0,0,'Données projet'!$E$11+1,1))</f>
        <v>336.25341821407534</v>
      </c>
      <c r="BJ92" s="58">
        <f t="shared" si="92"/>
        <v>360.3246221345039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1.0129584443311339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1.0129584443311339</v>
      </c>
      <c r="BT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3.6</v>
      </c>
      <c r="BY92" s="13">
        <f>IF('Données projet'!$A$114&gt;35,BY91+BX92-CG91,IF(A92&lt;'Données projet'!$A$114,$BV$205^A92,IF(A92='Données projet'!$A$114,'Données projet'!$B$114,BY91+BX92-CG91)))</f>
        <v>255.40000000000006</v>
      </c>
      <c r="BZ92" s="14">
        <f>BY92*VLOOKUP('Données projet'!$B$12,Paramètres!$A$1:$I$89,3,0)*VLOOKUP('Données projet'!$B$12,Paramètres!$A$1:$I$89,5,0)</f>
        <v>207.18048000000007</v>
      </c>
      <c r="CA92" s="14">
        <f t="shared" si="93"/>
        <v>51.318965762681557</v>
      </c>
      <c r="CB92" s="22">
        <f t="shared" si="64"/>
        <v>450.21986803667045</v>
      </c>
      <c r="CC92" s="58">
        <f t="shared" si="65"/>
        <v>724.24251174819403</v>
      </c>
      <c r="CD92" s="58">
        <f ca="1">AVERAGE(OFFSET($CC$3,0,0,'Données projet'!$E$12+1,1))-AVERAGE(OFFSET($H$3,0,0,'Données projet'!$E$12+1,1))</f>
        <v>308.58270639204238</v>
      </c>
      <c r="CE92" s="58">
        <f t="shared" si="94"/>
        <v>258.90832875500325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3.5897435897435912</v>
      </c>
      <c r="CT92" s="13">
        <f>IF('Données projet'!$A$140&gt;35,CT91+CS92-DB91,IF(A92&lt;'Données projet'!$A$140,$CQ$205^A92,IF(A92='Données projet'!$A$140,'Données projet'!$B$140,CT91+CS92-DB91)))</f>
        <v>233.58974358974351</v>
      </c>
      <c r="CU92" s="18">
        <f>CT92*VLOOKUP('Données projet'!$B$13,Paramètres!$A$1:$I$89,3,0)*VLOOKUP('Données projet'!$B$13,Paramètres!$A$1:$I$89,5,0)</f>
        <v>222.28399999999993</v>
      </c>
      <c r="CV92" s="14">
        <f t="shared" si="95"/>
        <v>54.611003042838703</v>
      </c>
      <c r="CW92" s="22">
        <f t="shared" si="67"/>
        <v>482.25879696627726</v>
      </c>
      <c r="CX92" s="58">
        <f t="shared" si="68"/>
        <v>756.2814406778009</v>
      </c>
      <c r="CY92" s="58">
        <f ca="1">AVERAGE(OFFSET($CX$3,0,0,'Données projet'!$E$13+1,1))-AVERAGE(OFFSET($H$3,0,0,'Données projet'!$E$13+1,1))</f>
        <v>397.61813291201469</v>
      </c>
      <c r="CZ92" s="58">
        <f t="shared" si="96"/>
        <v>320.30651625485064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0.61886217343735828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0.61886217343735828</v>
      </c>
      <c r="DJ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58" t="e">
        <f t="shared" si="71"/>
        <v>#N/A</v>
      </c>
      <c r="DT92" s="58" t="e">
        <f ca="1">AVERAGE(OFFSET($DS$3,0,0,'Données projet'!$E$14+1,1))-AVERAGE(OFFSET($H$3,0,0,'Données projet'!$E$14+1,1))</f>
        <v>#N/A</v>
      </c>
      <c r="DU92" s="58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58" t="e">
        <f t="shared" si="74"/>
        <v>#N/A</v>
      </c>
      <c r="EO92" s="58" t="e">
        <f ca="1">AVERAGE(OFFSET($EN$3,0,0,'Données projet'!$E$15+1,1))-AVERAGE(OFFSET($H$3,0,0,'Données projet'!$E$15+1,1))</f>
        <v>#N/A</v>
      </c>
      <c r="EP92" s="58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58" t="e">
        <f t="shared" si="77"/>
        <v>#N/A</v>
      </c>
      <c r="FJ92" s="58" t="e">
        <f ca="1">AVERAGE(OFFSET($FI$3,0,0,'Données projet'!$E$16+1,1))-AVERAGE(OFFSET($H$3,0,0,'Données projet'!$E$16+1,1))</f>
        <v>#N/A</v>
      </c>
      <c r="FK92" s="58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58" t="e">
        <f t="shared" si="80"/>
        <v>#N/A</v>
      </c>
      <c r="GE92" s="58" t="e">
        <f ca="1">AVERAGE(OFFSET($GD$3,0,0,'Données projet'!$E$17+1,1))-AVERAGE(OFFSET($H$3,0,0,'Données projet'!$E$17+1,1))</f>
        <v>#N/A</v>
      </c>
      <c r="GF92" s="58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58" t="e">
        <f t="shared" si="83"/>
        <v>#N/A</v>
      </c>
      <c r="GZ92" s="58" t="e">
        <f ca="1">AVERAGE(OFFSET($GY$3,0,0,'Données projet'!$E$18+1,1))-AVERAGE(OFFSET($H$3,0,0,'Données projet'!$E$18+1,1))</f>
        <v>#N/A</v>
      </c>
      <c r="HA92" s="58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0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3">
        <f t="shared" si="56"/>
        <v>183.33333333333334</v>
      </c>
      <c r="I93" s="6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386</v>
      </c>
      <c r="L93" s="13">
        <f>VLOOKUP(A93,'Données projet'!$A$35:$I$55,9,0)</f>
        <v>6.6</v>
      </c>
      <c r="M93" s="13">
        <f t="array" ref="M93">INDEX(L:L,MIN(IF(ISNUMBER(L93:L289),ROW(L93:L289),"")))</f>
        <v>6.6</v>
      </c>
      <c r="N93" s="14">
        <f>IF('Données projet'!$A$36&gt;35,N92+M93-V92,IF(A93&lt;'Données projet'!$A$36,$K$205^A93,IF(A93='Données projet'!$A$36,'Données projet'!$B$36,N92+M93-V92)))</f>
        <v>386.00000000000023</v>
      </c>
      <c r="O93" s="14">
        <f>N93*VLOOKUP('Données projet'!$B$9,Paramètres!$A$1:$I$89,3,0)*VLOOKUP('Données projet'!$B$9,Paramètres!$A$1:$I$89,5,0)</f>
        <v>325.16640000000024</v>
      </c>
      <c r="P93" s="14">
        <f t="shared" si="87"/>
        <v>76.427319591571546</v>
      </c>
      <c r="Q93" s="22">
        <f t="shared" si="54"/>
        <v>699.44239495532099</v>
      </c>
      <c r="R93" s="58">
        <f t="shared" si="55"/>
        <v>973.80003595954872</v>
      </c>
      <c r="S93" s="58">
        <f ca="1">AVERAGE(OFFSET($R$3,0,0,'Données projet'!$E$9+1,1))-AVERAGE(OFFSET($H$3,0,0,'Données projet'!$E$9+1,1))</f>
        <v>527.70171871461309</v>
      </c>
      <c r="T93" s="58">
        <f t="shared" si="88"/>
        <v>281.06176764290592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84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265</v>
      </c>
      <c r="AG93" s="13">
        <f>VLOOKUP(A93,'Données projet'!$A$61:$I$81,9,0)</f>
        <v>3.6</v>
      </c>
      <c r="AH93" s="13">
        <f t="array" ref="AH93">INDEX(AG:AG,MIN(IF(ISNUMBER(AG93:AG289),ROW(AG93:AG289),"")))</f>
        <v>3.6</v>
      </c>
      <c r="AI93" s="14">
        <f>IF('Données projet'!$A$62&gt;35,AI92+AH93-AQ92,IF(A93&lt;'Données projet'!$A$62,$AF$205^A93,IF(A93='Données projet'!$A$62,'Données projet'!$B$62,AI92+AH93-AQ92)))</f>
        <v>265.00000000000011</v>
      </c>
      <c r="AJ93" s="14">
        <f>AI93*VLOOKUP('Données projet'!$B$10,Paramètres!$A$1:$I$89,3,0)*VLOOKUP('Données projet'!$B$10,Paramètres!$A$1:$I$89,5,0)</f>
        <v>173.62800000000007</v>
      </c>
      <c r="AK93" s="14">
        <f t="shared" si="89"/>
        <v>43.901573588714463</v>
      </c>
      <c r="AL93" s="22">
        <f t="shared" si="58"/>
        <v>378.86400733367782</v>
      </c>
      <c r="AM93" s="58">
        <f t="shared" si="59"/>
        <v>653.22164833790544</v>
      </c>
      <c r="AN93" s="58">
        <f ca="1">AVERAGE(OFFSET($AM$3,0,0,'Données projet'!$E$10+1,1))-AVERAGE(OFFSET($H$3,0,0,'Données projet'!$E$10+1,1))</f>
        <v>302.53318056366777</v>
      </c>
      <c r="AO93" s="58">
        <f t="shared" si="90"/>
        <v>318.32262615164541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265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0.51723365932965359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0.51723365932965359</v>
      </c>
      <c r="AY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9.1000000000003638</v>
      </c>
      <c r="BE93" s="14">
        <f>BD93*VLOOKUP('Données projet'!$B$11,Paramètres!$A$1:$I$89,3,0)*VLOOKUP('Données projet'!$B$11,Paramètres!$A$1:$I$89,5,0)</f>
        <v>7.2399600000002895</v>
      </c>
      <c r="BF93" s="14">
        <f t="shared" si="91"/>
        <v>2.6498112636338633</v>
      </c>
      <c r="BG93" s="22">
        <f t="shared" si="61"/>
        <v>17.224684950829481</v>
      </c>
      <c r="BH93" s="58">
        <f t="shared" si="62"/>
        <v>291.58232595505717</v>
      </c>
      <c r="BI93" s="58">
        <f ca="1">AVERAGE(OFFSET($BH$3,0,0,'Données projet'!$E$11+1,1))-AVERAGE(OFFSET($H$3,0,0,'Données projet'!$E$11+1,1))</f>
        <v>336.25341821407534</v>
      </c>
      <c r="BJ93" s="58">
        <f t="shared" si="92"/>
        <v>360.3246221345039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0.98525904240172957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0.98525904240172957</v>
      </c>
      <c r="BT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259</v>
      </c>
      <c r="BW93" s="13">
        <f>VLOOKUP(A93,'Données projet'!$A$113:$I$133,9,0)</f>
        <v>3.6</v>
      </c>
      <c r="BX93" s="13">
        <f t="array" ref="BX93">INDEX(BW:BW,MIN(IF(ISNUMBER(BW93:BW289),ROW(BW93:BW289),"")))</f>
        <v>3.6</v>
      </c>
      <c r="BY93" s="13">
        <f>IF('Données projet'!$A$114&gt;35,BY92+BX93-CG92,IF(A93&lt;'Données projet'!$A$114,$BV$205^A93,IF(A93='Données projet'!$A$114,'Données projet'!$B$114,BY92+BX93-CG92)))</f>
        <v>259.00000000000006</v>
      </c>
      <c r="BZ93" s="14">
        <f>BY93*VLOOKUP('Données projet'!$B$12,Paramètres!$A$1:$I$89,3,0)*VLOOKUP('Données projet'!$B$12,Paramètres!$A$1:$I$89,5,0)</f>
        <v>210.10080000000005</v>
      </c>
      <c r="CA93" s="14">
        <f t="shared" si="93"/>
        <v>51.95761241914623</v>
      </c>
      <c r="CB93" s="22">
        <f t="shared" si="64"/>
        <v>456.41840163001308</v>
      </c>
      <c r="CC93" s="58">
        <f t="shared" si="65"/>
        <v>730.77604263424075</v>
      </c>
      <c r="CD93" s="58">
        <f ca="1">AVERAGE(OFFSET($CC$3,0,0,'Données projet'!$E$12+1,1))-AVERAGE(OFFSET($H$3,0,0,'Données projet'!$E$12+1,1))</f>
        <v>308.58270639204238</v>
      </c>
      <c r="CE93" s="58">
        <f t="shared" si="94"/>
        <v>258.90832875500325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259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237.17948717948718</v>
      </c>
      <c r="CR93" s="13">
        <f>VLOOKUP(A93,'Données projet'!$A$139:$I$159,9,0)</f>
        <v>3.5897435897435912</v>
      </c>
      <c r="CS93" s="13">
        <f t="array" ref="CS93">INDEX(CR:CR,MIN(IF(ISNUMBER(CR93:CR289),ROW(CR93:CR289),"")))</f>
        <v>3.5897435897435912</v>
      </c>
      <c r="CT93" s="13">
        <f>IF('Données projet'!$A$140&gt;35,CT92+CS93-DB92,IF(A93&lt;'Données projet'!$A$140,$CQ$205^A93,IF(A93='Données projet'!$A$140,'Données projet'!$B$140,CT92+CS93-DB92)))</f>
        <v>237.1794871794871</v>
      </c>
      <c r="CU93" s="18">
        <f>CT93*VLOOKUP('Données projet'!$B$13,Paramètres!$A$1:$I$89,3,0)*VLOOKUP('Données projet'!$B$13,Paramètres!$A$1:$I$89,5,0)</f>
        <v>225.69999999999993</v>
      </c>
      <c r="CV93" s="14">
        <f t="shared" si="95"/>
        <v>55.351902227969966</v>
      </c>
      <c r="CW93" s="22">
        <f t="shared" si="67"/>
        <v>489.49872971371423</v>
      </c>
      <c r="CX93" s="58">
        <f t="shared" si="68"/>
        <v>763.8563707179419</v>
      </c>
      <c r="CY93" s="58">
        <f ca="1">AVERAGE(OFFSET($CX$3,0,0,'Données projet'!$E$13+1,1))-AVERAGE(OFFSET($H$3,0,0,'Données projet'!$E$13+1,1))</f>
        <v>397.61813291201469</v>
      </c>
      <c r="CZ93" s="58">
        <f t="shared" si="96"/>
        <v>320.30651625485064</v>
      </c>
      <c r="DA93" s="16">
        <f>IF(ISNA(VLOOKUP(A93,'Données projet'!$A$139:$I$159,3,0)),0,VLOOKUP(A93,'Données projet'!$A$139:$I$159,3,0))</f>
        <v>8</v>
      </c>
      <c r="DB93" s="16">
        <f>IF(ISNA(VLOOKUP(A93,'Données projet'!$A$139:$I$159,4,0)),0,VLOOKUP(A93,'Données projet'!$A$139:$I$159,4,0))</f>
        <v>25.641025641025639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0.60193935476016647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0.60193935476016647</v>
      </c>
      <c r="DJ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58" t="e">
        <f t="shared" si="71"/>
        <v>#N/A</v>
      </c>
      <c r="DT93" s="58" t="e">
        <f ca="1">AVERAGE(OFFSET($DS$3,0,0,'Données projet'!$E$14+1,1))-AVERAGE(OFFSET($H$3,0,0,'Données projet'!$E$14+1,1))</f>
        <v>#N/A</v>
      </c>
      <c r="DU93" s="58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58" t="e">
        <f t="shared" si="74"/>
        <v>#N/A</v>
      </c>
      <c r="EO93" s="58" t="e">
        <f ca="1">AVERAGE(OFFSET($EN$3,0,0,'Données projet'!$E$15+1,1))-AVERAGE(OFFSET($H$3,0,0,'Données projet'!$E$15+1,1))</f>
        <v>#N/A</v>
      </c>
      <c r="EP93" s="58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58" t="e">
        <f t="shared" si="77"/>
        <v>#N/A</v>
      </c>
      <c r="FJ93" s="58" t="e">
        <f ca="1">AVERAGE(OFFSET($FI$3,0,0,'Données projet'!$E$16+1,1))-AVERAGE(OFFSET($H$3,0,0,'Données projet'!$E$16+1,1))</f>
        <v>#N/A</v>
      </c>
      <c r="FK93" s="58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58" t="e">
        <f t="shared" si="80"/>
        <v>#N/A</v>
      </c>
      <c r="GE93" s="58" t="e">
        <f ca="1">AVERAGE(OFFSET($GD$3,0,0,'Données projet'!$E$17+1,1))-AVERAGE(OFFSET($H$3,0,0,'Données projet'!$E$17+1,1))</f>
        <v>#N/A</v>
      </c>
      <c r="GF93" s="58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58" t="e">
        <f t="shared" si="83"/>
        <v>#N/A</v>
      </c>
      <c r="GZ93" s="58" t="e">
        <f ca="1">AVERAGE(OFFSET($GY$3,0,0,'Données projet'!$E$18+1,1))-AVERAGE(OFFSET($H$3,0,0,'Données projet'!$E$18+1,1))</f>
        <v>#N/A</v>
      </c>
      <c r="HA93" s="58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0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3">
        <f t="shared" si="56"/>
        <v>183.33333333333334</v>
      </c>
      <c r="I94" s="6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5.7333333333333334</v>
      </c>
      <c r="N94" s="14">
        <f>IF('Données projet'!$A$36&gt;35,N93+M94-V93,IF(A94&lt;'Données projet'!$A$36,$K$205^A94,IF(A94='Données projet'!$A$36,'Données projet'!$B$36,N93+M94-V93)))</f>
        <v>307.73333333333358</v>
      </c>
      <c r="O94" s="14">
        <f>N94*VLOOKUP('Données projet'!$B$9,Paramètres!$A$1:$I$89,3,0)*VLOOKUP('Données projet'!$B$9,Paramètres!$A$1:$I$89,5,0)</f>
        <v>259.23456000000022</v>
      </c>
      <c r="P94" s="14">
        <f t="shared" si="87"/>
        <v>62.559189093503193</v>
      </c>
      <c r="Q94" s="22">
        <f t="shared" si="54"/>
        <v>560.45744633785171</v>
      </c>
      <c r="R94" s="58">
        <f t="shared" si="55"/>
        <v>835.1442731806967</v>
      </c>
      <c r="S94" s="58">
        <f ca="1">AVERAGE(OFFSET($R$3,0,0,'Données projet'!$E$9+1,1))-AVERAGE(OFFSET($H$3,0,0,'Données projet'!$E$9+1,1))</f>
        <v>527.70171871461309</v>
      </c>
      <c r="T94" s="58">
        <f t="shared" si="88"/>
        <v>281.06176764290592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7.4487616075202823E-14</v>
      </c>
      <c r="AK94" s="14">
        <f t="shared" si="89"/>
        <v>1.1580453144473142E-12</v>
      </c>
      <c r="AL94" s="22">
        <f t="shared" si="58"/>
        <v>2.1466615206600508E-12</v>
      </c>
      <c r="AM94" s="58">
        <f t="shared" si="59"/>
        <v>274.68682684284721</v>
      </c>
      <c r="AN94" s="58">
        <f ca="1">AVERAGE(OFFSET($AM$3,0,0,'Données projet'!$E$10+1,1))-AVERAGE(OFFSET($H$3,0,0,'Données projet'!$E$10+1,1))</f>
        <v>302.53318056366777</v>
      </c>
      <c r="AO94" s="58">
        <f t="shared" si="90"/>
        <v>318.32262615164541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0.50308987771514824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0.50308987771514824</v>
      </c>
      <c r="AY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9.1000000000003638</v>
      </c>
      <c r="BE94" s="14">
        <f>BD94*VLOOKUP('Données projet'!$B$11,Paramètres!$A$1:$I$89,3,0)*VLOOKUP('Données projet'!$B$11,Paramètres!$A$1:$I$89,5,0)</f>
        <v>7.2399600000002895</v>
      </c>
      <c r="BF94" s="14">
        <f t="shared" si="91"/>
        <v>2.6498112636338633</v>
      </c>
      <c r="BG94" s="22">
        <f t="shared" si="61"/>
        <v>17.224684950829481</v>
      </c>
      <c r="BH94" s="58">
        <f t="shared" si="62"/>
        <v>291.91151179367455</v>
      </c>
      <c r="BI94" s="58">
        <f ca="1">AVERAGE(OFFSET($BH$3,0,0,'Données projet'!$E$11+1,1))-AVERAGE(OFFSET($H$3,0,0,'Données projet'!$E$11+1,1))</f>
        <v>336.25341821407534</v>
      </c>
      <c r="BJ94" s="58">
        <f t="shared" si="92"/>
        <v>360.3246221345039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0.9583170820747331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0.9583170820747331</v>
      </c>
      <c r="BT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5.6843418860808015E-14</v>
      </c>
      <c r="BZ94" s="14">
        <f>BY94*VLOOKUP('Données projet'!$B$12,Paramètres!$A$1:$I$89,3,0)*VLOOKUP('Données projet'!$B$12,Paramètres!$A$1:$I$89,5,0)</f>
        <v>4.6111381379887463E-14</v>
      </c>
      <c r="CA94" s="14">
        <f t="shared" si="93"/>
        <v>7.5804141040779151E-13</v>
      </c>
      <c r="CB94" s="22">
        <f t="shared" si="64"/>
        <v>1.4005661123635408E-12</v>
      </c>
      <c r="CC94" s="58">
        <f t="shared" si="65"/>
        <v>274.68682684284647</v>
      </c>
      <c r="CD94" s="58">
        <f ca="1">AVERAGE(OFFSET($CC$3,0,0,'Données projet'!$E$12+1,1))-AVERAGE(OFFSET($H$3,0,0,'Données projet'!$E$12+1,1))</f>
        <v>308.58270639204238</v>
      </c>
      <c r="CE94" s="58">
        <f t="shared" si="94"/>
        <v>258.90832875500325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3.5897435897435854</v>
      </c>
      <c r="CT94" s="13">
        <f>IF('Données projet'!$A$140&gt;35,CT93+CS94-DB93,IF(A94&lt;'Données projet'!$A$140,$CQ$205^A94,IF(A94='Données projet'!$A$140,'Données projet'!$B$140,CT93+CS94-DB93)))</f>
        <v>215.12820512820505</v>
      </c>
      <c r="CU94" s="18">
        <f>CT94*VLOOKUP('Données projet'!$B$13,Paramètres!$A$1:$I$89,3,0)*VLOOKUP('Données projet'!$B$13,Paramètres!$A$1:$I$89,5,0)</f>
        <v>204.71599999999992</v>
      </c>
      <c r="CV94" s="14">
        <f t="shared" si="95"/>
        <v>50.779191757337983</v>
      </c>
      <c r="CW94" s="22">
        <f t="shared" si="67"/>
        <v>444.98745897736353</v>
      </c>
      <c r="CX94" s="58">
        <f t="shared" si="68"/>
        <v>719.67428582020852</v>
      </c>
      <c r="CY94" s="58">
        <f ca="1">AVERAGE(OFFSET($CX$3,0,0,'Données projet'!$E$13+1,1))-AVERAGE(OFFSET($H$3,0,0,'Données projet'!$E$13+1,1))</f>
        <v>397.61813291201469</v>
      </c>
      <c r="CZ94" s="58">
        <f t="shared" si="96"/>
        <v>320.30651625485064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0.58547929144963484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0.58547929144963484</v>
      </c>
      <c r="DJ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58" t="e">
        <f t="shared" si="71"/>
        <v>#N/A</v>
      </c>
      <c r="DT94" s="58" t="e">
        <f ca="1">AVERAGE(OFFSET($DS$3,0,0,'Données projet'!$E$14+1,1))-AVERAGE(OFFSET($H$3,0,0,'Données projet'!$E$14+1,1))</f>
        <v>#N/A</v>
      </c>
      <c r="DU94" s="58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58" t="e">
        <f t="shared" si="74"/>
        <v>#N/A</v>
      </c>
      <c r="EO94" s="58" t="e">
        <f ca="1">AVERAGE(OFFSET($EN$3,0,0,'Données projet'!$E$15+1,1))-AVERAGE(OFFSET($H$3,0,0,'Données projet'!$E$15+1,1))</f>
        <v>#N/A</v>
      </c>
      <c r="EP94" s="58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58" t="e">
        <f t="shared" si="77"/>
        <v>#N/A</v>
      </c>
      <c r="FJ94" s="58" t="e">
        <f ca="1">AVERAGE(OFFSET($FI$3,0,0,'Données projet'!$E$16+1,1))-AVERAGE(OFFSET($H$3,0,0,'Données projet'!$E$16+1,1))</f>
        <v>#N/A</v>
      </c>
      <c r="FK94" s="58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58" t="e">
        <f t="shared" si="80"/>
        <v>#N/A</v>
      </c>
      <c r="GE94" s="58" t="e">
        <f ca="1">AVERAGE(OFFSET($GD$3,0,0,'Données projet'!$E$17+1,1))-AVERAGE(OFFSET($H$3,0,0,'Données projet'!$E$17+1,1))</f>
        <v>#N/A</v>
      </c>
      <c r="GF94" s="58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58" t="e">
        <f t="shared" si="83"/>
        <v>#N/A</v>
      </c>
      <c r="GZ94" s="58" t="e">
        <f ca="1">AVERAGE(OFFSET($GY$3,0,0,'Données projet'!$E$18+1,1))-AVERAGE(OFFSET($H$3,0,0,'Données projet'!$E$18+1,1))</f>
        <v>#N/A</v>
      </c>
      <c r="HA94" s="58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0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3">
        <f t="shared" si="56"/>
        <v>183.33333333333334</v>
      </c>
      <c r="I95" s="6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5.7333333333333334</v>
      </c>
      <c r="N95" s="14">
        <f>IF('Données projet'!$A$36&gt;35,N94+M95-V94,IF(A95&lt;'Données projet'!$A$36,$K$205^A95,IF(A95='Données projet'!$A$36,'Données projet'!$B$36,N94+M95-V94)))</f>
        <v>313.46666666666692</v>
      </c>
      <c r="O95" s="14">
        <f>N95*VLOOKUP('Données projet'!$B$9,Paramètres!$A$1:$I$89,3,0)*VLOOKUP('Données projet'!$B$9,Paramètres!$A$1:$I$89,5,0)</f>
        <v>264.06432000000024</v>
      </c>
      <c r="P95" s="14">
        <f t="shared" si="87"/>
        <v>63.587943095885088</v>
      </c>
      <c r="Q95" s="22">
        <f t="shared" si="54"/>
        <v>570.66102489200023</v>
      </c>
      <c r="R95" s="58">
        <f t="shared" si="55"/>
        <v>845.67132693511189</v>
      </c>
      <c r="S95" s="58">
        <f ca="1">AVERAGE(OFFSET($R$3,0,0,'Données projet'!$E$9+1,1))-AVERAGE(OFFSET($H$3,0,0,'Données projet'!$E$9+1,1))</f>
        <v>527.70171871461309</v>
      </c>
      <c r="T95" s="58">
        <f t="shared" si="88"/>
        <v>281.06176764290592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7.4487616075202823E-14</v>
      </c>
      <c r="AK95" s="14">
        <f t="shared" si="89"/>
        <v>1.1580453144473142E-12</v>
      </c>
      <c r="AL95" s="22">
        <f t="shared" si="58"/>
        <v>2.1466615206600508E-12</v>
      </c>
      <c r="AM95" s="58">
        <f t="shared" si="59"/>
        <v>275.01030204311388</v>
      </c>
      <c r="AN95" s="58">
        <f ca="1">AVERAGE(OFFSET($AM$3,0,0,'Données projet'!$E$10+1,1))-AVERAGE(OFFSET($H$3,0,0,'Données projet'!$E$10+1,1))</f>
        <v>302.53318056366777</v>
      </c>
      <c r="AO95" s="58">
        <f t="shared" si="90"/>
        <v>318.32262615164541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0.48933285855268066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0.48933285855268066</v>
      </c>
      <c r="AY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9.1000000000003638</v>
      </c>
      <c r="BE95" s="14">
        <f>BD95*VLOOKUP('Données projet'!$B$11,Paramètres!$A$1:$I$89,3,0)*VLOOKUP('Données projet'!$B$11,Paramètres!$A$1:$I$89,5,0)</f>
        <v>7.2399600000002895</v>
      </c>
      <c r="BF95" s="14">
        <f t="shared" si="91"/>
        <v>2.6498112636338633</v>
      </c>
      <c r="BG95" s="22">
        <f t="shared" si="61"/>
        <v>17.224684950829481</v>
      </c>
      <c r="BH95" s="58">
        <f t="shared" si="62"/>
        <v>292.23498699394122</v>
      </c>
      <c r="BI95" s="58">
        <f ca="1">AVERAGE(OFFSET($BH$3,0,0,'Données projet'!$E$11+1,1))-AVERAGE(OFFSET($H$3,0,0,'Données projet'!$E$11+1,1))</f>
        <v>336.25341821407534</v>
      </c>
      <c r="BJ95" s="58">
        <f t="shared" si="92"/>
        <v>360.3246221345039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0.93211185106969441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0.93211185106969441</v>
      </c>
      <c r="BT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5.6843418860808015E-14</v>
      </c>
      <c r="BZ95" s="14">
        <f>BY95*VLOOKUP('Données projet'!$B$12,Paramètres!$A$1:$I$89,3,0)*VLOOKUP('Données projet'!$B$12,Paramètres!$A$1:$I$89,5,0)</f>
        <v>4.6111381379887463E-14</v>
      </c>
      <c r="CA95" s="14">
        <f t="shared" si="93"/>
        <v>7.5804141040779151E-13</v>
      </c>
      <c r="CB95" s="22">
        <f t="shared" si="64"/>
        <v>1.4005661123635408E-12</v>
      </c>
      <c r="CC95" s="58">
        <f t="shared" si="65"/>
        <v>275.01030204311314</v>
      </c>
      <c r="CD95" s="58">
        <f ca="1">AVERAGE(OFFSET($CC$3,0,0,'Données projet'!$E$12+1,1))-AVERAGE(OFFSET($H$3,0,0,'Données projet'!$E$12+1,1))</f>
        <v>308.58270639204238</v>
      </c>
      <c r="CE95" s="58">
        <f t="shared" si="94"/>
        <v>258.90832875500325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3.5897435897435854</v>
      </c>
      <c r="CT95" s="13">
        <f>IF('Données projet'!$A$140&gt;35,CT94+CS95-DB94,IF(A95&lt;'Données projet'!$A$140,$CQ$205^A95,IF(A95='Données projet'!$A$140,'Données projet'!$B$140,CT94+CS95-DB94)))</f>
        <v>218.71794871794864</v>
      </c>
      <c r="CU95" s="18">
        <f>CT95*VLOOKUP('Données projet'!$B$13,Paramètres!$A$1:$I$89,3,0)*VLOOKUP('Données projet'!$B$13,Paramètres!$A$1:$I$89,5,0)</f>
        <v>208.13199999999992</v>
      </c>
      <c r="CV95" s="14">
        <f t="shared" si="95"/>
        <v>51.527168668357106</v>
      </c>
      <c r="CW95" s="22">
        <f t="shared" si="67"/>
        <v>452.23971876405511</v>
      </c>
      <c r="CX95" s="58">
        <f t="shared" si="68"/>
        <v>727.25002080716683</v>
      </c>
      <c r="CY95" s="58">
        <f ca="1">AVERAGE(OFFSET($CX$3,0,0,'Données projet'!$E$13+1,1))-AVERAGE(OFFSET($H$3,0,0,'Données projet'!$E$13+1,1))</f>
        <v>397.61813291201469</v>
      </c>
      <c r="CZ95" s="58">
        <f t="shared" si="96"/>
        <v>320.30651625485064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0.56946932943592676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0.56946932943592676</v>
      </c>
      <c r="DJ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58" t="e">
        <f t="shared" si="71"/>
        <v>#N/A</v>
      </c>
      <c r="DT95" s="58" t="e">
        <f ca="1">AVERAGE(OFFSET($DS$3,0,0,'Données projet'!$E$14+1,1))-AVERAGE(OFFSET($H$3,0,0,'Données projet'!$E$14+1,1))</f>
        <v>#N/A</v>
      </c>
      <c r="DU95" s="58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58" t="e">
        <f t="shared" si="74"/>
        <v>#N/A</v>
      </c>
      <c r="EO95" s="58" t="e">
        <f ca="1">AVERAGE(OFFSET($EN$3,0,0,'Données projet'!$E$15+1,1))-AVERAGE(OFFSET($H$3,0,0,'Données projet'!$E$15+1,1))</f>
        <v>#N/A</v>
      </c>
      <c r="EP95" s="58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58" t="e">
        <f t="shared" si="77"/>
        <v>#N/A</v>
      </c>
      <c r="FJ95" s="58" t="e">
        <f ca="1">AVERAGE(OFFSET($FI$3,0,0,'Données projet'!$E$16+1,1))-AVERAGE(OFFSET($H$3,0,0,'Données projet'!$E$16+1,1))</f>
        <v>#N/A</v>
      </c>
      <c r="FK95" s="58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58" t="e">
        <f t="shared" si="80"/>
        <v>#N/A</v>
      </c>
      <c r="GE95" s="58" t="e">
        <f ca="1">AVERAGE(OFFSET($GD$3,0,0,'Données projet'!$E$17+1,1))-AVERAGE(OFFSET($H$3,0,0,'Données projet'!$E$17+1,1))</f>
        <v>#N/A</v>
      </c>
      <c r="GF95" s="58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58" t="e">
        <f t="shared" si="83"/>
        <v>#N/A</v>
      </c>
      <c r="GZ95" s="58" t="e">
        <f ca="1">AVERAGE(OFFSET($GY$3,0,0,'Données projet'!$E$18+1,1))-AVERAGE(OFFSET($H$3,0,0,'Données projet'!$E$18+1,1))</f>
        <v>#N/A</v>
      </c>
      <c r="HA95" s="58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0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3">
        <f t="shared" si="56"/>
        <v>183.33333333333334</v>
      </c>
      <c r="I96" s="6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5.7333333333333334</v>
      </c>
      <c r="N96" s="14">
        <f>IF('Données projet'!$A$36&gt;35,N95+M96-V95,IF(A96&lt;'Données projet'!$A$36,$K$205^A96,IF(A96='Données projet'!$A$36,'Données projet'!$B$36,N95+M96-V95)))</f>
        <v>319.20000000000027</v>
      </c>
      <c r="O96" s="14">
        <f>N96*VLOOKUP('Données projet'!$B$9,Paramètres!$A$1:$I$89,3,0)*VLOOKUP('Données projet'!$B$9,Paramètres!$A$1:$I$89,5,0)</f>
        <v>268.89408000000026</v>
      </c>
      <c r="P96" s="14">
        <f t="shared" si="87"/>
        <v>64.614509116361006</v>
      </c>
      <c r="Q96" s="22">
        <f t="shared" si="54"/>
        <v>580.86079271099584</v>
      </c>
      <c r="R96" s="58">
        <f t="shared" si="55"/>
        <v>856.18895838283174</v>
      </c>
      <c r="S96" s="58">
        <f ca="1">AVERAGE(OFFSET($R$3,0,0,'Données projet'!$E$9+1,1))-AVERAGE(OFFSET($H$3,0,0,'Données projet'!$E$9+1,1))</f>
        <v>527.70171871461309</v>
      </c>
      <c r="T96" s="58">
        <f t="shared" si="88"/>
        <v>281.06176764290592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7.4487616075202823E-14</v>
      </c>
      <c r="AK96" s="14">
        <f t="shared" si="89"/>
        <v>1.1580453144473142E-12</v>
      </c>
      <c r="AL96" s="22">
        <f t="shared" si="58"/>
        <v>2.1466615206600508E-12</v>
      </c>
      <c r="AM96" s="58">
        <f t="shared" si="59"/>
        <v>275.32816567183812</v>
      </c>
      <c r="AN96" s="58">
        <f ca="1">AVERAGE(OFFSET($AM$3,0,0,'Données projet'!$E$10+1,1))-AVERAGE(OFFSET($H$3,0,0,'Données projet'!$E$10+1,1))</f>
        <v>302.53318056366777</v>
      </c>
      <c r="AO96" s="58">
        <f t="shared" si="90"/>
        <v>318.32262615164541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0.47595202580266094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0.47595202580266094</v>
      </c>
      <c r="AY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9.1000000000003638</v>
      </c>
      <c r="BE96" s="14">
        <f>BD96*VLOOKUP('Données projet'!$B$11,Paramètres!$A$1:$I$89,3,0)*VLOOKUP('Données projet'!$B$11,Paramètres!$A$1:$I$89,5,0)</f>
        <v>7.2399600000002895</v>
      </c>
      <c r="BF96" s="14">
        <f t="shared" si="91"/>
        <v>2.6498112636338633</v>
      </c>
      <c r="BG96" s="22">
        <f t="shared" si="61"/>
        <v>17.224684950829481</v>
      </c>
      <c r="BH96" s="58">
        <f t="shared" si="62"/>
        <v>292.55285062266546</v>
      </c>
      <c r="BI96" s="58">
        <f ca="1">AVERAGE(OFFSET($BH$3,0,0,'Données projet'!$E$11+1,1))-AVERAGE(OFFSET($H$3,0,0,'Données projet'!$E$11+1,1))</f>
        <v>336.25341821407534</v>
      </c>
      <c r="BJ96" s="58">
        <f t="shared" si="92"/>
        <v>360.3246221345039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0.90662320348456171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0.90662320348456171</v>
      </c>
      <c r="BT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5.6843418860808015E-14</v>
      </c>
      <c r="BZ96" s="14">
        <f>BY96*VLOOKUP('Données projet'!$B$12,Paramètres!$A$1:$I$89,3,0)*VLOOKUP('Données projet'!$B$12,Paramètres!$A$1:$I$89,5,0)</f>
        <v>4.6111381379887463E-14</v>
      </c>
      <c r="CA96" s="14">
        <f t="shared" si="93"/>
        <v>7.5804141040779151E-13</v>
      </c>
      <c r="CB96" s="22">
        <f t="shared" si="64"/>
        <v>1.4005661123635408E-12</v>
      </c>
      <c r="CC96" s="58">
        <f t="shared" si="65"/>
        <v>275.32816567183738</v>
      </c>
      <c r="CD96" s="58">
        <f ca="1">AVERAGE(OFFSET($CC$3,0,0,'Données projet'!$E$12+1,1))-AVERAGE(OFFSET($H$3,0,0,'Données projet'!$E$12+1,1))</f>
        <v>308.58270639204238</v>
      </c>
      <c r="CE96" s="58">
        <f t="shared" si="94"/>
        <v>258.90832875500325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3.5897435897435854</v>
      </c>
      <c r="CT96" s="13">
        <f>IF('Données projet'!$A$140&gt;35,CT95+CS96-DB95,IF(A96&lt;'Données projet'!$A$140,$CQ$205^A96,IF(A96='Données projet'!$A$140,'Données projet'!$B$140,CT95+CS96-DB95)))</f>
        <v>222.30769230769224</v>
      </c>
      <c r="CU96" s="18">
        <f>CT96*VLOOKUP('Données projet'!$B$13,Paramètres!$A$1:$I$89,3,0)*VLOOKUP('Données projet'!$B$13,Paramètres!$A$1:$I$89,5,0)</f>
        <v>211.54799999999992</v>
      </c>
      <c r="CV96" s="14">
        <f t="shared" si="95"/>
        <v>52.273717915363171</v>
      </c>
      <c r="CW96" s="22">
        <f t="shared" si="67"/>
        <v>459.489492035924</v>
      </c>
      <c r="CX96" s="58">
        <f t="shared" si="68"/>
        <v>734.81765770775996</v>
      </c>
      <c r="CY96" s="58">
        <f ca="1">AVERAGE(OFFSET($CX$3,0,0,'Données projet'!$E$13+1,1))-AVERAGE(OFFSET($H$3,0,0,'Données projet'!$E$13+1,1))</f>
        <v>397.61813291201469</v>
      </c>
      <c r="CZ96" s="58">
        <f t="shared" si="96"/>
        <v>320.30651625485064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0.55389716067541084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0.55389716067541084</v>
      </c>
      <c r="DJ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58" t="e">
        <f t="shared" si="71"/>
        <v>#N/A</v>
      </c>
      <c r="DT96" s="58" t="e">
        <f ca="1">AVERAGE(OFFSET($DS$3,0,0,'Données projet'!$E$14+1,1))-AVERAGE(OFFSET($H$3,0,0,'Données projet'!$E$14+1,1))</f>
        <v>#N/A</v>
      </c>
      <c r="DU96" s="58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58" t="e">
        <f t="shared" si="74"/>
        <v>#N/A</v>
      </c>
      <c r="EO96" s="58" t="e">
        <f ca="1">AVERAGE(OFFSET($EN$3,0,0,'Données projet'!$E$15+1,1))-AVERAGE(OFFSET($H$3,0,0,'Données projet'!$E$15+1,1))</f>
        <v>#N/A</v>
      </c>
      <c r="EP96" s="58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58" t="e">
        <f t="shared" si="77"/>
        <v>#N/A</v>
      </c>
      <c r="FJ96" s="58" t="e">
        <f ca="1">AVERAGE(OFFSET($FI$3,0,0,'Données projet'!$E$16+1,1))-AVERAGE(OFFSET($H$3,0,0,'Données projet'!$E$16+1,1))</f>
        <v>#N/A</v>
      </c>
      <c r="FK96" s="58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58" t="e">
        <f t="shared" si="80"/>
        <v>#N/A</v>
      </c>
      <c r="GE96" s="58" t="e">
        <f ca="1">AVERAGE(OFFSET($GD$3,0,0,'Données projet'!$E$17+1,1))-AVERAGE(OFFSET($H$3,0,0,'Données projet'!$E$17+1,1))</f>
        <v>#N/A</v>
      </c>
      <c r="GF96" s="58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58" t="e">
        <f t="shared" si="83"/>
        <v>#N/A</v>
      </c>
      <c r="GZ96" s="58" t="e">
        <f ca="1">AVERAGE(OFFSET($GY$3,0,0,'Données projet'!$E$18+1,1))-AVERAGE(OFFSET($H$3,0,0,'Données projet'!$E$18+1,1))</f>
        <v>#N/A</v>
      </c>
      <c r="HA96" s="58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0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3">
        <f t="shared" si="56"/>
        <v>183.33333333333334</v>
      </c>
      <c r="I97" s="6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5.7333333333333334</v>
      </c>
      <c r="N97" s="14">
        <f>IF('Données projet'!$A$36&gt;35,N96+M97-V96,IF(A97&lt;'Données projet'!$A$36,$K$205^A97,IF(A97='Données projet'!$A$36,'Données projet'!$B$36,N96+M97-V96)))</f>
        <v>324.93333333333362</v>
      </c>
      <c r="O97" s="14">
        <f>N97*VLOOKUP('Données projet'!$B$9,Paramètres!$A$1:$I$89,3,0)*VLOOKUP('Données projet'!$B$9,Paramètres!$A$1:$I$89,5,0)</f>
        <v>273.72384000000028</v>
      </c>
      <c r="P97" s="14">
        <f t="shared" si="87"/>
        <v>65.638930987914748</v>
      </c>
      <c r="Q97" s="22">
        <f t="shared" si="54"/>
        <v>591.05682613728538</v>
      </c>
      <c r="R97" s="58">
        <f t="shared" si="55"/>
        <v>866.69734121452393</v>
      </c>
      <c r="S97" s="58">
        <f ca="1">AVERAGE(OFFSET($R$3,0,0,'Données projet'!$E$9+1,1))-AVERAGE(OFFSET($H$3,0,0,'Données projet'!$E$9+1,1))</f>
        <v>527.70171871461309</v>
      </c>
      <c r="T97" s="58">
        <f t="shared" si="88"/>
        <v>281.06176764290592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7.4487616075202823E-14</v>
      </c>
      <c r="AK97" s="14">
        <f t="shared" si="89"/>
        <v>1.1580453144473142E-12</v>
      </c>
      <c r="AL97" s="22">
        <f t="shared" si="58"/>
        <v>2.1466615206600508E-12</v>
      </c>
      <c r="AM97" s="58">
        <f t="shared" si="59"/>
        <v>275.64051507724065</v>
      </c>
      <c r="AN97" s="58">
        <f ca="1">AVERAGE(OFFSET($AM$3,0,0,'Données projet'!$E$10+1,1))-AVERAGE(OFFSET($H$3,0,0,'Données projet'!$E$10+1,1))</f>
        <v>302.53318056366777</v>
      </c>
      <c r="AO97" s="58">
        <f t="shared" si="90"/>
        <v>318.32262615164541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0.46293709262785793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0.46293709262785793</v>
      </c>
      <c r="AY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9.1000000000003638</v>
      </c>
      <c r="BE97" s="14">
        <f>BD97*VLOOKUP('Données projet'!$B$11,Paramètres!$A$1:$I$89,3,0)*VLOOKUP('Données projet'!$B$11,Paramètres!$A$1:$I$89,5,0)</f>
        <v>7.2399600000002895</v>
      </c>
      <c r="BF97" s="14">
        <f t="shared" si="91"/>
        <v>2.6498112636338633</v>
      </c>
      <c r="BG97" s="22">
        <f t="shared" si="61"/>
        <v>17.224684950829481</v>
      </c>
      <c r="BH97" s="58">
        <f t="shared" si="62"/>
        <v>292.86520002806799</v>
      </c>
      <c r="BI97" s="58">
        <f ca="1">AVERAGE(OFFSET($BH$3,0,0,'Données projet'!$E$11+1,1))-AVERAGE(OFFSET($H$3,0,0,'Données projet'!$E$11+1,1))</f>
        <v>336.25341821407534</v>
      </c>
      <c r="BJ97" s="58">
        <f t="shared" si="92"/>
        <v>360.3246221345039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0.88183154430803423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0.88183154430803423</v>
      </c>
      <c r="BT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5.6843418860808015E-14</v>
      </c>
      <c r="BZ97" s="14">
        <f>BY97*VLOOKUP('Données projet'!$B$12,Paramètres!$A$1:$I$89,3,0)*VLOOKUP('Données projet'!$B$12,Paramètres!$A$1:$I$89,5,0)</f>
        <v>4.6111381379887463E-14</v>
      </c>
      <c r="CA97" s="14">
        <f t="shared" si="93"/>
        <v>7.5804141040779151E-13</v>
      </c>
      <c r="CB97" s="22">
        <f t="shared" si="64"/>
        <v>1.4005661123635408E-12</v>
      </c>
      <c r="CC97" s="58">
        <f t="shared" si="65"/>
        <v>275.64051507723991</v>
      </c>
      <c r="CD97" s="58">
        <f ca="1">AVERAGE(OFFSET($CC$3,0,0,'Données projet'!$E$12+1,1))-AVERAGE(OFFSET($H$3,0,0,'Données projet'!$E$12+1,1))</f>
        <v>308.58270639204238</v>
      </c>
      <c r="CE97" s="58">
        <f t="shared" si="94"/>
        <v>258.90832875500325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3.5897435897435854</v>
      </c>
      <c r="CT97" s="13">
        <f>IF('Données projet'!$A$140&gt;35,CT96+CS97-DB96,IF(A97&lt;'Données projet'!$A$140,$CQ$205^A97,IF(A97='Données projet'!$A$140,'Données projet'!$B$140,CT96+CS97-DB96)))</f>
        <v>225.89743589743583</v>
      </c>
      <c r="CU97" s="18">
        <f>CT97*VLOOKUP('Données projet'!$B$13,Paramètres!$A$1:$I$89,3,0)*VLOOKUP('Données projet'!$B$13,Paramètres!$A$1:$I$89,5,0)</f>
        <v>214.96399999999994</v>
      </c>
      <c r="CV97" s="14">
        <f t="shared" si="95"/>
        <v>53.018865213249249</v>
      </c>
      <c r="CW97" s="22">
        <f t="shared" si="67"/>
        <v>466.73682357974229</v>
      </c>
      <c r="CX97" s="58">
        <f t="shared" si="68"/>
        <v>742.37733865698078</v>
      </c>
      <c r="CY97" s="58">
        <f ca="1">AVERAGE(OFFSET($CX$3,0,0,'Données projet'!$E$13+1,1))-AVERAGE(OFFSET($H$3,0,0,'Données projet'!$E$13+1,1))</f>
        <v>397.61813291201469</v>
      </c>
      <c r="CZ97" s="58">
        <f t="shared" si="96"/>
        <v>320.30651625485064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0.53875081368855604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0.53875081368855604</v>
      </c>
      <c r="DJ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58" t="e">
        <f t="shared" si="71"/>
        <v>#N/A</v>
      </c>
      <c r="DT97" s="58" t="e">
        <f ca="1">AVERAGE(OFFSET($DS$3,0,0,'Données projet'!$E$14+1,1))-AVERAGE(OFFSET($H$3,0,0,'Données projet'!$E$14+1,1))</f>
        <v>#N/A</v>
      </c>
      <c r="DU97" s="58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58" t="e">
        <f t="shared" si="74"/>
        <v>#N/A</v>
      </c>
      <c r="EO97" s="58" t="e">
        <f ca="1">AVERAGE(OFFSET($EN$3,0,0,'Données projet'!$E$15+1,1))-AVERAGE(OFFSET($H$3,0,0,'Données projet'!$E$15+1,1))</f>
        <v>#N/A</v>
      </c>
      <c r="EP97" s="58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58" t="e">
        <f t="shared" si="77"/>
        <v>#N/A</v>
      </c>
      <c r="FJ97" s="58" t="e">
        <f ca="1">AVERAGE(OFFSET($FI$3,0,0,'Données projet'!$E$16+1,1))-AVERAGE(OFFSET($H$3,0,0,'Données projet'!$E$16+1,1))</f>
        <v>#N/A</v>
      </c>
      <c r="FK97" s="58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58" t="e">
        <f t="shared" si="80"/>
        <v>#N/A</v>
      </c>
      <c r="GE97" s="58" t="e">
        <f ca="1">AVERAGE(OFFSET($GD$3,0,0,'Données projet'!$E$17+1,1))-AVERAGE(OFFSET($H$3,0,0,'Données projet'!$E$17+1,1))</f>
        <v>#N/A</v>
      </c>
      <c r="GF97" s="58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58" t="e">
        <f t="shared" si="83"/>
        <v>#N/A</v>
      </c>
      <c r="GZ97" s="58" t="e">
        <f ca="1">AVERAGE(OFFSET($GY$3,0,0,'Données projet'!$E$18+1,1))-AVERAGE(OFFSET($H$3,0,0,'Données projet'!$E$18+1,1))</f>
        <v>#N/A</v>
      </c>
      <c r="HA97" s="58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0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3">
        <f t="shared" si="56"/>
        <v>183.33333333333334</v>
      </c>
      <c r="I98" s="6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5.7333333333333334</v>
      </c>
      <c r="N98" s="14">
        <f>IF('Données projet'!$A$36&gt;35,N97+M98-V97,IF(A98&lt;'Données projet'!$A$36,$K$205^A98,IF(A98='Données projet'!$A$36,'Données projet'!$B$36,N97+M98-V97)))</f>
        <v>330.66666666666697</v>
      </c>
      <c r="O98" s="14">
        <f>N98*VLOOKUP('Données projet'!$B$9,Paramètres!$A$1:$I$89,3,0)*VLOOKUP('Données projet'!$B$9,Paramètres!$A$1:$I$89,5,0)</f>
        <v>278.5536000000003</v>
      </c>
      <c r="P98" s="14">
        <f t="shared" si="87"/>
        <v>66.661250908095212</v>
      </c>
      <c r="Q98" s="22">
        <f t="shared" si="54"/>
        <v>601.24919866493292</v>
      </c>
      <c r="R98" s="58">
        <f t="shared" si="55"/>
        <v>877.1966445836988</v>
      </c>
      <c r="S98" s="58">
        <f ca="1">AVERAGE(OFFSET($R$3,0,0,'Données projet'!$E$9+1,1))-AVERAGE(OFFSET($H$3,0,0,'Données projet'!$E$9+1,1))</f>
        <v>527.70171871461309</v>
      </c>
      <c r="T98" s="58">
        <f t="shared" si="88"/>
        <v>281.06176764290592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7.4487616075202823E-14</v>
      </c>
      <c r="AK98" s="14">
        <f t="shared" si="89"/>
        <v>1.1580453144473142E-12</v>
      </c>
      <c r="AL98" s="22">
        <f t="shared" si="58"/>
        <v>2.1466615206600508E-12</v>
      </c>
      <c r="AM98" s="58">
        <f t="shared" si="59"/>
        <v>275.9474459187681</v>
      </c>
      <c r="AN98" s="58">
        <f ca="1">AVERAGE(OFFSET($AM$3,0,0,'Données projet'!$E$10+1,1))-AVERAGE(OFFSET($H$3,0,0,'Données projet'!$E$10+1,1))</f>
        <v>302.53318056366777</v>
      </c>
      <c r="AO98" s="58">
        <f t="shared" si="90"/>
        <v>318.32262615164541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0.45027805348514549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0.45027805348514549</v>
      </c>
      <c r="AY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9.1000000000003638</v>
      </c>
      <c r="BE98" s="14">
        <f>BD98*VLOOKUP('Données projet'!$B$11,Paramètres!$A$1:$I$89,3,0)*VLOOKUP('Données projet'!$B$11,Paramètres!$A$1:$I$89,5,0)</f>
        <v>7.2399600000002895</v>
      </c>
      <c r="BF98" s="14">
        <f t="shared" si="91"/>
        <v>2.6498112636338633</v>
      </c>
      <c r="BG98" s="22">
        <f t="shared" si="61"/>
        <v>17.224684950829481</v>
      </c>
      <c r="BH98" s="58">
        <f t="shared" si="62"/>
        <v>293.17213086959543</v>
      </c>
      <c r="BI98" s="58">
        <f ca="1">AVERAGE(OFFSET($BH$3,0,0,'Données projet'!$E$11+1,1))-AVERAGE(OFFSET($H$3,0,0,'Données projet'!$E$11+1,1))</f>
        <v>336.25341821407534</v>
      </c>
      <c r="BJ98" s="58">
        <f t="shared" si="92"/>
        <v>360.3246221345039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0.8577178143554256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0.8577178143554256</v>
      </c>
      <c r="BT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5.6843418860808015E-14</v>
      </c>
      <c r="BZ98" s="14">
        <f>BY98*VLOOKUP('Données projet'!$B$12,Paramètres!$A$1:$I$89,3,0)*VLOOKUP('Données projet'!$B$12,Paramètres!$A$1:$I$89,5,0)</f>
        <v>4.6111381379887463E-14</v>
      </c>
      <c r="CA98" s="14">
        <f t="shared" si="93"/>
        <v>7.5804141040779151E-13</v>
      </c>
      <c r="CB98" s="22">
        <f t="shared" si="64"/>
        <v>1.4005661123635408E-12</v>
      </c>
      <c r="CC98" s="58">
        <f t="shared" si="65"/>
        <v>275.94744591876736</v>
      </c>
      <c r="CD98" s="58">
        <f ca="1">AVERAGE(OFFSET($CC$3,0,0,'Données projet'!$E$12+1,1))-AVERAGE(OFFSET($H$3,0,0,'Données projet'!$E$12+1,1))</f>
        <v>308.58270639204238</v>
      </c>
      <c r="CE98" s="58">
        <f t="shared" si="94"/>
        <v>258.90832875500325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229.48717948717947</v>
      </c>
      <c r="CR98" s="13">
        <f>VLOOKUP(A98,'Données projet'!$A$139:$I$159,9,0)</f>
        <v>3.5897435897435854</v>
      </c>
      <c r="CS98" s="13">
        <f t="array" ref="CS98">INDEX(CR:CR,MIN(IF(ISNUMBER(CR98:CR294),ROW(CR98:CR294),"")))</f>
        <v>3.5897435897435854</v>
      </c>
      <c r="CT98" s="13">
        <f>IF('Données projet'!$A$140&gt;35,CT97+CS98-DB97,IF(A98&lt;'Données projet'!$A$140,$CQ$205^A98,IF(A98='Données projet'!$A$140,'Données projet'!$B$140,CT97+CS98-DB97)))</f>
        <v>229.48717948717942</v>
      </c>
      <c r="CU98" s="18">
        <f>CT98*VLOOKUP('Données projet'!$B$13,Paramètres!$A$1:$I$89,3,0)*VLOOKUP('Données projet'!$B$13,Paramètres!$A$1:$I$89,5,0)</f>
        <v>218.37999999999994</v>
      </c>
      <c r="CV98" s="14">
        <f t="shared" si="95"/>
        <v>53.762635412761199</v>
      </c>
      <c r="CW98" s="22">
        <f t="shared" si="67"/>
        <v>473.98175667722558</v>
      </c>
      <c r="CX98" s="58">
        <f t="shared" si="68"/>
        <v>749.92920259599146</v>
      </c>
      <c r="CY98" s="58">
        <f ca="1">AVERAGE(OFFSET($CX$3,0,0,'Données projet'!$E$13+1,1))-AVERAGE(OFFSET($H$3,0,0,'Données projet'!$E$13+1,1))</f>
        <v>397.61813291201469</v>
      </c>
      <c r="CZ98" s="58">
        <f t="shared" si="96"/>
        <v>320.30651625485064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0.52401864435656853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0.52401864435656853</v>
      </c>
      <c r="DJ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58" t="e">
        <f t="shared" si="71"/>
        <v>#N/A</v>
      </c>
      <c r="DT98" s="58" t="e">
        <f ca="1">AVERAGE(OFFSET($DS$3,0,0,'Données projet'!$E$14+1,1))-AVERAGE(OFFSET($H$3,0,0,'Données projet'!$E$14+1,1))</f>
        <v>#N/A</v>
      </c>
      <c r="DU98" s="58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58" t="e">
        <f t="shared" si="74"/>
        <v>#N/A</v>
      </c>
      <c r="EO98" s="58" t="e">
        <f ca="1">AVERAGE(OFFSET($EN$3,0,0,'Données projet'!$E$15+1,1))-AVERAGE(OFFSET($H$3,0,0,'Données projet'!$E$15+1,1))</f>
        <v>#N/A</v>
      </c>
      <c r="EP98" s="58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58" t="e">
        <f t="shared" si="77"/>
        <v>#N/A</v>
      </c>
      <c r="FJ98" s="58" t="e">
        <f ca="1">AVERAGE(OFFSET($FI$3,0,0,'Données projet'!$E$16+1,1))-AVERAGE(OFFSET($H$3,0,0,'Données projet'!$E$16+1,1))</f>
        <v>#N/A</v>
      </c>
      <c r="FK98" s="58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58" t="e">
        <f t="shared" si="80"/>
        <v>#N/A</v>
      </c>
      <c r="GE98" s="58" t="e">
        <f ca="1">AVERAGE(OFFSET($GD$3,0,0,'Données projet'!$E$17+1,1))-AVERAGE(OFFSET($H$3,0,0,'Données projet'!$E$17+1,1))</f>
        <v>#N/A</v>
      </c>
      <c r="GF98" s="58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58" t="e">
        <f t="shared" si="83"/>
        <v>#N/A</v>
      </c>
      <c r="GZ98" s="58" t="e">
        <f ca="1">AVERAGE(OFFSET($GY$3,0,0,'Données projet'!$E$18+1,1))-AVERAGE(OFFSET($H$3,0,0,'Données projet'!$E$18+1,1))</f>
        <v>#N/A</v>
      </c>
      <c r="HA98" s="58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0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3">
        <f t="shared" si="56"/>
        <v>183.33333333333334</v>
      </c>
      <c r="I99" s="6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5.7333333333333334</v>
      </c>
      <c r="N99" s="14">
        <f>IF('Données projet'!$A$36&gt;35,N98+M99-V98,IF(A99&lt;'Données projet'!$A$36,$K$205^A99,IF(A99='Données projet'!$A$36,'Données projet'!$B$36,N98+M99-V98)))</f>
        <v>336.40000000000032</v>
      </c>
      <c r="O99" s="14">
        <f>N99*VLOOKUP('Données projet'!$B$9,Paramètres!$A$1:$I$89,3,0)*VLOOKUP('Données projet'!$B$9,Paramètres!$A$1:$I$89,5,0)</f>
        <v>283.38336000000027</v>
      </c>
      <c r="P99" s="14">
        <f t="shared" si="87"/>
        <v>67.681509527314702</v>
      </c>
      <c r="Q99" s="22">
        <f t="shared" ref="Q99:Q130" si="107">(O99+P99)*0.475*44/12</f>
        <v>611.43798109340685</v>
      </c>
      <c r="R99" s="58">
        <f t="shared" si="55"/>
        <v>887.68703328979427</v>
      </c>
      <c r="S99" s="58">
        <f ca="1">AVERAGE(OFFSET($R$3,0,0,'Données projet'!$E$9+1,1))-AVERAGE(OFFSET($H$3,0,0,'Données projet'!$E$9+1,1))</f>
        <v>527.70171871461309</v>
      </c>
      <c r="T99" s="58">
        <f t="shared" si="88"/>
        <v>281.06176764290592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7.4487616075202823E-14</v>
      </c>
      <c r="AK99" s="14">
        <f t="shared" si="89"/>
        <v>1.1580453144473142E-12</v>
      </c>
      <c r="AL99" s="22">
        <f t="shared" si="58"/>
        <v>2.1466615206600508E-12</v>
      </c>
      <c r="AM99" s="58">
        <f t="shared" si="59"/>
        <v>276.24905219638958</v>
      </c>
      <c r="AN99" s="58">
        <f ca="1">AVERAGE(OFFSET($AM$3,0,0,'Données projet'!$E$10+1,1))-AVERAGE(OFFSET($H$3,0,0,'Données projet'!$E$10+1,1))</f>
        <v>302.53318056366777</v>
      </c>
      <c r="AO99" s="58">
        <f t="shared" si="90"/>
        <v>318.32262615164541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0.43796517643350047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0.43796517643350047</v>
      </c>
      <c r="AY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9.1000000000003638</v>
      </c>
      <c r="BE99" s="14">
        <f>BD99*VLOOKUP('Données projet'!$B$11,Paramètres!$A$1:$I$89,3,0)*VLOOKUP('Données projet'!$B$11,Paramètres!$A$1:$I$89,5,0)</f>
        <v>7.2399600000002895</v>
      </c>
      <c r="BF99" s="14">
        <f t="shared" si="91"/>
        <v>2.6498112636338633</v>
      </c>
      <c r="BG99" s="22">
        <f t="shared" si="61"/>
        <v>17.224684950829481</v>
      </c>
      <c r="BH99" s="58">
        <f t="shared" si="62"/>
        <v>293.47373714721692</v>
      </c>
      <c r="BI99" s="58">
        <f ca="1">AVERAGE(OFFSET($BH$3,0,0,'Données projet'!$E$11+1,1))-AVERAGE(OFFSET($H$3,0,0,'Données projet'!$E$11+1,1))</f>
        <v>336.25341821407534</v>
      </c>
      <c r="BJ99" s="58">
        <f t="shared" si="92"/>
        <v>360.3246221345039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0.83426347561645697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0.83426347561645697</v>
      </c>
      <c r="BT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5.6843418860808015E-14</v>
      </c>
      <c r="BZ99" s="14">
        <f>BY99*VLOOKUP('Données projet'!$B$12,Paramètres!$A$1:$I$89,3,0)*VLOOKUP('Données projet'!$B$12,Paramètres!$A$1:$I$89,5,0)</f>
        <v>4.6111381379887463E-14</v>
      </c>
      <c r="CA99" s="14">
        <f t="shared" si="93"/>
        <v>7.5804141040779151E-13</v>
      </c>
      <c r="CB99" s="22">
        <f t="shared" si="64"/>
        <v>1.4005661123635408E-12</v>
      </c>
      <c r="CC99" s="58">
        <f t="shared" si="65"/>
        <v>276.24905219638885</v>
      </c>
      <c r="CD99" s="58">
        <f ca="1">AVERAGE(OFFSET($CC$3,0,0,'Données projet'!$E$12+1,1))-AVERAGE(OFFSET($H$3,0,0,'Données projet'!$E$12+1,1))</f>
        <v>308.58270639204238</v>
      </c>
      <c r="CE99" s="58">
        <f t="shared" si="94"/>
        <v>258.90832875500325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3.3333333333333313</v>
      </c>
      <c r="CT99" s="13">
        <f>IF('Données projet'!$A$140&gt;35,CT98+CS99-DB98,IF(A99&lt;'Données projet'!$A$140,$CQ$205^A99,IF(A99='Données projet'!$A$140,'Données projet'!$B$140,CT98+CS99-DB98)))</f>
        <v>232.82051282051276</v>
      </c>
      <c r="CU99" s="18">
        <f>CT99*VLOOKUP('Données projet'!$B$13,Paramètres!$A$1:$I$89,3,0)*VLOOKUP('Données projet'!$B$13,Paramètres!$A$1:$I$89,5,0)</f>
        <v>221.55199999999994</v>
      </c>
      <c r="CV99" s="14">
        <f t="shared" si="95"/>
        <v>54.452067119881683</v>
      </c>
      <c r="CW99" s="22">
        <f t="shared" si="67"/>
        <v>480.70708356712709</v>
      </c>
      <c r="CX99" s="58">
        <f t="shared" si="68"/>
        <v>756.95613576351457</v>
      </c>
      <c r="CY99" s="58">
        <f ca="1">AVERAGE(OFFSET($CX$3,0,0,'Données projet'!$E$13+1,1))-AVERAGE(OFFSET($H$3,0,0,'Données projet'!$E$13+1,1))</f>
        <v>397.61813291201469</v>
      </c>
      <c r="CZ99" s="58">
        <f t="shared" si="96"/>
        <v>320.30651625485064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0.50968932696969527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0.50968932696969527</v>
      </c>
      <c r="DJ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58" t="e">
        <f t="shared" si="71"/>
        <v>#N/A</v>
      </c>
      <c r="DT99" s="58" t="e">
        <f ca="1">AVERAGE(OFFSET($DS$3,0,0,'Données projet'!$E$14+1,1))-AVERAGE(OFFSET($H$3,0,0,'Données projet'!$E$14+1,1))</f>
        <v>#N/A</v>
      </c>
      <c r="DU99" s="58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58" t="e">
        <f t="shared" si="74"/>
        <v>#N/A</v>
      </c>
      <c r="EO99" s="58" t="e">
        <f ca="1">AVERAGE(OFFSET($EN$3,0,0,'Données projet'!$E$15+1,1))-AVERAGE(OFFSET($H$3,0,0,'Données projet'!$E$15+1,1))</f>
        <v>#N/A</v>
      </c>
      <c r="EP99" s="58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58" t="e">
        <f t="shared" si="77"/>
        <v>#N/A</v>
      </c>
      <c r="FJ99" s="58" t="e">
        <f ca="1">AVERAGE(OFFSET($FI$3,0,0,'Données projet'!$E$16+1,1))-AVERAGE(OFFSET($H$3,0,0,'Données projet'!$E$16+1,1))</f>
        <v>#N/A</v>
      </c>
      <c r="FK99" s="58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58" t="e">
        <f t="shared" si="80"/>
        <v>#N/A</v>
      </c>
      <c r="GE99" s="58" t="e">
        <f ca="1">AVERAGE(OFFSET($GD$3,0,0,'Données projet'!$E$17+1,1))-AVERAGE(OFFSET($H$3,0,0,'Données projet'!$E$17+1,1))</f>
        <v>#N/A</v>
      </c>
      <c r="GF99" s="58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58" t="e">
        <f t="shared" si="83"/>
        <v>#N/A</v>
      </c>
      <c r="GZ99" s="58" t="e">
        <f ca="1">AVERAGE(OFFSET($GY$3,0,0,'Données projet'!$E$18+1,1))-AVERAGE(OFFSET($H$3,0,0,'Données projet'!$E$18+1,1))</f>
        <v>#N/A</v>
      </c>
      <c r="HA99" s="58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0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3">
        <f t="shared" si="56"/>
        <v>183.33333333333334</v>
      </c>
      <c r="I100" s="6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5.7333333333333334</v>
      </c>
      <c r="N100" s="14">
        <f>IF('Données projet'!$A$36&gt;35,N99+M100-V99,IF(A100&lt;'Données projet'!$A$36,$K$205^A100,IF(A100='Données projet'!$A$36,'Données projet'!$B$36,N99+M100-V99)))</f>
        <v>342.13333333333367</v>
      </c>
      <c r="O100" s="14">
        <f>N100*VLOOKUP('Données projet'!$B$9,Paramètres!$A$1:$I$89,3,0)*VLOOKUP('Données projet'!$B$9,Paramètres!$A$1:$I$89,5,0)</f>
        <v>288.21312000000029</v>
      </c>
      <c r="P100" s="14">
        <f t="shared" si="87"/>
        <v>68.699746030956902</v>
      </c>
      <c r="Q100" s="22">
        <f t="shared" si="107"/>
        <v>621.62324167058375</v>
      </c>
      <c r="R100" s="58">
        <f t="shared" si="55"/>
        <v>898.16866794996656</v>
      </c>
      <c r="S100" s="58">
        <f ca="1">AVERAGE(OFFSET($R$3,0,0,'Données projet'!$E$9+1,1))-AVERAGE(OFFSET($H$3,0,0,'Données projet'!$E$9+1,1))</f>
        <v>527.70171871461309</v>
      </c>
      <c r="T100" s="58">
        <f t="shared" si="88"/>
        <v>281.06176764290592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7.4487616075202823E-14</v>
      </c>
      <c r="AK100" s="14">
        <f t="shared" si="89"/>
        <v>1.1580453144473142E-12</v>
      </c>
      <c r="AL100" s="22">
        <f t="shared" si="58"/>
        <v>2.1466615206600508E-12</v>
      </c>
      <c r="AM100" s="58">
        <f t="shared" si="59"/>
        <v>276.54542627938497</v>
      </c>
      <c r="AN100" s="58">
        <f ca="1">AVERAGE(OFFSET($AM$3,0,0,'Données projet'!$E$10+1,1))-AVERAGE(OFFSET($H$3,0,0,'Données projet'!$E$10+1,1))</f>
        <v>302.53318056366777</v>
      </c>
      <c r="AO100" s="58">
        <f t="shared" si="90"/>
        <v>318.32262615164541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0.42598899565233878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0.42598899565233878</v>
      </c>
      <c r="AY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9.1000000000003638</v>
      </c>
      <c r="BE100" s="14">
        <f>BD100*VLOOKUP('Données projet'!$B$11,Paramètres!$A$1:$I$89,3,0)*VLOOKUP('Données projet'!$B$11,Paramètres!$A$1:$I$89,5,0)</f>
        <v>7.2399600000002895</v>
      </c>
      <c r="BF100" s="14">
        <f t="shared" si="91"/>
        <v>2.6498112636338633</v>
      </c>
      <c r="BG100" s="22">
        <f t="shared" si="61"/>
        <v>17.224684950829481</v>
      </c>
      <c r="BH100" s="58">
        <f t="shared" si="62"/>
        <v>293.77011123021231</v>
      </c>
      <c r="BI100" s="58">
        <f ca="1">AVERAGE(OFFSET($BH$3,0,0,'Données projet'!$E$11+1,1))-AVERAGE(OFFSET($H$3,0,0,'Données projet'!$E$11+1,1))</f>
        <v>336.25341821407534</v>
      </c>
      <c r="BJ100" s="58">
        <f t="shared" si="92"/>
        <v>360.3246221345039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0.81145049700371552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0.81145049700371552</v>
      </c>
      <c r="BT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5.6843418860808015E-14</v>
      </c>
      <c r="BZ100" s="14">
        <f>BY100*VLOOKUP('Données projet'!$B$12,Paramètres!$A$1:$I$89,3,0)*VLOOKUP('Données projet'!$B$12,Paramètres!$A$1:$I$89,5,0)</f>
        <v>4.6111381379887463E-14</v>
      </c>
      <c r="CA100" s="14">
        <f t="shared" si="93"/>
        <v>7.5804141040779151E-13</v>
      </c>
      <c r="CB100" s="22">
        <f t="shared" si="64"/>
        <v>1.4005661123635408E-12</v>
      </c>
      <c r="CC100" s="58">
        <f t="shared" si="65"/>
        <v>276.54542627938423</v>
      </c>
      <c r="CD100" s="58">
        <f ca="1">AVERAGE(OFFSET($CC$3,0,0,'Données projet'!$E$12+1,1))-AVERAGE(OFFSET($H$3,0,0,'Données projet'!$E$12+1,1))</f>
        <v>308.58270639204238</v>
      </c>
      <c r="CE100" s="58">
        <f t="shared" si="94"/>
        <v>258.90832875500325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3.3333333333333313</v>
      </c>
      <c r="CT100" s="13">
        <f>IF('Données projet'!$A$140&gt;35,CT99+CS100-DB99,IF(A100&lt;'Données projet'!$A$140,$CQ$205^A100,IF(A100='Données projet'!$A$140,'Données projet'!$B$140,CT99+CS100-DB99)))</f>
        <v>236.1538461538461</v>
      </c>
      <c r="CU100" s="18">
        <f>CT100*VLOOKUP('Données projet'!$B$13,Paramètres!$A$1:$I$89,3,0)*VLOOKUP('Données projet'!$B$13,Paramètres!$A$1:$I$89,5,0)</f>
        <v>224.72399999999993</v>
      </c>
      <c r="CV100" s="14">
        <f t="shared" si="95"/>
        <v>55.140350790767556</v>
      </c>
      <c r="CW100" s="22">
        <f t="shared" si="67"/>
        <v>487.4304109605867</v>
      </c>
      <c r="CX100" s="58">
        <f t="shared" si="68"/>
        <v>763.97583723996945</v>
      </c>
      <c r="CY100" s="58">
        <f ca="1">AVERAGE(OFFSET($CX$3,0,0,'Données projet'!$E$13+1,1))-AVERAGE(OFFSET($H$3,0,0,'Données projet'!$E$13+1,1))</f>
        <v>397.61813291201469</v>
      </c>
      <c r="CZ100" s="58">
        <f t="shared" si="96"/>
        <v>320.30651625485064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0.49575184552031215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0.49575184552031215</v>
      </c>
      <c r="DJ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58" t="e">
        <f t="shared" si="71"/>
        <v>#N/A</v>
      </c>
      <c r="DT100" s="58" t="e">
        <f ca="1">AVERAGE(OFFSET($DS$3,0,0,'Données projet'!$E$14+1,1))-AVERAGE(OFFSET($H$3,0,0,'Données projet'!$E$14+1,1))</f>
        <v>#N/A</v>
      </c>
      <c r="DU100" s="58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58" t="e">
        <f t="shared" si="74"/>
        <v>#N/A</v>
      </c>
      <c r="EO100" s="58" t="e">
        <f ca="1">AVERAGE(OFFSET($EN$3,0,0,'Données projet'!$E$15+1,1))-AVERAGE(OFFSET($H$3,0,0,'Données projet'!$E$15+1,1))</f>
        <v>#N/A</v>
      </c>
      <c r="EP100" s="58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58" t="e">
        <f t="shared" si="77"/>
        <v>#N/A</v>
      </c>
      <c r="FJ100" s="58" t="e">
        <f ca="1">AVERAGE(OFFSET($FI$3,0,0,'Données projet'!$E$16+1,1))-AVERAGE(OFFSET($H$3,0,0,'Données projet'!$E$16+1,1))</f>
        <v>#N/A</v>
      </c>
      <c r="FK100" s="58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58" t="e">
        <f t="shared" si="80"/>
        <v>#N/A</v>
      </c>
      <c r="GE100" s="58" t="e">
        <f ca="1">AVERAGE(OFFSET($GD$3,0,0,'Données projet'!$E$17+1,1))-AVERAGE(OFFSET($H$3,0,0,'Données projet'!$E$17+1,1))</f>
        <v>#N/A</v>
      </c>
      <c r="GF100" s="58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58" t="e">
        <f t="shared" si="83"/>
        <v>#N/A</v>
      </c>
      <c r="GZ100" s="58" t="e">
        <f ca="1">AVERAGE(OFFSET($GY$3,0,0,'Données projet'!$E$18+1,1))-AVERAGE(OFFSET($H$3,0,0,'Données projet'!$E$18+1,1))</f>
        <v>#N/A</v>
      </c>
      <c r="HA100" s="58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0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3">
        <f t="shared" si="56"/>
        <v>183.33333333333334</v>
      </c>
      <c r="I101" s="6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5.7333333333333334</v>
      </c>
      <c r="N101" s="14">
        <f>IF('Données projet'!$A$36&gt;35,N100+M101-V100,IF(A101&lt;'Données projet'!$A$36,$K$205^A101,IF(A101='Données projet'!$A$36,'Données projet'!$B$36,N100+M101-V100)))</f>
        <v>347.86666666666702</v>
      </c>
      <c r="O101" s="14">
        <f>N101*VLOOKUP('Données projet'!$B$9,Paramètres!$A$1:$I$89,3,0)*VLOOKUP('Données projet'!$B$9,Paramètres!$A$1:$I$89,5,0)</f>
        <v>293.04288000000037</v>
      </c>
      <c r="P101" s="14">
        <f t="shared" si="87"/>
        <v>69.715998215825522</v>
      </c>
      <c r="Q101" s="22">
        <f t="shared" si="107"/>
        <v>631.80504622589672</v>
      </c>
      <c r="R101" s="58">
        <f t="shared" si="55"/>
        <v>908.64170516052809</v>
      </c>
      <c r="S101" s="58">
        <f ca="1">AVERAGE(OFFSET($R$3,0,0,'Données projet'!$E$9+1,1))-AVERAGE(OFFSET($H$3,0,0,'Données projet'!$E$9+1,1))</f>
        <v>527.70171871461309</v>
      </c>
      <c r="T101" s="58">
        <f t="shared" si="88"/>
        <v>281.06176764290592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7.4487616075202823E-14</v>
      </c>
      <c r="AK101" s="14">
        <f t="shared" si="89"/>
        <v>1.1580453144473142E-12</v>
      </c>
      <c r="AL101" s="22">
        <f t="shared" si="58"/>
        <v>2.1466615206600508E-12</v>
      </c>
      <c r="AM101" s="58">
        <f t="shared" si="59"/>
        <v>276.83665893463353</v>
      </c>
      <c r="AN101" s="58">
        <f ca="1">AVERAGE(OFFSET($AM$3,0,0,'Données projet'!$E$10+1,1))-AVERAGE(OFFSET($H$3,0,0,'Données projet'!$E$10+1,1))</f>
        <v>302.53318056366777</v>
      </c>
      <c r="AO101" s="58">
        <f t="shared" si="90"/>
        <v>318.32262615164541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0.4143403041644379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0.4143403041644379</v>
      </c>
      <c r="AY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9.1000000000003638</v>
      </c>
      <c r="BE101" s="14">
        <f>BD101*VLOOKUP('Données projet'!$B$11,Paramètres!$A$1:$I$89,3,0)*VLOOKUP('Données projet'!$B$11,Paramètres!$A$1:$I$89,5,0)</f>
        <v>7.2399600000002895</v>
      </c>
      <c r="BF101" s="14">
        <f t="shared" si="91"/>
        <v>2.6498112636338633</v>
      </c>
      <c r="BG101" s="22">
        <f t="shared" si="61"/>
        <v>17.224684950829481</v>
      </c>
      <c r="BH101" s="58">
        <f t="shared" si="62"/>
        <v>294.06134388546087</v>
      </c>
      <c r="BI101" s="58">
        <f ca="1">AVERAGE(OFFSET($BH$3,0,0,'Données projet'!$E$11+1,1))-AVERAGE(OFFSET($H$3,0,0,'Données projet'!$E$11+1,1))</f>
        <v>336.25341821407534</v>
      </c>
      <c r="BJ101" s="58">
        <f t="shared" si="92"/>
        <v>360.3246221345039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0.78926134049082186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0.78926134049082186</v>
      </c>
      <c r="BT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5.6843418860808015E-14</v>
      </c>
      <c r="BZ101" s="14">
        <f>BY101*VLOOKUP('Données projet'!$B$12,Paramètres!$A$1:$I$89,3,0)*VLOOKUP('Données projet'!$B$12,Paramètres!$A$1:$I$89,5,0)</f>
        <v>4.6111381379887463E-14</v>
      </c>
      <c r="CA101" s="14">
        <f t="shared" si="93"/>
        <v>7.5804141040779151E-13</v>
      </c>
      <c r="CB101" s="22">
        <f t="shared" si="64"/>
        <v>1.4005661123635408E-12</v>
      </c>
      <c r="CC101" s="58">
        <f t="shared" si="65"/>
        <v>276.83665893463279</v>
      </c>
      <c r="CD101" s="58">
        <f ca="1">AVERAGE(OFFSET($CC$3,0,0,'Données projet'!$E$12+1,1))-AVERAGE(OFFSET($H$3,0,0,'Données projet'!$E$12+1,1))</f>
        <v>308.58270639204238</v>
      </c>
      <c r="CE101" s="58">
        <f t="shared" si="94"/>
        <v>258.90832875500325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3.3333333333333313</v>
      </c>
      <c r="CT101" s="13">
        <f>IF('Données projet'!$A$140&gt;35,CT100+CS101-DB100,IF(A101&lt;'Données projet'!$A$140,$CQ$205^A101,IF(A101='Données projet'!$A$140,'Données projet'!$B$140,CT100+CS101-DB100)))</f>
        <v>239.48717948717945</v>
      </c>
      <c r="CU101" s="18">
        <f>CT101*VLOOKUP('Données projet'!$B$13,Paramètres!$A$1:$I$89,3,0)*VLOOKUP('Données projet'!$B$13,Paramètres!$A$1:$I$89,5,0)</f>
        <v>227.89599999999999</v>
      </c>
      <c r="CV101" s="14">
        <f t="shared" si="95"/>
        <v>55.827504502630809</v>
      </c>
      <c r="CW101" s="22">
        <f t="shared" si="67"/>
        <v>494.15177034208205</v>
      </c>
      <c r="CX101" s="58">
        <f t="shared" si="68"/>
        <v>770.98842927671342</v>
      </c>
      <c r="CY101" s="58">
        <f ca="1">AVERAGE(OFFSET($CX$3,0,0,'Données projet'!$E$13+1,1))-AVERAGE(OFFSET($H$3,0,0,'Données projet'!$E$13+1,1))</f>
        <v>397.61813291201469</v>
      </c>
      <c r="CZ101" s="58">
        <f t="shared" si="96"/>
        <v>320.30651625485064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0.48219548523410272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0.48219548523410272</v>
      </c>
      <c r="DJ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58" t="e">
        <f t="shared" si="71"/>
        <v>#N/A</v>
      </c>
      <c r="DT101" s="58" t="e">
        <f ca="1">AVERAGE(OFFSET($DS$3,0,0,'Données projet'!$E$14+1,1))-AVERAGE(OFFSET($H$3,0,0,'Données projet'!$E$14+1,1))</f>
        <v>#N/A</v>
      </c>
      <c r="DU101" s="58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58" t="e">
        <f t="shared" si="74"/>
        <v>#N/A</v>
      </c>
      <c r="EO101" s="58" t="e">
        <f ca="1">AVERAGE(OFFSET($EN$3,0,0,'Données projet'!$E$15+1,1))-AVERAGE(OFFSET($H$3,0,0,'Données projet'!$E$15+1,1))</f>
        <v>#N/A</v>
      </c>
      <c r="EP101" s="58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58" t="e">
        <f t="shared" si="77"/>
        <v>#N/A</v>
      </c>
      <c r="FJ101" s="58" t="e">
        <f ca="1">AVERAGE(OFFSET($FI$3,0,0,'Données projet'!$E$16+1,1))-AVERAGE(OFFSET($H$3,0,0,'Données projet'!$E$16+1,1))</f>
        <v>#N/A</v>
      </c>
      <c r="FK101" s="58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58" t="e">
        <f t="shared" si="80"/>
        <v>#N/A</v>
      </c>
      <c r="GE101" s="58" t="e">
        <f ca="1">AVERAGE(OFFSET($GD$3,0,0,'Données projet'!$E$17+1,1))-AVERAGE(OFFSET($H$3,0,0,'Données projet'!$E$17+1,1))</f>
        <v>#N/A</v>
      </c>
      <c r="GF101" s="58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58" t="e">
        <f t="shared" si="83"/>
        <v>#N/A</v>
      </c>
      <c r="GZ101" s="58" t="e">
        <f ca="1">AVERAGE(OFFSET($GY$3,0,0,'Données projet'!$E$18+1,1))-AVERAGE(OFFSET($H$3,0,0,'Données projet'!$E$18+1,1))</f>
        <v>#N/A</v>
      </c>
      <c r="HA101" s="58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0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3">
        <f t="shared" si="56"/>
        <v>183.33333333333334</v>
      </c>
      <c r="I102" s="6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5.7333333333333334</v>
      </c>
      <c r="N102" s="14">
        <f>IF('Données projet'!$A$36&gt;35,N101+M102-V101,IF(A102&lt;'Données projet'!$A$36,$K$205^A102,IF(A102='Données projet'!$A$36,'Données projet'!$B$36,N101+M102-V101)))</f>
        <v>353.60000000000036</v>
      </c>
      <c r="O102" s="14">
        <f>N102*VLOOKUP('Données projet'!$B$9,Paramètres!$A$1:$I$89,3,0)*VLOOKUP('Données projet'!$B$9,Paramètres!$A$1:$I$89,5,0)</f>
        <v>297.87264000000033</v>
      </c>
      <c r="P102" s="14">
        <f t="shared" si="87"/>
        <v>70.730302561409729</v>
      </c>
      <c r="Q102" s="22">
        <f t="shared" si="107"/>
        <v>641.98345829445577</v>
      </c>
      <c r="R102" s="58">
        <f t="shared" si="55"/>
        <v>919.10629764886585</v>
      </c>
      <c r="S102" s="58">
        <f ca="1">AVERAGE(OFFSET($R$3,0,0,'Données projet'!$E$9+1,1))-AVERAGE(OFFSET($H$3,0,0,'Données projet'!$E$9+1,1))</f>
        <v>527.70171871461309</v>
      </c>
      <c r="T102" s="58">
        <f t="shared" si="88"/>
        <v>281.06176764290592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7.4487616075202823E-14</v>
      </c>
      <c r="AK102" s="14">
        <f t="shared" si="89"/>
        <v>1.1580453144473142E-12</v>
      </c>
      <c r="AL102" s="22">
        <f t="shared" si="58"/>
        <v>2.1466615206600508E-12</v>
      </c>
      <c r="AM102" s="58">
        <f t="shared" si="59"/>
        <v>277.12283935441229</v>
      </c>
      <c r="AN102" s="58">
        <f ca="1">AVERAGE(OFFSET($AM$3,0,0,'Données projet'!$E$10+1,1))-AVERAGE(OFFSET($H$3,0,0,'Données projet'!$E$10+1,1))</f>
        <v>302.53318056366777</v>
      </c>
      <c r="AO102" s="58">
        <f t="shared" si="90"/>
        <v>318.32262615164541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0.40301014675785174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0.40301014675785174</v>
      </c>
      <c r="AY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9.1000000000003638</v>
      </c>
      <c r="BE102" s="14">
        <f>BD102*VLOOKUP('Données projet'!$B$11,Paramètres!$A$1:$I$89,3,0)*VLOOKUP('Données projet'!$B$11,Paramètres!$A$1:$I$89,5,0)</f>
        <v>7.2399600000002895</v>
      </c>
      <c r="BF102" s="14">
        <f t="shared" si="91"/>
        <v>2.6498112636338633</v>
      </c>
      <c r="BG102" s="22">
        <f t="shared" si="61"/>
        <v>17.224684950829481</v>
      </c>
      <c r="BH102" s="58">
        <f t="shared" si="62"/>
        <v>294.34752430523963</v>
      </c>
      <c r="BI102" s="58">
        <f ca="1">AVERAGE(OFFSET($BH$3,0,0,'Données projet'!$E$11+1,1))-AVERAGE(OFFSET($H$3,0,0,'Données projet'!$E$11+1,1))</f>
        <v>336.25341821407534</v>
      </c>
      <c r="BJ102" s="58">
        <f t="shared" si="92"/>
        <v>360.3246221345039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0.76767894762965028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0.76767894762965028</v>
      </c>
      <c r="BT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5.6843418860808015E-14</v>
      </c>
      <c r="BZ102" s="14">
        <f>BY102*VLOOKUP('Données projet'!$B$12,Paramètres!$A$1:$I$89,3,0)*VLOOKUP('Données projet'!$B$12,Paramètres!$A$1:$I$89,5,0)</f>
        <v>4.6111381379887463E-14</v>
      </c>
      <c r="CA102" s="14">
        <f t="shared" si="93"/>
        <v>7.5804141040779151E-13</v>
      </c>
      <c r="CB102" s="22">
        <f t="shared" si="64"/>
        <v>1.4005661123635408E-12</v>
      </c>
      <c r="CC102" s="58">
        <f t="shared" si="65"/>
        <v>277.12283935441155</v>
      </c>
      <c r="CD102" s="58">
        <f ca="1">AVERAGE(OFFSET($CC$3,0,0,'Données projet'!$E$12+1,1))-AVERAGE(OFFSET($H$3,0,0,'Données projet'!$E$12+1,1))</f>
        <v>308.58270639204238</v>
      </c>
      <c r="CE102" s="58">
        <f t="shared" si="94"/>
        <v>258.90832875500325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3.3333333333333313</v>
      </c>
      <c r="CT102" s="13">
        <f>IF('Données projet'!$A$140&gt;35,CT101+CS102-DB101,IF(A102&lt;'Données projet'!$A$140,$CQ$205^A102,IF(A102='Données projet'!$A$140,'Données projet'!$B$140,CT101+CS102-DB101)))</f>
        <v>242.82051282051279</v>
      </c>
      <c r="CU102" s="18">
        <f>CT102*VLOOKUP('Données projet'!$B$13,Paramètres!$A$1:$I$89,3,0)*VLOOKUP('Données projet'!$B$13,Paramètres!$A$1:$I$89,5,0)</f>
        <v>231.06799999999998</v>
      </c>
      <c r="CV102" s="14">
        <f t="shared" si="95"/>
        <v>56.513545800555768</v>
      </c>
      <c r="CW102" s="22">
        <f t="shared" si="67"/>
        <v>500.87119226930128</v>
      </c>
      <c r="CX102" s="58">
        <f t="shared" si="68"/>
        <v>777.99403162371141</v>
      </c>
      <c r="CY102" s="58">
        <f ca="1">AVERAGE(OFFSET($CX$3,0,0,'Données projet'!$E$13+1,1))-AVERAGE(OFFSET($H$3,0,0,'Données projet'!$E$13+1,1))</f>
        <v>397.61813291201469</v>
      </c>
      <c r="CZ102" s="58">
        <f t="shared" si="96"/>
        <v>320.30651625485064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0.46900982433281768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0.46900982433281768</v>
      </c>
      <c r="DJ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58" t="e">
        <f t="shared" si="71"/>
        <v>#N/A</v>
      </c>
      <c r="DT102" s="58" t="e">
        <f ca="1">AVERAGE(OFFSET($DS$3,0,0,'Données projet'!$E$14+1,1))-AVERAGE(OFFSET($H$3,0,0,'Données projet'!$E$14+1,1))</f>
        <v>#N/A</v>
      </c>
      <c r="DU102" s="58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58" t="e">
        <f t="shared" si="74"/>
        <v>#N/A</v>
      </c>
      <c r="EO102" s="58" t="e">
        <f ca="1">AVERAGE(OFFSET($EN$3,0,0,'Données projet'!$E$15+1,1))-AVERAGE(OFFSET($H$3,0,0,'Données projet'!$E$15+1,1))</f>
        <v>#N/A</v>
      </c>
      <c r="EP102" s="58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58" t="e">
        <f t="shared" si="77"/>
        <v>#N/A</v>
      </c>
      <c r="FJ102" s="58" t="e">
        <f ca="1">AVERAGE(OFFSET($FI$3,0,0,'Données projet'!$E$16+1,1))-AVERAGE(OFFSET($H$3,0,0,'Données projet'!$E$16+1,1))</f>
        <v>#N/A</v>
      </c>
      <c r="FK102" s="58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58" t="e">
        <f t="shared" si="80"/>
        <v>#N/A</v>
      </c>
      <c r="GE102" s="58" t="e">
        <f ca="1">AVERAGE(OFFSET($GD$3,0,0,'Données projet'!$E$17+1,1))-AVERAGE(OFFSET($H$3,0,0,'Données projet'!$E$17+1,1))</f>
        <v>#N/A</v>
      </c>
      <c r="GF102" s="58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58" t="e">
        <f t="shared" si="83"/>
        <v>#N/A</v>
      </c>
      <c r="GZ102" s="58" t="e">
        <f ca="1">AVERAGE(OFFSET($GY$3,0,0,'Données projet'!$E$18+1,1))-AVERAGE(OFFSET($H$3,0,0,'Données projet'!$E$18+1,1))</f>
        <v>#N/A</v>
      </c>
      <c r="HA102" s="58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0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3">
        <f t="shared" si="56"/>
        <v>183.33333333333334</v>
      </c>
      <c r="I103" s="6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5.7333333333333334</v>
      </c>
      <c r="N103" s="14">
        <f>IF('Données projet'!$A$36&gt;35,N102+M103-V102,IF(A103&lt;'Données projet'!$A$36,$K$205^A103,IF(A103='Données projet'!$A$36,'Données projet'!$B$36,N102+M103-V102)))</f>
        <v>359.33333333333371</v>
      </c>
      <c r="O103" s="14">
        <f>N103*VLOOKUP('Données projet'!$B$9,Paramètres!$A$1:$I$89,3,0)*VLOOKUP('Données projet'!$B$9,Paramètres!$A$1:$I$89,5,0)</f>
        <v>302.70240000000035</v>
      </c>
      <c r="P103" s="14">
        <f t="shared" si="87"/>
        <v>71.742694296396692</v>
      </c>
      <c r="Q103" s="22">
        <f t="shared" si="107"/>
        <v>652.15853923289148</v>
      </c>
      <c r="R103" s="58">
        <f t="shared" si="55"/>
        <v>929.56259441660063</v>
      </c>
      <c r="S103" s="58">
        <f ca="1">AVERAGE(OFFSET($R$3,0,0,'Données projet'!$E$9+1,1))-AVERAGE(OFFSET($H$3,0,0,'Données projet'!$E$9+1,1))</f>
        <v>527.70171871461309</v>
      </c>
      <c r="T103" s="58">
        <f t="shared" si="88"/>
        <v>281.06176764290592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7.4487616075202823E-14</v>
      </c>
      <c r="AK103" s="14">
        <f t="shared" si="89"/>
        <v>1.1580453144473142E-12</v>
      </c>
      <c r="AL103" s="22">
        <f t="shared" si="58"/>
        <v>2.1466615206600508E-12</v>
      </c>
      <c r="AM103" s="58">
        <f t="shared" si="59"/>
        <v>277.40405518371136</v>
      </c>
      <c r="AN103" s="58">
        <f ca="1">AVERAGE(OFFSET($AM$3,0,0,'Données projet'!$E$10+1,1))-AVERAGE(OFFSET($H$3,0,0,'Données projet'!$E$10+1,1))</f>
        <v>302.53318056366777</v>
      </c>
      <c r="AO103" s="58">
        <f t="shared" si="90"/>
        <v>318.32262615164541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0.39198981310137576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0.39198981310137576</v>
      </c>
      <c r="AY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9.1000000000003638</v>
      </c>
      <c r="BE103" s="14">
        <f>BD103*VLOOKUP('Données projet'!$B$11,Paramètres!$A$1:$I$89,3,0)*VLOOKUP('Données projet'!$B$11,Paramètres!$A$1:$I$89,5,0)</f>
        <v>7.2399600000002895</v>
      </c>
      <c r="BF103" s="14">
        <f t="shared" si="91"/>
        <v>2.6498112636338633</v>
      </c>
      <c r="BG103" s="22">
        <f t="shared" si="61"/>
        <v>17.224684950829481</v>
      </c>
      <c r="BH103" s="58">
        <f t="shared" si="62"/>
        <v>294.6287401345387</v>
      </c>
      <c r="BI103" s="58">
        <f ca="1">AVERAGE(OFFSET($BH$3,0,0,'Données projet'!$E$11+1,1))-AVERAGE(OFFSET($H$3,0,0,'Données projet'!$E$11+1,1))</f>
        <v>336.25341821407534</v>
      </c>
      <c r="BJ103" s="58">
        <f t="shared" si="92"/>
        <v>360.3246221345039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0.74668672643623624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0.74668672643623624</v>
      </c>
      <c r="BT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5.6843418860808015E-14</v>
      </c>
      <c r="BZ103" s="14">
        <f>BY103*VLOOKUP('Données projet'!$B$12,Paramètres!$A$1:$I$89,3,0)*VLOOKUP('Données projet'!$B$12,Paramètres!$A$1:$I$89,5,0)</f>
        <v>4.6111381379887463E-14</v>
      </c>
      <c r="CA103" s="14">
        <f t="shared" si="93"/>
        <v>7.5804141040779151E-13</v>
      </c>
      <c r="CB103" s="22">
        <f t="shared" si="64"/>
        <v>1.4005661123635408E-12</v>
      </c>
      <c r="CC103" s="58">
        <f t="shared" si="65"/>
        <v>277.40405518371062</v>
      </c>
      <c r="CD103" s="58">
        <f ca="1">AVERAGE(OFFSET($CC$3,0,0,'Données projet'!$E$12+1,1))-AVERAGE(OFFSET($H$3,0,0,'Données projet'!$E$12+1,1))</f>
        <v>308.58270639204238</v>
      </c>
      <c r="CE103" s="58">
        <f t="shared" si="94"/>
        <v>258.90832875500325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246.15384615384613</v>
      </c>
      <c r="CR103" s="13">
        <f>VLOOKUP(A103,'Données projet'!$A$139:$I$159,9,0)</f>
        <v>3.3333333333333313</v>
      </c>
      <c r="CS103" s="13">
        <f t="array" ref="CS103">INDEX(CR:CR,MIN(IF(ISNUMBER(CR103:CR299),ROW(CR103:CR299),"")))</f>
        <v>3.3333333333333313</v>
      </c>
      <c r="CT103" s="13">
        <f>IF('Données projet'!$A$140&gt;35,CT102+CS103-DB102,IF(A103&lt;'Données projet'!$A$140,$CQ$205^A103,IF(A103='Données projet'!$A$140,'Données projet'!$B$140,CT102+CS103-DB102)))</f>
        <v>246.15384615384613</v>
      </c>
      <c r="CU103" s="18">
        <f>CT103*VLOOKUP('Données projet'!$B$13,Paramètres!$A$1:$I$89,3,0)*VLOOKUP('Données projet'!$B$13,Paramètres!$A$1:$I$89,5,0)</f>
        <v>234.23999999999998</v>
      </c>
      <c r="CV103" s="14">
        <f t="shared" si="95"/>
        <v>57.19849172024869</v>
      </c>
      <c r="CW103" s="22">
        <f t="shared" si="67"/>
        <v>507.58870641276644</v>
      </c>
      <c r="CX103" s="58">
        <f t="shared" si="68"/>
        <v>784.9927615964757</v>
      </c>
      <c r="CY103" s="58">
        <f ca="1">AVERAGE(OFFSET($CX$3,0,0,'Données projet'!$E$13+1,1))-AVERAGE(OFFSET($H$3,0,0,'Données projet'!$E$13+1,1))</f>
        <v>397.61813291201469</v>
      </c>
      <c r="CZ103" s="58">
        <f t="shared" si="96"/>
        <v>320.30651625485064</v>
      </c>
      <c r="DA103" s="16">
        <f>IF(ISNA(VLOOKUP(A103,'Données projet'!$A$139:$I$159,3,0)),0,VLOOKUP(A103,'Données projet'!$A$139:$I$159,3,0))</f>
        <v>9</v>
      </c>
      <c r="DB103" s="16">
        <f>IF(ISNA(VLOOKUP(A103,'Données projet'!$A$139:$I$159,4,0)),0,VLOOKUP(A103,'Données projet'!$A$139:$I$159,4,0))</f>
        <v>23.717948717948715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0.45618472602228205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0.45618472602228205</v>
      </c>
      <c r="DJ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58" t="e">
        <f t="shared" si="71"/>
        <v>#N/A</v>
      </c>
      <c r="DT103" s="58" t="e">
        <f ca="1">AVERAGE(OFFSET($DS$3,0,0,'Données projet'!$E$14+1,1))-AVERAGE(OFFSET($H$3,0,0,'Données projet'!$E$14+1,1))</f>
        <v>#N/A</v>
      </c>
      <c r="DU103" s="58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58" t="e">
        <f t="shared" si="74"/>
        <v>#N/A</v>
      </c>
      <c r="EO103" s="58" t="e">
        <f ca="1">AVERAGE(OFFSET($EN$3,0,0,'Données projet'!$E$15+1,1))-AVERAGE(OFFSET($H$3,0,0,'Données projet'!$E$15+1,1))</f>
        <v>#N/A</v>
      </c>
      <c r="EP103" s="58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58" t="e">
        <f t="shared" si="77"/>
        <v>#N/A</v>
      </c>
      <c r="FJ103" s="58" t="e">
        <f ca="1">AVERAGE(OFFSET($FI$3,0,0,'Données projet'!$E$16+1,1))-AVERAGE(OFFSET($H$3,0,0,'Données projet'!$E$16+1,1))</f>
        <v>#N/A</v>
      </c>
      <c r="FK103" s="58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58" t="e">
        <f t="shared" si="80"/>
        <v>#N/A</v>
      </c>
      <c r="GE103" s="58" t="e">
        <f ca="1">AVERAGE(OFFSET($GD$3,0,0,'Données projet'!$E$17+1,1))-AVERAGE(OFFSET($H$3,0,0,'Données projet'!$E$17+1,1))</f>
        <v>#N/A</v>
      </c>
      <c r="GF103" s="58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58" t="e">
        <f t="shared" si="83"/>
        <v>#N/A</v>
      </c>
      <c r="GZ103" s="58" t="e">
        <f ca="1">AVERAGE(OFFSET($GY$3,0,0,'Données projet'!$E$18+1,1))-AVERAGE(OFFSET($H$3,0,0,'Données projet'!$E$18+1,1))</f>
        <v>#N/A</v>
      </c>
      <c r="HA103" s="58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0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3">
        <f t="shared" si="56"/>
        <v>183.33333333333334</v>
      </c>
      <c r="I104" s="6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5.7333333333333334</v>
      </c>
      <c r="N104" s="14">
        <f>IF('Données projet'!$A$36&gt;35,N103+M104-V103,IF(A104&lt;'Données projet'!$A$36,$K$205^A104,IF(A104='Données projet'!$A$36,'Données projet'!$B$36,N103+M104-V103)))</f>
        <v>365.06666666666706</v>
      </c>
      <c r="O104" s="14">
        <f>N104*VLOOKUP('Données projet'!$B$9,Paramètres!$A$1:$I$89,3,0)*VLOOKUP('Données projet'!$B$9,Paramètres!$A$1:$I$89,5,0)</f>
        <v>307.53216000000037</v>
      </c>
      <c r="P104" s="14">
        <f t="shared" si="87"/>
        <v>72.753207460818899</v>
      </c>
      <c r="Q104" s="22">
        <f t="shared" si="107"/>
        <v>662.33034832759347</v>
      </c>
      <c r="R104" s="58">
        <f t="shared" si="55"/>
        <v>940.01074087466782</v>
      </c>
      <c r="S104" s="58">
        <f ca="1">AVERAGE(OFFSET($R$3,0,0,'Données projet'!$E$9+1,1))-AVERAGE(OFFSET($H$3,0,0,'Données projet'!$E$9+1,1))</f>
        <v>527.70171871461309</v>
      </c>
      <c r="T104" s="58">
        <f t="shared" si="88"/>
        <v>281.06176764290592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7.4487616075202823E-14</v>
      </c>
      <c r="AK104" s="14">
        <f t="shared" si="89"/>
        <v>1.1580453144473142E-12</v>
      </c>
      <c r="AL104" s="22">
        <f t="shared" si="58"/>
        <v>2.1466615206600508E-12</v>
      </c>
      <c r="AM104" s="58">
        <f t="shared" si="59"/>
        <v>277.68039254707656</v>
      </c>
      <c r="AN104" s="58">
        <f ca="1">AVERAGE(OFFSET($AM$3,0,0,'Données projet'!$E$10+1,1))-AVERAGE(OFFSET($H$3,0,0,'Données projet'!$E$10+1,1))</f>
        <v>302.53318056366777</v>
      </c>
      <c r="AO104" s="58">
        <f t="shared" si="90"/>
        <v>318.32262615164541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0.38127083104827025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0.38127083104827025</v>
      </c>
      <c r="AY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9.1000000000003638</v>
      </c>
      <c r="BE104" s="14">
        <f>BD104*VLOOKUP('Données projet'!$B$11,Paramètres!$A$1:$I$89,3,0)*VLOOKUP('Données projet'!$B$11,Paramètres!$A$1:$I$89,5,0)</f>
        <v>7.2399600000002895</v>
      </c>
      <c r="BF104" s="14">
        <f t="shared" si="91"/>
        <v>2.6498112636338633</v>
      </c>
      <c r="BG104" s="22">
        <f t="shared" si="61"/>
        <v>17.224684950829481</v>
      </c>
      <c r="BH104" s="58">
        <f t="shared" si="62"/>
        <v>294.9050774979039</v>
      </c>
      <c r="BI104" s="58">
        <f ca="1">AVERAGE(OFFSET($BH$3,0,0,'Données projet'!$E$11+1,1))-AVERAGE(OFFSET($H$3,0,0,'Données projet'!$E$11+1,1))</f>
        <v>336.25341821407534</v>
      </c>
      <c r="BJ104" s="58">
        <f t="shared" si="92"/>
        <v>360.3246221345039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0.72626853863528895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0.72626853863528895</v>
      </c>
      <c r="BT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5.6843418860808015E-14</v>
      </c>
      <c r="BZ104" s="14">
        <f>BY104*VLOOKUP('Données projet'!$B$12,Paramètres!$A$1:$I$89,3,0)*VLOOKUP('Données projet'!$B$12,Paramètres!$A$1:$I$89,5,0)</f>
        <v>4.6111381379887463E-14</v>
      </c>
      <c r="CA104" s="14">
        <f t="shared" si="93"/>
        <v>7.5804141040779151E-13</v>
      </c>
      <c r="CB104" s="22">
        <f t="shared" si="64"/>
        <v>1.4005661123635408E-12</v>
      </c>
      <c r="CC104" s="58">
        <f t="shared" si="65"/>
        <v>277.68039254707583</v>
      </c>
      <c r="CD104" s="58">
        <f ca="1">AVERAGE(OFFSET($CC$3,0,0,'Données projet'!$E$12+1,1))-AVERAGE(OFFSET($H$3,0,0,'Données projet'!$E$12+1,1))</f>
        <v>308.58270639204238</v>
      </c>
      <c r="CE104" s="58">
        <f t="shared" si="94"/>
        <v>258.90832875500325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3.0769230769230829</v>
      </c>
      <c r="CT104" s="13">
        <f>IF('Données projet'!$A$140&gt;35,CT103+CS104-DB103,IF(A104&lt;'Données projet'!$A$140,$CQ$205^A104,IF(A104='Données projet'!$A$140,'Données projet'!$B$140,CT103+CS104-DB103)))</f>
        <v>225.5128205128205</v>
      </c>
      <c r="CU104" s="18">
        <f>CT104*VLOOKUP('Données projet'!$B$13,Paramètres!$A$1:$I$89,3,0)*VLOOKUP('Données projet'!$B$13,Paramètres!$A$1:$I$89,5,0)</f>
        <v>214.59800000000001</v>
      </c>
      <c r="CV104" s="14">
        <f t="shared" si="95"/>
        <v>52.939094303283817</v>
      </c>
      <c r="CW104" s="22">
        <f t="shared" si="67"/>
        <v>465.96043924488595</v>
      </c>
      <c r="CX104" s="58">
        <f t="shared" si="68"/>
        <v>743.64083179196041</v>
      </c>
      <c r="CY104" s="58">
        <f ca="1">AVERAGE(OFFSET($CX$3,0,0,'Données projet'!$E$13+1,1))-AVERAGE(OFFSET($H$3,0,0,'Données projet'!$E$13+1,1))</f>
        <v>397.61813291201469</v>
      </c>
      <c r="CZ104" s="58">
        <f t="shared" si="96"/>
        <v>320.30651625485064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0.44371033069949062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0.44371033069949062</v>
      </c>
      <c r="DJ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58" t="e">
        <f t="shared" si="71"/>
        <v>#N/A</v>
      </c>
      <c r="DT104" s="58" t="e">
        <f ca="1">AVERAGE(OFFSET($DS$3,0,0,'Données projet'!$E$14+1,1))-AVERAGE(OFFSET($H$3,0,0,'Données projet'!$E$14+1,1))</f>
        <v>#N/A</v>
      </c>
      <c r="DU104" s="58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58" t="e">
        <f t="shared" si="74"/>
        <v>#N/A</v>
      </c>
      <c r="EO104" s="58" t="e">
        <f ca="1">AVERAGE(OFFSET($EN$3,0,0,'Données projet'!$E$15+1,1))-AVERAGE(OFFSET($H$3,0,0,'Données projet'!$E$15+1,1))</f>
        <v>#N/A</v>
      </c>
      <c r="EP104" s="58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58" t="e">
        <f t="shared" si="77"/>
        <v>#N/A</v>
      </c>
      <c r="FJ104" s="58" t="e">
        <f ca="1">AVERAGE(OFFSET($FI$3,0,0,'Données projet'!$E$16+1,1))-AVERAGE(OFFSET($H$3,0,0,'Données projet'!$E$16+1,1))</f>
        <v>#N/A</v>
      </c>
      <c r="FK104" s="58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58" t="e">
        <f t="shared" si="80"/>
        <v>#N/A</v>
      </c>
      <c r="GE104" s="58" t="e">
        <f ca="1">AVERAGE(OFFSET($GD$3,0,0,'Données projet'!$E$17+1,1))-AVERAGE(OFFSET($H$3,0,0,'Données projet'!$E$17+1,1))</f>
        <v>#N/A</v>
      </c>
      <c r="GF104" s="58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58" t="e">
        <f t="shared" si="83"/>
        <v>#N/A</v>
      </c>
      <c r="GZ104" s="58" t="e">
        <f ca="1">AVERAGE(OFFSET($GY$3,0,0,'Données projet'!$E$18+1,1))-AVERAGE(OFFSET($H$3,0,0,'Données projet'!$E$18+1,1))</f>
        <v>#N/A</v>
      </c>
      <c r="HA104" s="58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0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3">
        <f t="shared" si="56"/>
        <v>183.33333333333334</v>
      </c>
      <c r="I105" s="6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5.7333333333333334</v>
      </c>
      <c r="N105" s="14">
        <f>IF('Données projet'!$A$36&gt;35,N104+M105-V104,IF(A105&lt;'Données projet'!$A$36,$K$205^A105,IF(A105='Données projet'!$A$36,'Données projet'!$B$36,N104+M105-V104)))</f>
        <v>370.80000000000041</v>
      </c>
      <c r="O105" s="14">
        <f>N105*VLOOKUP('Données projet'!$B$9,Paramètres!$A$1:$I$89,3,0)*VLOOKUP('Données projet'!$B$9,Paramètres!$A$1:$I$89,5,0)</f>
        <v>312.36192000000034</v>
      </c>
      <c r="P105" s="14">
        <f t="shared" si="87"/>
        <v>73.761874964186546</v>
      </c>
      <c r="Q105" s="22">
        <f t="shared" si="107"/>
        <v>672.49894289595886</v>
      </c>
      <c r="R105" s="58">
        <f t="shared" si="55"/>
        <v>950.45087897094186</v>
      </c>
      <c r="S105" s="58">
        <f ca="1">AVERAGE(OFFSET($R$3,0,0,'Données projet'!$E$9+1,1))-AVERAGE(OFFSET($H$3,0,0,'Données projet'!$E$9+1,1))</f>
        <v>527.70171871461309</v>
      </c>
      <c r="T105" s="58">
        <f t="shared" si="88"/>
        <v>281.06176764290592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7.4487616075202823E-14</v>
      </c>
      <c r="AK105" s="14">
        <f t="shared" si="89"/>
        <v>1.1580453144473142E-12</v>
      </c>
      <c r="AL105" s="22">
        <f t="shared" si="58"/>
        <v>2.1466615206600508E-12</v>
      </c>
      <c r="AM105" s="58">
        <f t="shared" si="59"/>
        <v>277.9519360749851</v>
      </c>
      <c r="AN105" s="58">
        <f ca="1">AVERAGE(OFFSET($AM$3,0,0,'Données projet'!$E$10+1,1))-AVERAGE(OFFSET($H$3,0,0,'Données projet'!$E$10+1,1))</f>
        <v>302.53318056366777</v>
      </c>
      <c r="AO105" s="58">
        <f t="shared" si="90"/>
        <v>318.32262615164541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0.3708449601230937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0.3708449601230937</v>
      </c>
      <c r="AY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9.1000000000003638</v>
      </c>
      <c r="BE105" s="14">
        <f>BD105*VLOOKUP('Données projet'!$B$11,Paramètres!$A$1:$I$89,3,0)*VLOOKUP('Données projet'!$B$11,Paramètres!$A$1:$I$89,5,0)</f>
        <v>7.2399600000002895</v>
      </c>
      <c r="BF105" s="14">
        <f t="shared" si="91"/>
        <v>2.6498112636338633</v>
      </c>
      <c r="BG105" s="22">
        <f t="shared" si="61"/>
        <v>17.224684950829481</v>
      </c>
      <c r="BH105" s="58">
        <f t="shared" si="62"/>
        <v>295.17662102581244</v>
      </c>
      <c r="BI105" s="58">
        <f ca="1">AVERAGE(OFFSET($BH$3,0,0,'Données projet'!$E$11+1,1))-AVERAGE(OFFSET($H$3,0,0,'Données projet'!$E$11+1,1))</f>
        <v>336.25341821407534</v>
      </c>
      <c r="BJ105" s="58">
        <f t="shared" si="92"/>
        <v>360.3246221345039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0.70640868725350447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0.70640868725350447</v>
      </c>
      <c r="BT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5.6843418860808015E-14</v>
      </c>
      <c r="BZ105" s="14">
        <f>BY105*VLOOKUP('Données projet'!$B$12,Paramètres!$A$1:$I$89,3,0)*VLOOKUP('Données projet'!$B$12,Paramètres!$A$1:$I$89,5,0)</f>
        <v>4.6111381379887463E-14</v>
      </c>
      <c r="CA105" s="14">
        <f t="shared" si="93"/>
        <v>7.5804141040779151E-13</v>
      </c>
      <c r="CB105" s="22">
        <f t="shared" si="64"/>
        <v>1.4005661123635408E-12</v>
      </c>
      <c r="CC105" s="58">
        <f t="shared" si="65"/>
        <v>277.95193607498436</v>
      </c>
      <c r="CD105" s="58">
        <f ca="1">AVERAGE(OFFSET($CC$3,0,0,'Données projet'!$E$12+1,1))-AVERAGE(OFFSET($H$3,0,0,'Données projet'!$E$12+1,1))</f>
        <v>308.58270639204238</v>
      </c>
      <c r="CE105" s="58">
        <f t="shared" si="94"/>
        <v>258.90832875500325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3.0769230769230829</v>
      </c>
      <c r="CT105" s="13">
        <f>IF('Données projet'!$A$140&gt;35,CT104+CS105-DB104,IF(A105&lt;'Données projet'!$A$140,$CQ$205^A105,IF(A105='Données projet'!$A$140,'Données projet'!$B$140,CT104+CS105-DB104)))</f>
        <v>228.58974358974359</v>
      </c>
      <c r="CU105" s="18">
        <f>CT105*VLOOKUP('Données projet'!$B$13,Paramètres!$A$1:$I$89,3,0)*VLOOKUP('Données projet'!$B$13,Paramètres!$A$1:$I$89,5,0)</f>
        <v>217.52600000000001</v>
      </c>
      <c r="CV105" s="14">
        <f t="shared" si="95"/>
        <v>53.576820638117503</v>
      </c>
      <c r="CW105" s="22">
        <f t="shared" si="67"/>
        <v>472.17074594472138</v>
      </c>
      <c r="CX105" s="58">
        <f t="shared" si="68"/>
        <v>750.12268201970437</v>
      </c>
      <c r="CY105" s="58">
        <f ca="1">AVERAGE(OFFSET($CX$3,0,0,'Données projet'!$E$13+1,1))-AVERAGE(OFFSET($H$3,0,0,'Données projet'!$E$13+1,1))</f>
        <v>397.61813291201469</v>
      </c>
      <c r="CZ105" s="58">
        <f t="shared" si="96"/>
        <v>320.30651625485064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0.43157704837280086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0.43157704837280086</v>
      </c>
      <c r="DJ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58" t="e">
        <f t="shared" si="71"/>
        <v>#N/A</v>
      </c>
      <c r="DT105" s="58" t="e">
        <f ca="1">AVERAGE(OFFSET($DS$3,0,0,'Données projet'!$E$14+1,1))-AVERAGE(OFFSET($H$3,0,0,'Données projet'!$E$14+1,1))</f>
        <v>#N/A</v>
      </c>
      <c r="DU105" s="58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58" t="e">
        <f t="shared" si="74"/>
        <v>#N/A</v>
      </c>
      <c r="EO105" s="58" t="e">
        <f ca="1">AVERAGE(OFFSET($EN$3,0,0,'Données projet'!$E$15+1,1))-AVERAGE(OFFSET($H$3,0,0,'Données projet'!$E$15+1,1))</f>
        <v>#N/A</v>
      </c>
      <c r="EP105" s="58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58" t="e">
        <f t="shared" si="77"/>
        <v>#N/A</v>
      </c>
      <c r="FJ105" s="58" t="e">
        <f ca="1">AVERAGE(OFFSET($FI$3,0,0,'Données projet'!$E$16+1,1))-AVERAGE(OFFSET($H$3,0,0,'Données projet'!$E$16+1,1))</f>
        <v>#N/A</v>
      </c>
      <c r="FK105" s="58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58" t="e">
        <f t="shared" si="80"/>
        <v>#N/A</v>
      </c>
      <c r="GE105" s="58" t="e">
        <f ca="1">AVERAGE(OFFSET($GD$3,0,0,'Données projet'!$E$17+1,1))-AVERAGE(OFFSET($H$3,0,0,'Données projet'!$E$17+1,1))</f>
        <v>#N/A</v>
      </c>
      <c r="GF105" s="58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58" t="e">
        <f t="shared" si="83"/>
        <v>#N/A</v>
      </c>
      <c r="GZ105" s="58" t="e">
        <f ca="1">AVERAGE(OFFSET($GY$3,0,0,'Données projet'!$E$18+1,1))-AVERAGE(OFFSET($H$3,0,0,'Données projet'!$E$18+1,1))</f>
        <v>#N/A</v>
      </c>
      <c r="HA105" s="58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0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3">
        <f t="shared" si="56"/>
        <v>183.33333333333334</v>
      </c>
      <c r="I106" s="6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5.7333333333333334</v>
      </c>
      <c r="N106" s="14">
        <f>IF('Données projet'!$A$36&gt;35,N105+M106-V105,IF(A106&lt;'Données projet'!$A$36,$K$205^A106,IF(A106='Données projet'!$A$36,'Données projet'!$B$36,N105+M106-V105)))</f>
        <v>376.53333333333376</v>
      </c>
      <c r="O106" s="14">
        <f>N106*VLOOKUP('Données projet'!$B$9,Paramètres!$A$1:$I$89,3,0)*VLOOKUP('Données projet'!$B$9,Paramètres!$A$1:$I$89,5,0)</f>
        <v>317.19168000000036</v>
      </c>
      <c r="P106" s="14">
        <f t="shared" si="87"/>
        <v>74.768728639922358</v>
      </c>
      <c r="Q106" s="22">
        <f t="shared" si="107"/>
        <v>682.66437838119873</v>
      </c>
      <c r="R106" s="58">
        <f t="shared" si="55"/>
        <v>960.88314731096148</v>
      </c>
      <c r="S106" s="58">
        <f ca="1">AVERAGE(OFFSET($R$3,0,0,'Données projet'!$E$9+1,1))-AVERAGE(OFFSET($H$3,0,0,'Données projet'!$E$9+1,1))</f>
        <v>527.70171871461309</v>
      </c>
      <c r="T106" s="58">
        <f t="shared" si="88"/>
        <v>281.06176764290592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7.4487616075202823E-14</v>
      </c>
      <c r="AK106" s="14">
        <f t="shared" si="89"/>
        <v>1.1580453144473142E-12</v>
      </c>
      <c r="AL106" s="22">
        <f t="shared" si="58"/>
        <v>2.1466615206600508E-12</v>
      </c>
      <c r="AM106" s="58">
        <f t="shared" si="59"/>
        <v>278.21876892976485</v>
      </c>
      <c r="AN106" s="58">
        <f ca="1">AVERAGE(OFFSET($AM$3,0,0,'Données projet'!$E$10+1,1))-AVERAGE(OFFSET($H$3,0,0,'Données projet'!$E$10+1,1))</f>
        <v>302.53318056366777</v>
      </c>
      <c r="AO106" s="58">
        <f t="shared" si="90"/>
        <v>318.32262615164541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0.36070418518663883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0.36070418518663883</v>
      </c>
      <c r="AY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9.1000000000003638</v>
      </c>
      <c r="BE106" s="14">
        <f>BD106*VLOOKUP('Données projet'!$B$11,Paramètres!$A$1:$I$89,3,0)*VLOOKUP('Données projet'!$B$11,Paramètres!$A$1:$I$89,5,0)</f>
        <v>7.2399600000002895</v>
      </c>
      <c r="BF106" s="14">
        <f t="shared" si="91"/>
        <v>2.6498112636338633</v>
      </c>
      <c r="BG106" s="22">
        <f t="shared" si="61"/>
        <v>17.224684950829481</v>
      </c>
      <c r="BH106" s="58">
        <f t="shared" si="62"/>
        <v>295.44345388059219</v>
      </c>
      <c r="BI106" s="58">
        <f ca="1">AVERAGE(OFFSET($BH$3,0,0,'Données projet'!$E$11+1,1))-AVERAGE(OFFSET($H$3,0,0,'Données projet'!$E$11+1,1))</f>
        <v>336.25341821407534</v>
      </c>
      <c r="BJ106" s="58">
        <f t="shared" si="92"/>
        <v>360.3246221345039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0.68709190455213909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0.68709190455213909</v>
      </c>
      <c r="BT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5.6843418860808015E-14</v>
      </c>
      <c r="BZ106" s="14">
        <f>BY106*VLOOKUP('Données projet'!$B$12,Paramètres!$A$1:$I$89,3,0)*VLOOKUP('Données projet'!$B$12,Paramètres!$A$1:$I$89,5,0)</f>
        <v>4.6111381379887463E-14</v>
      </c>
      <c r="CA106" s="14">
        <f t="shared" si="93"/>
        <v>7.5804141040779151E-13</v>
      </c>
      <c r="CB106" s="22">
        <f t="shared" si="64"/>
        <v>1.4005661123635408E-12</v>
      </c>
      <c r="CC106" s="58">
        <f t="shared" si="65"/>
        <v>278.21876892976411</v>
      </c>
      <c r="CD106" s="58">
        <f ca="1">AVERAGE(OFFSET($CC$3,0,0,'Données projet'!$E$12+1,1))-AVERAGE(OFFSET($H$3,0,0,'Données projet'!$E$12+1,1))</f>
        <v>308.58270639204238</v>
      </c>
      <c r="CE106" s="58">
        <f t="shared" si="94"/>
        <v>258.90832875500325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3.0769230769230829</v>
      </c>
      <c r="CT106" s="13">
        <f>IF('Données projet'!$A$140&gt;35,CT105+CS106-DB105,IF(A106&lt;'Données projet'!$A$140,$CQ$205^A106,IF(A106='Données projet'!$A$140,'Données projet'!$B$140,CT105+CS106-DB105)))</f>
        <v>231.66666666666669</v>
      </c>
      <c r="CU106" s="18">
        <f>CT106*VLOOKUP('Données projet'!$B$13,Paramètres!$A$1:$I$89,3,0)*VLOOKUP('Données projet'!$B$13,Paramètres!$A$1:$I$89,5,0)</f>
        <v>220.45400000000001</v>
      </c>
      <c r="CV106" s="14">
        <f t="shared" si="95"/>
        <v>54.213548535376205</v>
      </c>
      <c r="CW106" s="22">
        <f t="shared" si="67"/>
        <v>478.37931369911365</v>
      </c>
      <c r="CX106" s="58">
        <f t="shared" si="68"/>
        <v>756.59808262887634</v>
      </c>
      <c r="CY106" s="58">
        <f ca="1">AVERAGE(OFFSET($CX$3,0,0,'Données projet'!$E$13+1,1))-AVERAGE(OFFSET($H$3,0,0,'Données projet'!$E$13+1,1))</f>
        <v>397.61813291201469</v>
      </c>
      <c r="CZ106" s="58">
        <f t="shared" si="96"/>
        <v>320.30651625485064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0.41977555128939603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0.41977555128939603</v>
      </c>
      <c r="DJ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58" t="e">
        <f t="shared" si="71"/>
        <v>#N/A</v>
      </c>
      <c r="DT106" s="58" t="e">
        <f ca="1">AVERAGE(OFFSET($DS$3,0,0,'Données projet'!$E$14+1,1))-AVERAGE(OFFSET($H$3,0,0,'Données projet'!$E$14+1,1))</f>
        <v>#N/A</v>
      </c>
      <c r="DU106" s="58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58" t="e">
        <f t="shared" si="74"/>
        <v>#N/A</v>
      </c>
      <c r="EO106" s="58" t="e">
        <f ca="1">AVERAGE(OFFSET($EN$3,0,0,'Données projet'!$E$15+1,1))-AVERAGE(OFFSET($H$3,0,0,'Données projet'!$E$15+1,1))</f>
        <v>#N/A</v>
      </c>
      <c r="EP106" s="58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58" t="e">
        <f t="shared" si="77"/>
        <v>#N/A</v>
      </c>
      <c r="FJ106" s="58" t="e">
        <f ca="1">AVERAGE(OFFSET($FI$3,0,0,'Données projet'!$E$16+1,1))-AVERAGE(OFFSET($H$3,0,0,'Données projet'!$E$16+1,1))</f>
        <v>#N/A</v>
      </c>
      <c r="FK106" s="58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58" t="e">
        <f t="shared" si="80"/>
        <v>#N/A</v>
      </c>
      <c r="GE106" s="58" t="e">
        <f ca="1">AVERAGE(OFFSET($GD$3,0,0,'Données projet'!$E$17+1,1))-AVERAGE(OFFSET($H$3,0,0,'Données projet'!$E$17+1,1))</f>
        <v>#N/A</v>
      </c>
      <c r="GF106" s="58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58" t="e">
        <f t="shared" si="83"/>
        <v>#N/A</v>
      </c>
      <c r="GZ106" s="58" t="e">
        <f ca="1">AVERAGE(OFFSET($GY$3,0,0,'Données projet'!$E$18+1,1))-AVERAGE(OFFSET($H$3,0,0,'Données projet'!$E$18+1,1))</f>
        <v>#N/A</v>
      </c>
      <c r="HA106" s="58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0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3">
        <f t="shared" si="56"/>
        <v>183.33333333333334</v>
      </c>
      <c r="I107" s="6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5.7333333333333334</v>
      </c>
      <c r="N107" s="14">
        <f>IF('Données projet'!$A$36&gt;35,N106+M107-V106,IF(A107&lt;'Données projet'!$A$36,$K$205^A107,IF(A107='Données projet'!$A$36,'Données projet'!$B$36,N106+M107-V106)))</f>
        <v>382.26666666666711</v>
      </c>
      <c r="O107" s="14">
        <f>N107*VLOOKUP('Données projet'!$B$9,Paramètres!$A$1:$I$89,3,0)*VLOOKUP('Données projet'!$B$9,Paramètres!$A$1:$I$89,5,0)</f>
        <v>322.02144000000044</v>
      </c>
      <c r="P107" s="14">
        <f t="shared" si="87"/>
        <v>75.773799296387111</v>
      </c>
      <c r="Q107" s="22">
        <f t="shared" si="107"/>
        <v>692.82670844120821</v>
      </c>
      <c r="R107" s="58">
        <f t="shared" si="55"/>
        <v>971.30768127226906</v>
      </c>
      <c r="S107" s="58">
        <f ca="1">AVERAGE(OFFSET($R$3,0,0,'Données projet'!$E$9+1,1))-AVERAGE(OFFSET($H$3,0,0,'Données projet'!$E$9+1,1))</f>
        <v>527.70171871461309</v>
      </c>
      <c r="T107" s="58">
        <f t="shared" si="88"/>
        <v>281.06176764290592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7.4487616075202823E-14</v>
      </c>
      <c r="AK107" s="14">
        <f t="shared" si="89"/>
        <v>1.1580453144473142E-12</v>
      </c>
      <c r="AL107" s="22">
        <f t="shared" si="58"/>
        <v>2.1466615206600508E-12</v>
      </c>
      <c r="AM107" s="58">
        <f t="shared" si="59"/>
        <v>278.48097283106307</v>
      </c>
      <c r="AN107" s="58">
        <f ca="1">AVERAGE(OFFSET($AM$3,0,0,'Données projet'!$E$10+1,1))-AVERAGE(OFFSET($H$3,0,0,'Données projet'!$E$10+1,1))</f>
        <v>302.53318056366777</v>
      </c>
      <c r="AO107" s="58">
        <f t="shared" si="90"/>
        <v>318.32262615164541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0.35084071027410146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0.35084071027410146</v>
      </c>
      <c r="AY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9.1000000000003638</v>
      </c>
      <c r="BE107" s="14">
        <f>BD107*VLOOKUP('Données projet'!$B$11,Paramètres!$A$1:$I$89,3,0)*VLOOKUP('Données projet'!$B$11,Paramètres!$A$1:$I$89,5,0)</f>
        <v>7.2399600000002895</v>
      </c>
      <c r="BF107" s="14">
        <f t="shared" si="91"/>
        <v>2.6498112636338633</v>
      </c>
      <c r="BG107" s="22">
        <f t="shared" si="61"/>
        <v>17.224684950829481</v>
      </c>
      <c r="BH107" s="58">
        <f t="shared" si="62"/>
        <v>295.70565778189041</v>
      </c>
      <c r="BI107" s="58">
        <f ca="1">AVERAGE(OFFSET($BH$3,0,0,'Données projet'!$E$11+1,1))-AVERAGE(OFFSET($H$3,0,0,'Données projet'!$E$11+1,1))</f>
        <v>336.25341821407534</v>
      </c>
      <c r="BJ107" s="58">
        <f t="shared" si="92"/>
        <v>360.3246221345039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0.66830334028956795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0.66830334028956795</v>
      </c>
      <c r="BT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5.6843418860808015E-14</v>
      </c>
      <c r="BZ107" s="14">
        <f>BY107*VLOOKUP('Données projet'!$B$12,Paramètres!$A$1:$I$89,3,0)*VLOOKUP('Données projet'!$B$12,Paramètres!$A$1:$I$89,5,0)</f>
        <v>4.6111381379887463E-14</v>
      </c>
      <c r="CA107" s="14">
        <f t="shared" si="93"/>
        <v>7.5804141040779151E-13</v>
      </c>
      <c r="CB107" s="22">
        <f t="shared" si="64"/>
        <v>1.4005661123635408E-12</v>
      </c>
      <c r="CC107" s="58">
        <f t="shared" si="65"/>
        <v>278.48097283106233</v>
      </c>
      <c r="CD107" s="58">
        <f ca="1">AVERAGE(OFFSET($CC$3,0,0,'Données projet'!$E$12+1,1))-AVERAGE(OFFSET($H$3,0,0,'Données projet'!$E$12+1,1))</f>
        <v>308.58270639204238</v>
      </c>
      <c r="CE107" s="58">
        <f t="shared" si="94"/>
        <v>258.90832875500325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3.0769230769230829</v>
      </c>
      <c r="CT107" s="13">
        <f>IF('Données projet'!$A$140&gt;35,CT106+CS107-DB106,IF(A107&lt;'Données projet'!$A$140,$CQ$205^A107,IF(A107='Données projet'!$A$140,'Données projet'!$B$140,CT106+CS107-DB106)))</f>
        <v>234.74358974358978</v>
      </c>
      <c r="CU107" s="18">
        <f>CT107*VLOOKUP('Données projet'!$B$13,Paramètres!$A$1:$I$89,3,0)*VLOOKUP('Données projet'!$B$13,Paramètres!$A$1:$I$89,5,0)</f>
        <v>223.38200000000003</v>
      </c>
      <c r="CV107" s="14">
        <f t="shared" si="95"/>
        <v>54.849292789000252</v>
      </c>
      <c r="CW107" s="22">
        <f t="shared" si="67"/>
        <v>484.58616827417546</v>
      </c>
      <c r="CX107" s="58">
        <f t="shared" si="68"/>
        <v>763.06714110523637</v>
      </c>
      <c r="CY107" s="58">
        <f ca="1">AVERAGE(OFFSET($CX$3,0,0,'Données projet'!$E$13+1,1))-AVERAGE(OFFSET($H$3,0,0,'Données projet'!$E$13+1,1))</f>
        <v>397.61813291201469</v>
      </c>
      <c r="CZ107" s="58">
        <f t="shared" si="96"/>
        <v>320.30651625485064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0.40829676676435067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0.40829676676435067</v>
      </c>
      <c r="DJ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58" t="e">
        <f t="shared" si="71"/>
        <v>#N/A</v>
      </c>
      <c r="DT107" s="58" t="e">
        <f ca="1">AVERAGE(OFFSET($DS$3,0,0,'Données projet'!$E$14+1,1))-AVERAGE(OFFSET($H$3,0,0,'Données projet'!$E$14+1,1))</f>
        <v>#N/A</v>
      </c>
      <c r="DU107" s="58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58" t="e">
        <f t="shared" si="74"/>
        <v>#N/A</v>
      </c>
      <c r="EO107" s="58" t="e">
        <f ca="1">AVERAGE(OFFSET($EN$3,0,0,'Données projet'!$E$15+1,1))-AVERAGE(OFFSET($H$3,0,0,'Données projet'!$E$15+1,1))</f>
        <v>#N/A</v>
      </c>
      <c r="EP107" s="58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58" t="e">
        <f t="shared" si="77"/>
        <v>#N/A</v>
      </c>
      <c r="FJ107" s="58" t="e">
        <f ca="1">AVERAGE(OFFSET($FI$3,0,0,'Données projet'!$E$16+1,1))-AVERAGE(OFFSET($H$3,0,0,'Données projet'!$E$16+1,1))</f>
        <v>#N/A</v>
      </c>
      <c r="FK107" s="58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58" t="e">
        <f t="shared" si="80"/>
        <v>#N/A</v>
      </c>
      <c r="GE107" s="58" t="e">
        <f ca="1">AVERAGE(OFFSET($GD$3,0,0,'Données projet'!$E$17+1,1))-AVERAGE(OFFSET($H$3,0,0,'Données projet'!$E$17+1,1))</f>
        <v>#N/A</v>
      </c>
      <c r="GF107" s="58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58" t="e">
        <f t="shared" si="83"/>
        <v>#N/A</v>
      </c>
      <c r="GZ107" s="58" t="e">
        <f ca="1">AVERAGE(OFFSET($GY$3,0,0,'Données projet'!$E$18+1,1))-AVERAGE(OFFSET($H$3,0,0,'Données projet'!$E$18+1,1))</f>
        <v>#N/A</v>
      </c>
      <c r="HA107" s="58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0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3">
        <f t="shared" si="56"/>
        <v>183.33333333333334</v>
      </c>
      <c r="I108" s="6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388</v>
      </c>
      <c r="L108" s="13">
        <f>VLOOKUP(A108,'Données projet'!$A$35:$I$55,9,0)</f>
        <v>5.7333333333333334</v>
      </c>
      <c r="M108" s="13">
        <f t="array" ref="M108">INDEX(L:L,MIN(IF(ISNUMBER(L108:L304),ROW(L108:L304),"")))</f>
        <v>5.7333333333333334</v>
      </c>
      <c r="N108" s="14">
        <f>IF('Données projet'!$A$36&gt;35,N107+M108-V107,IF(A108&lt;'Données projet'!$A$36,$K$205^A108,IF(A108='Données projet'!$A$36,'Données projet'!$B$36,N107+M108-V107)))</f>
        <v>388.00000000000045</v>
      </c>
      <c r="O108" s="14">
        <f>N108*VLOOKUP('Données projet'!$B$9,Paramètres!$A$1:$I$89,3,0)*VLOOKUP('Données projet'!$B$9,Paramètres!$A$1:$I$89,5,0)</f>
        <v>326.8512000000004</v>
      </c>
      <c r="P108" s="14">
        <f t="shared" si="87"/>
        <v>76.777116764756613</v>
      </c>
      <c r="Q108" s="22">
        <f t="shared" si="107"/>
        <v>702.98598503195183</v>
      </c>
      <c r="R108" s="58">
        <f t="shared" si="55"/>
        <v>981.72461311282359</v>
      </c>
      <c r="S108" s="58">
        <f ca="1">AVERAGE(OFFSET($R$3,0,0,'Données projet'!$E$9+1,1))-AVERAGE(OFFSET($H$3,0,0,'Données projet'!$E$9+1,1))</f>
        <v>527.70171871461309</v>
      </c>
      <c r="T108" s="58">
        <f t="shared" si="88"/>
        <v>281.06176764290592</v>
      </c>
      <c r="U108" s="16">
        <f>IF(ISNA(VLOOKUP(A108,'Données projet'!$A$35:$I$55,3,0)),0,VLOOKUP(A108,'Données projet'!$A$35:$I$55,3,0))</f>
        <v>8</v>
      </c>
      <c r="V108" s="16">
        <f>IF(ISNA(VLOOKUP(A108,'Données projet'!$A$35:$I$55,4,0)),0,VLOOKUP(A108,'Données projet'!$A$35:$I$55,4,0))</f>
        <v>81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7.4487616075202823E-14</v>
      </c>
      <c r="AK108" s="14">
        <f t="shared" si="89"/>
        <v>1.1580453144473142E-12</v>
      </c>
      <c r="AL108" s="22">
        <f t="shared" si="58"/>
        <v>2.1466615206600508E-12</v>
      </c>
      <c r="AM108" s="58">
        <f t="shared" si="59"/>
        <v>278.73862808087392</v>
      </c>
      <c r="AN108" s="58">
        <f ca="1">AVERAGE(OFFSET($AM$3,0,0,'Données projet'!$E$10+1,1))-AVERAGE(OFFSET($H$3,0,0,'Données projet'!$E$10+1,1))</f>
        <v>302.53318056366777</v>
      </c>
      <c r="AO108" s="58">
        <f t="shared" si="90"/>
        <v>318.32262615164541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0.34124695260174509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0.34124695260174509</v>
      </c>
      <c r="AY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9.1000000000003638</v>
      </c>
      <c r="BE108" s="14">
        <f>BD108*VLOOKUP('Données projet'!$B$11,Paramètres!$A$1:$I$89,3,0)*VLOOKUP('Données projet'!$B$11,Paramètres!$A$1:$I$89,5,0)</f>
        <v>7.2399600000002895</v>
      </c>
      <c r="BF108" s="14">
        <f t="shared" si="91"/>
        <v>2.6498112636338633</v>
      </c>
      <c r="BG108" s="22">
        <f t="shared" si="61"/>
        <v>17.224684950829481</v>
      </c>
      <c r="BH108" s="58">
        <f t="shared" si="62"/>
        <v>295.96331303170126</v>
      </c>
      <c r="BI108" s="58">
        <f ca="1">AVERAGE(OFFSET($BH$3,0,0,'Données projet'!$E$11+1,1))-AVERAGE(OFFSET($H$3,0,0,'Données projet'!$E$11+1,1))</f>
        <v>336.25341821407534</v>
      </c>
      <c r="BJ108" s="58">
        <f t="shared" si="92"/>
        <v>360.3246221345039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0.65002855030480444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0.65002855030480444</v>
      </c>
      <c r="BT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5.6843418860808015E-14</v>
      </c>
      <c r="BZ108" s="14">
        <f>BY108*VLOOKUP('Données projet'!$B$12,Paramètres!$A$1:$I$89,3,0)*VLOOKUP('Données projet'!$B$12,Paramètres!$A$1:$I$89,5,0)</f>
        <v>4.6111381379887463E-14</v>
      </c>
      <c r="CA108" s="14">
        <f t="shared" si="93"/>
        <v>7.5804141040779151E-13</v>
      </c>
      <c r="CB108" s="22">
        <f t="shared" si="64"/>
        <v>1.4005661123635408E-12</v>
      </c>
      <c r="CC108" s="58">
        <f t="shared" si="65"/>
        <v>278.73862808087318</v>
      </c>
      <c r="CD108" s="58">
        <f ca="1">AVERAGE(OFFSET($CC$3,0,0,'Données projet'!$E$12+1,1))-AVERAGE(OFFSET($H$3,0,0,'Données projet'!$E$12+1,1))</f>
        <v>308.58270639204238</v>
      </c>
      <c r="CE108" s="58">
        <f t="shared" si="94"/>
        <v>258.90832875500325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237.82051282051282</v>
      </c>
      <c r="CR108" s="13">
        <f>VLOOKUP(A108,'Données projet'!$A$139:$I$159,9,0)</f>
        <v>3.0769230769230829</v>
      </c>
      <c r="CS108" s="13">
        <f t="array" ref="CS108">INDEX(CR:CR,MIN(IF(ISNUMBER(CR108:CR304),ROW(CR108:CR304),"")))</f>
        <v>3.0769230769230829</v>
      </c>
      <c r="CT108" s="13">
        <f>IF('Données projet'!$A$140&gt;35,CT107+CS108-DB107,IF(A108&lt;'Données projet'!$A$140,$CQ$205^A108,IF(A108='Données projet'!$A$140,'Données projet'!$B$140,CT107+CS108-DB107)))</f>
        <v>237.82051282051287</v>
      </c>
      <c r="CU108" s="18">
        <f>CT108*VLOOKUP('Données projet'!$B$13,Paramètres!$A$1:$I$89,3,0)*VLOOKUP('Données projet'!$B$13,Paramètres!$A$1:$I$89,5,0)</f>
        <v>226.31000000000006</v>
      </c>
      <c r="CV108" s="14">
        <f t="shared" si="95"/>
        <v>55.484067782810527</v>
      </c>
      <c r="CW108" s="22">
        <f t="shared" si="67"/>
        <v>490.79133472172845</v>
      </c>
      <c r="CX108" s="58">
        <f t="shared" si="68"/>
        <v>769.52996280260027</v>
      </c>
      <c r="CY108" s="58">
        <f ca="1">AVERAGE(OFFSET($CX$3,0,0,'Données projet'!$E$13+1,1))-AVERAGE(OFFSET($H$3,0,0,'Données projet'!$E$13+1,1))</f>
        <v>397.61813291201469</v>
      </c>
      <c r="CZ108" s="58">
        <f t="shared" si="96"/>
        <v>320.30651625485064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0.39713187020578572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0.39713187020578572</v>
      </c>
      <c r="DJ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58" t="e">
        <f t="shared" si="71"/>
        <v>#N/A</v>
      </c>
      <c r="DT108" s="58" t="e">
        <f ca="1">AVERAGE(OFFSET($DS$3,0,0,'Données projet'!$E$14+1,1))-AVERAGE(OFFSET($H$3,0,0,'Données projet'!$E$14+1,1))</f>
        <v>#N/A</v>
      </c>
      <c r="DU108" s="58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58" t="e">
        <f t="shared" si="74"/>
        <v>#N/A</v>
      </c>
      <c r="EO108" s="58" t="e">
        <f ca="1">AVERAGE(OFFSET($EN$3,0,0,'Données projet'!$E$15+1,1))-AVERAGE(OFFSET($H$3,0,0,'Données projet'!$E$15+1,1))</f>
        <v>#N/A</v>
      </c>
      <c r="EP108" s="58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58" t="e">
        <f t="shared" si="77"/>
        <v>#N/A</v>
      </c>
      <c r="FJ108" s="58" t="e">
        <f ca="1">AVERAGE(OFFSET($FI$3,0,0,'Données projet'!$E$16+1,1))-AVERAGE(OFFSET($H$3,0,0,'Données projet'!$E$16+1,1))</f>
        <v>#N/A</v>
      </c>
      <c r="FK108" s="58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58" t="e">
        <f t="shared" si="80"/>
        <v>#N/A</v>
      </c>
      <c r="GE108" s="58" t="e">
        <f ca="1">AVERAGE(OFFSET($GD$3,0,0,'Données projet'!$E$17+1,1))-AVERAGE(OFFSET($H$3,0,0,'Données projet'!$E$17+1,1))</f>
        <v>#N/A</v>
      </c>
      <c r="GF108" s="58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58" t="e">
        <f t="shared" si="83"/>
        <v>#N/A</v>
      </c>
      <c r="GZ108" s="58" t="e">
        <f ca="1">AVERAGE(OFFSET($GY$3,0,0,'Données projet'!$E$18+1,1))-AVERAGE(OFFSET($H$3,0,0,'Données projet'!$E$18+1,1))</f>
        <v>#N/A</v>
      </c>
      <c r="HA108" s="58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0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3">
        <f t="shared" si="56"/>
        <v>183.33333333333334</v>
      </c>
      <c r="I109" s="6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4.666666666666667</v>
      </c>
      <c r="N109" s="14">
        <f>IF('Données projet'!$A$36&gt;35,N108+M109-V108,IF(A109&lt;'Données projet'!$A$36,$K$205^A109,IF(A109='Données projet'!$A$36,'Données projet'!$B$36,N108+M109-V108)))</f>
        <v>311.66666666666714</v>
      </c>
      <c r="O109" s="14">
        <f>N109*VLOOKUP('Données projet'!$B$9,Paramètres!$A$1:$I$89,3,0)*VLOOKUP('Données projet'!$B$9,Paramètres!$A$1:$I$89,5,0)</f>
        <v>262.5480000000004</v>
      </c>
      <c r="P109" s="14">
        <f t="shared" si="87"/>
        <v>63.265199933079501</v>
      </c>
      <c r="Q109" s="22">
        <f t="shared" si="107"/>
        <v>567.45798988344734</v>
      </c>
      <c r="R109" s="58">
        <f t="shared" si="55"/>
        <v>846.44980347157639</v>
      </c>
      <c r="S109" s="58">
        <f ca="1">AVERAGE(OFFSET($R$3,0,0,'Données projet'!$E$9+1,1))-AVERAGE(OFFSET($H$3,0,0,'Données projet'!$E$9+1,1))</f>
        <v>527.70171871461309</v>
      </c>
      <c r="T109" s="58">
        <f t="shared" si="88"/>
        <v>281.06176764290592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7.4487616075202823E-14</v>
      </c>
      <c r="AK109" s="14">
        <f t="shared" si="89"/>
        <v>1.1580453144473142E-12</v>
      </c>
      <c r="AL109" s="22">
        <f t="shared" si="58"/>
        <v>2.1466615206600508E-12</v>
      </c>
      <c r="AM109" s="58">
        <f t="shared" si="59"/>
        <v>278.99181358813127</v>
      </c>
      <c r="AN109" s="58">
        <f ca="1">AVERAGE(OFFSET($AM$3,0,0,'Données projet'!$E$10+1,1))-AVERAGE(OFFSET($H$3,0,0,'Données projet'!$E$10+1,1))</f>
        <v>302.53318056366777</v>
      </c>
      <c r="AO109" s="58">
        <f t="shared" si="90"/>
        <v>318.32262615164541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0.33191553673745305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0.33191553673745305</v>
      </c>
      <c r="AY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9.1000000000003638</v>
      </c>
      <c r="BE109" s="14">
        <f>BD109*VLOOKUP('Données projet'!$B$11,Paramètres!$A$1:$I$89,3,0)*VLOOKUP('Données projet'!$B$11,Paramètres!$A$1:$I$89,5,0)</f>
        <v>7.2399600000002895</v>
      </c>
      <c r="BF109" s="14">
        <f t="shared" si="91"/>
        <v>2.6498112636338633</v>
      </c>
      <c r="BG109" s="22">
        <f t="shared" si="61"/>
        <v>17.224684950829481</v>
      </c>
      <c r="BH109" s="58">
        <f t="shared" si="62"/>
        <v>296.2164985389586</v>
      </c>
      <c r="BI109" s="58">
        <f ca="1">AVERAGE(OFFSET($BH$3,0,0,'Données projet'!$E$11+1,1))-AVERAGE(OFFSET($H$3,0,0,'Données projet'!$E$11+1,1))</f>
        <v>336.25341821407534</v>
      </c>
      <c r="BJ109" s="58">
        <f t="shared" si="92"/>
        <v>360.3246221345039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0.63225348541320381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0.63225348541320381</v>
      </c>
      <c r="BT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5.6843418860808015E-14</v>
      </c>
      <c r="BZ109" s="14">
        <f>BY109*VLOOKUP('Données projet'!$B$12,Paramètres!$A$1:$I$89,3,0)*VLOOKUP('Données projet'!$B$12,Paramètres!$A$1:$I$89,5,0)</f>
        <v>4.6111381379887463E-14</v>
      </c>
      <c r="CA109" s="14">
        <f t="shared" si="93"/>
        <v>7.5804141040779151E-13</v>
      </c>
      <c r="CB109" s="22">
        <f t="shared" si="64"/>
        <v>1.4005661123635408E-12</v>
      </c>
      <c r="CC109" s="58">
        <f t="shared" si="65"/>
        <v>278.99181358813053</v>
      </c>
      <c r="CD109" s="58">
        <f ca="1">AVERAGE(OFFSET($CC$3,0,0,'Données projet'!$E$12+1,1))-AVERAGE(OFFSET($H$3,0,0,'Données projet'!$E$12+1,1))</f>
        <v>308.58270639204238</v>
      </c>
      <c r="CE109" s="58">
        <f t="shared" si="94"/>
        <v>258.90832875500325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3.0769230769230775</v>
      </c>
      <c r="CT109" s="13">
        <f>IF('Données projet'!$A$140&gt;35,CT108+CS109-DB108,IF(A109&lt;'Données projet'!$A$140,$CQ$205^A109,IF(A109='Données projet'!$A$140,'Données projet'!$B$140,CT108+CS109-DB108)))</f>
        <v>240.89743589743594</v>
      </c>
      <c r="CU109" s="18">
        <f>CT109*VLOOKUP('Données projet'!$B$13,Paramètres!$A$1:$I$89,3,0)*VLOOKUP('Données projet'!$B$13,Paramètres!$A$1:$I$89,5,0)</f>
        <v>229.23800000000006</v>
      </c>
      <c r="CV109" s="14">
        <f t="shared" si="95"/>
        <v>56.117887507033878</v>
      </c>
      <c r="CW109" s="22">
        <f t="shared" si="67"/>
        <v>496.99483740808409</v>
      </c>
      <c r="CX109" s="58">
        <f t="shared" si="68"/>
        <v>775.98665099621326</v>
      </c>
      <c r="CY109" s="58">
        <f ca="1">AVERAGE(OFFSET($CX$3,0,0,'Données projet'!$E$13+1,1))-AVERAGE(OFFSET($H$3,0,0,'Données projet'!$E$13+1,1))</f>
        <v>397.61813291201469</v>
      </c>
      <c r="CZ109" s="58">
        <f t="shared" si="96"/>
        <v>320.30651625485064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0.38627227833075112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0.38627227833075112</v>
      </c>
      <c r="DJ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58" t="e">
        <f t="shared" si="71"/>
        <v>#N/A</v>
      </c>
      <c r="DT109" s="58" t="e">
        <f ca="1">AVERAGE(OFFSET($DS$3,0,0,'Données projet'!$E$14+1,1))-AVERAGE(OFFSET($H$3,0,0,'Données projet'!$E$14+1,1))</f>
        <v>#N/A</v>
      </c>
      <c r="DU109" s="58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58" t="e">
        <f t="shared" si="74"/>
        <v>#N/A</v>
      </c>
      <c r="EO109" s="58" t="e">
        <f ca="1">AVERAGE(OFFSET($EN$3,0,0,'Données projet'!$E$15+1,1))-AVERAGE(OFFSET($H$3,0,0,'Données projet'!$E$15+1,1))</f>
        <v>#N/A</v>
      </c>
      <c r="EP109" s="58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58" t="e">
        <f t="shared" si="77"/>
        <v>#N/A</v>
      </c>
      <c r="FJ109" s="58" t="e">
        <f ca="1">AVERAGE(OFFSET($FI$3,0,0,'Données projet'!$E$16+1,1))-AVERAGE(OFFSET($H$3,0,0,'Données projet'!$E$16+1,1))</f>
        <v>#N/A</v>
      </c>
      <c r="FK109" s="58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58" t="e">
        <f t="shared" si="80"/>
        <v>#N/A</v>
      </c>
      <c r="GE109" s="58" t="e">
        <f ca="1">AVERAGE(OFFSET($GD$3,0,0,'Données projet'!$E$17+1,1))-AVERAGE(OFFSET($H$3,0,0,'Données projet'!$E$17+1,1))</f>
        <v>#N/A</v>
      </c>
      <c r="GF109" s="58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58" t="e">
        <f t="shared" si="83"/>
        <v>#N/A</v>
      </c>
      <c r="GZ109" s="58" t="e">
        <f ca="1">AVERAGE(OFFSET($GY$3,0,0,'Données projet'!$E$18+1,1))-AVERAGE(OFFSET($H$3,0,0,'Données projet'!$E$18+1,1))</f>
        <v>#N/A</v>
      </c>
      <c r="HA109" s="58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0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3">
        <f t="shared" si="56"/>
        <v>183.33333333333334</v>
      </c>
      <c r="I110" s="6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4.666666666666667</v>
      </c>
      <c r="N110" s="14">
        <f>IF('Données projet'!$A$36&gt;35,N109+M110-V109,IF(A110&lt;'Données projet'!$A$36,$K$205^A110,IF(A110='Données projet'!$A$36,'Données projet'!$B$36,N109+M110-V109)))</f>
        <v>316.33333333333383</v>
      </c>
      <c r="O110" s="14">
        <f>N110*VLOOKUP('Données projet'!$B$9,Paramètres!$A$1:$I$89,3,0)*VLOOKUP('Données projet'!$B$9,Paramètres!$A$1:$I$89,5,0)</f>
        <v>266.47920000000045</v>
      </c>
      <c r="P110" s="14">
        <f t="shared" si="87"/>
        <v>64.101496824889793</v>
      </c>
      <c r="Q110" s="22">
        <f t="shared" si="107"/>
        <v>575.76138030335051</v>
      </c>
      <c r="R110" s="58">
        <f t="shared" si="55"/>
        <v>855.00198719622415</v>
      </c>
      <c r="S110" s="58">
        <f ca="1">AVERAGE(OFFSET($R$3,0,0,'Données projet'!$E$9+1,1))-AVERAGE(OFFSET($H$3,0,0,'Données projet'!$E$9+1,1))</f>
        <v>527.70171871461309</v>
      </c>
      <c r="T110" s="58">
        <f t="shared" si="88"/>
        <v>281.06176764290592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7.4487616075202823E-14</v>
      </c>
      <c r="AK110" s="14">
        <f t="shared" si="89"/>
        <v>1.1580453144473142E-12</v>
      </c>
      <c r="AL110" s="22">
        <f t="shared" si="58"/>
        <v>2.1466615206600508E-12</v>
      </c>
      <c r="AM110" s="58">
        <f t="shared" si="59"/>
        <v>279.2406068928758</v>
      </c>
      <c r="AN110" s="58">
        <f ca="1">AVERAGE(OFFSET($AM$3,0,0,'Données projet'!$E$10+1,1))-AVERAGE(OFFSET($H$3,0,0,'Données projet'!$E$10+1,1))</f>
        <v>302.53318056366777</v>
      </c>
      <c r="AO110" s="58">
        <f t="shared" si="90"/>
        <v>318.32262615164541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0.32283928893068792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0.32283928893068792</v>
      </c>
      <c r="AY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9.1000000000003638</v>
      </c>
      <c r="BE110" s="14">
        <f>BD110*VLOOKUP('Données projet'!$B$11,Paramètres!$A$1:$I$89,3,0)*VLOOKUP('Données projet'!$B$11,Paramètres!$A$1:$I$89,5,0)</f>
        <v>7.2399600000002895</v>
      </c>
      <c r="BF110" s="14">
        <f t="shared" si="91"/>
        <v>2.6498112636338633</v>
      </c>
      <c r="BG110" s="22">
        <f t="shared" si="61"/>
        <v>17.224684950829481</v>
      </c>
      <c r="BH110" s="58">
        <f t="shared" si="62"/>
        <v>296.46529184370314</v>
      </c>
      <c r="BI110" s="58">
        <f ca="1">AVERAGE(OFFSET($BH$3,0,0,'Données projet'!$E$11+1,1))-AVERAGE(OFFSET($H$3,0,0,'Données projet'!$E$11+1,1))</f>
        <v>336.25341821407534</v>
      </c>
      <c r="BJ110" s="58">
        <f t="shared" si="92"/>
        <v>360.3246221345039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0.61496448060581399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0.61496448060581399</v>
      </c>
      <c r="BT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5.6843418860808015E-14</v>
      </c>
      <c r="BZ110" s="14">
        <f>BY110*VLOOKUP('Données projet'!$B$12,Paramètres!$A$1:$I$89,3,0)*VLOOKUP('Données projet'!$B$12,Paramètres!$A$1:$I$89,5,0)</f>
        <v>4.6111381379887463E-14</v>
      </c>
      <c r="CA110" s="14">
        <f t="shared" si="93"/>
        <v>7.5804141040779151E-13</v>
      </c>
      <c r="CB110" s="22">
        <f t="shared" si="64"/>
        <v>1.4005661123635408E-12</v>
      </c>
      <c r="CC110" s="58">
        <f t="shared" si="65"/>
        <v>279.24060689287506</v>
      </c>
      <c r="CD110" s="58">
        <f ca="1">AVERAGE(OFFSET($CC$3,0,0,'Données projet'!$E$12+1,1))-AVERAGE(OFFSET($H$3,0,0,'Données projet'!$E$12+1,1))</f>
        <v>308.58270639204238</v>
      </c>
      <c r="CE110" s="58">
        <f t="shared" si="94"/>
        <v>258.90832875500325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3.0769230769230775</v>
      </c>
      <c r="CT110" s="13">
        <f>IF('Données projet'!$A$140&gt;35,CT109+CS110-DB109,IF(A110&lt;'Données projet'!$A$140,$CQ$205^A110,IF(A110='Données projet'!$A$140,'Données projet'!$B$140,CT109+CS110-DB109)))</f>
        <v>243.97435897435901</v>
      </c>
      <c r="CU110" s="18">
        <f>CT110*VLOOKUP('Données projet'!$B$13,Paramètres!$A$1:$I$89,3,0)*VLOOKUP('Données projet'!$B$13,Paramètres!$A$1:$I$89,5,0)</f>
        <v>232.16600000000005</v>
      </c>
      <c r="CV110" s="14">
        <f t="shared" si="95"/>
        <v>56.750765573960223</v>
      </c>
      <c r="CW110" s="22">
        <f t="shared" si="67"/>
        <v>503.19670004131416</v>
      </c>
      <c r="CX110" s="58">
        <f t="shared" si="68"/>
        <v>782.43730693418775</v>
      </c>
      <c r="CY110" s="58">
        <f ca="1">AVERAGE(OFFSET($CX$3,0,0,'Données projet'!$E$13+1,1))-AVERAGE(OFFSET($H$3,0,0,'Données projet'!$E$13+1,1))</f>
        <v>397.61813291201469</v>
      </c>
      <c r="CZ110" s="58">
        <f t="shared" si="96"/>
        <v>320.30651625485064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0.37570964256662043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0.37570964256662043</v>
      </c>
      <c r="DJ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58" t="e">
        <f t="shared" si="71"/>
        <v>#N/A</v>
      </c>
      <c r="DT110" s="58" t="e">
        <f ca="1">AVERAGE(OFFSET($DS$3,0,0,'Données projet'!$E$14+1,1))-AVERAGE(OFFSET($H$3,0,0,'Données projet'!$E$14+1,1))</f>
        <v>#N/A</v>
      </c>
      <c r="DU110" s="58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58" t="e">
        <f t="shared" si="74"/>
        <v>#N/A</v>
      </c>
      <c r="EO110" s="58" t="e">
        <f ca="1">AVERAGE(OFFSET($EN$3,0,0,'Données projet'!$E$15+1,1))-AVERAGE(OFFSET($H$3,0,0,'Données projet'!$E$15+1,1))</f>
        <v>#N/A</v>
      </c>
      <c r="EP110" s="58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58" t="e">
        <f t="shared" si="77"/>
        <v>#N/A</v>
      </c>
      <c r="FJ110" s="58" t="e">
        <f ca="1">AVERAGE(OFFSET($FI$3,0,0,'Données projet'!$E$16+1,1))-AVERAGE(OFFSET($H$3,0,0,'Données projet'!$E$16+1,1))</f>
        <v>#N/A</v>
      </c>
      <c r="FK110" s="58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58" t="e">
        <f t="shared" si="80"/>
        <v>#N/A</v>
      </c>
      <c r="GE110" s="58" t="e">
        <f ca="1">AVERAGE(OFFSET($GD$3,0,0,'Données projet'!$E$17+1,1))-AVERAGE(OFFSET($H$3,0,0,'Données projet'!$E$17+1,1))</f>
        <v>#N/A</v>
      </c>
      <c r="GF110" s="58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58" t="e">
        <f t="shared" si="83"/>
        <v>#N/A</v>
      </c>
      <c r="GZ110" s="58" t="e">
        <f ca="1">AVERAGE(OFFSET($GY$3,0,0,'Données projet'!$E$18+1,1))-AVERAGE(OFFSET($H$3,0,0,'Données projet'!$E$18+1,1))</f>
        <v>#N/A</v>
      </c>
      <c r="HA110" s="58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0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3">
        <f t="shared" si="56"/>
        <v>183.33333333333334</v>
      </c>
      <c r="I111" s="6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4.666666666666667</v>
      </c>
      <c r="N111" s="14">
        <f>IF('Données projet'!$A$36&gt;35,N110+M111-V110,IF(A111&lt;'Données projet'!$A$36,$K$205^A111,IF(A111='Données projet'!$A$36,'Données projet'!$B$36,N110+M111-V110)))</f>
        <v>321.00000000000051</v>
      </c>
      <c r="O111" s="14">
        <f>N111*VLOOKUP('Données projet'!$B$9,Paramètres!$A$1:$I$89,3,0)*VLOOKUP('Données projet'!$B$9,Paramètres!$A$1:$I$89,5,0)</f>
        <v>270.41040000000044</v>
      </c>
      <c r="P111" s="14">
        <f t="shared" si="87"/>
        <v>64.936358825024513</v>
      </c>
      <c r="Q111" s="22">
        <f t="shared" si="107"/>
        <v>584.06227162025186</v>
      </c>
      <c r="R111" s="58">
        <f t="shared" si="55"/>
        <v>863.54735581025125</v>
      </c>
      <c r="S111" s="58">
        <f ca="1">AVERAGE(OFFSET($R$3,0,0,'Données projet'!$E$9+1,1))-AVERAGE(OFFSET($H$3,0,0,'Données projet'!$E$9+1,1))</f>
        <v>527.70171871461309</v>
      </c>
      <c r="T111" s="58">
        <f t="shared" si="88"/>
        <v>281.06176764290592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7.4487616075202823E-14</v>
      </c>
      <c r="AK111" s="14">
        <f t="shared" si="89"/>
        <v>1.1580453144473142E-12</v>
      </c>
      <c r="AL111" s="22">
        <f t="shared" si="58"/>
        <v>2.1466615206600508E-12</v>
      </c>
      <c r="AM111" s="58">
        <f t="shared" si="59"/>
        <v>279.48508419000149</v>
      </c>
      <c r="AN111" s="58">
        <f ca="1">AVERAGE(OFFSET($AM$3,0,0,'Données projet'!$E$10+1,1))-AVERAGE(OFFSET($H$3,0,0,'Données projet'!$E$10+1,1))</f>
        <v>302.53318056366777</v>
      </c>
      <c r="AO111" s="58">
        <f t="shared" si="90"/>
        <v>318.32262615164541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0.31401123159749789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0.31401123159749789</v>
      </c>
      <c r="AY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9.1000000000003638</v>
      </c>
      <c r="BE111" s="14">
        <f>BD111*VLOOKUP('Données projet'!$B$11,Paramètres!$A$1:$I$89,3,0)*VLOOKUP('Données projet'!$B$11,Paramètres!$A$1:$I$89,5,0)</f>
        <v>7.2399600000002895</v>
      </c>
      <c r="BF111" s="14">
        <f t="shared" si="91"/>
        <v>2.6498112636338633</v>
      </c>
      <c r="BG111" s="22">
        <f t="shared" si="61"/>
        <v>17.224684950829481</v>
      </c>
      <c r="BH111" s="58">
        <f t="shared" si="62"/>
        <v>296.70976914082883</v>
      </c>
      <c r="BI111" s="58">
        <f ca="1">AVERAGE(OFFSET($BH$3,0,0,'Données projet'!$E$11+1,1))-AVERAGE(OFFSET($H$3,0,0,'Données projet'!$E$11+1,1))</f>
        <v>336.25341821407534</v>
      </c>
      <c r="BJ111" s="58">
        <f t="shared" si="92"/>
        <v>360.3246221345039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0.59814824454407145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0.59814824454407145</v>
      </c>
      <c r="BT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5.6843418860808015E-14</v>
      </c>
      <c r="BZ111" s="14">
        <f>BY111*VLOOKUP('Données projet'!$B$12,Paramètres!$A$1:$I$89,3,0)*VLOOKUP('Données projet'!$B$12,Paramètres!$A$1:$I$89,5,0)</f>
        <v>4.6111381379887463E-14</v>
      </c>
      <c r="CA111" s="14">
        <f t="shared" si="93"/>
        <v>7.5804141040779151E-13</v>
      </c>
      <c r="CB111" s="22">
        <f t="shared" si="64"/>
        <v>1.4005661123635408E-12</v>
      </c>
      <c r="CC111" s="58">
        <f t="shared" si="65"/>
        <v>279.48508419000075</v>
      </c>
      <c r="CD111" s="58">
        <f ca="1">AVERAGE(OFFSET($CC$3,0,0,'Données projet'!$E$12+1,1))-AVERAGE(OFFSET($H$3,0,0,'Données projet'!$E$12+1,1))</f>
        <v>308.58270639204238</v>
      </c>
      <c r="CE111" s="58">
        <f t="shared" si="94"/>
        <v>258.90832875500325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3.0769230769230775</v>
      </c>
      <c r="CT111" s="13">
        <f>IF('Données projet'!$A$140&gt;35,CT110+CS111-DB110,IF(A111&lt;'Données projet'!$A$140,$CQ$205^A111,IF(A111='Données projet'!$A$140,'Données projet'!$B$140,CT110+CS111-DB110)))</f>
        <v>247.05128205128207</v>
      </c>
      <c r="CU111" s="18">
        <f>CT111*VLOOKUP('Données projet'!$B$13,Paramètres!$A$1:$I$89,3,0)*VLOOKUP('Données projet'!$B$13,Paramètres!$A$1:$I$89,5,0)</f>
        <v>235.09399999999999</v>
      </c>
      <c r="CV111" s="14">
        <f t="shared" si="95"/>
        <v>57.382715232787334</v>
      </c>
      <c r="CW111" s="22">
        <f t="shared" si="67"/>
        <v>509.39694569710463</v>
      </c>
      <c r="CX111" s="58">
        <f t="shared" si="68"/>
        <v>788.88202988710395</v>
      </c>
      <c r="CY111" s="58">
        <f ca="1">AVERAGE(OFFSET($CX$3,0,0,'Données projet'!$E$13+1,1))-AVERAGE(OFFSET($H$3,0,0,'Données projet'!$E$13+1,1))</f>
        <v>397.61813291201469</v>
      </c>
      <c r="CZ111" s="58">
        <f t="shared" si="96"/>
        <v>320.30651625485064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0.36543584263292478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0.36543584263292478</v>
      </c>
      <c r="DJ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58" t="e">
        <f t="shared" si="71"/>
        <v>#N/A</v>
      </c>
      <c r="DT111" s="58" t="e">
        <f ca="1">AVERAGE(OFFSET($DS$3,0,0,'Données projet'!$E$14+1,1))-AVERAGE(OFFSET($H$3,0,0,'Données projet'!$E$14+1,1))</f>
        <v>#N/A</v>
      </c>
      <c r="DU111" s="58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58" t="e">
        <f t="shared" si="74"/>
        <v>#N/A</v>
      </c>
      <c r="EO111" s="58" t="e">
        <f ca="1">AVERAGE(OFFSET($EN$3,0,0,'Données projet'!$E$15+1,1))-AVERAGE(OFFSET($H$3,0,0,'Données projet'!$E$15+1,1))</f>
        <v>#N/A</v>
      </c>
      <c r="EP111" s="58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58" t="e">
        <f t="shared" si="77"/>
        <v>#N/A</v>
      </c>
      <c r="FJ111" s="58" t="e">
        <f ca="1">AVERAGE(OFFSET($FI$3,0,0,'Données projet'!$E$16+1,1))-AVERAGE(OFFSET($H$3,0,0,'Données projet'!$E$16+1,1))</f>
        <v>#N/A</v>
      </c>
      <c r="FK111" s="58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58" t="e">
        <f t="shared" si="80"/>
        <v>#N/A</v>
      </c>
      <c r="GE111" s="58" t="e">
        <f ca="1">AVERAGE(OFFSET($GD$3,0,0,'Données projet'!$E$17+1,1))-AVERAGE(OFFSET($H$3,0,0,'Données projet'!$E$17+1,1))</f>
        <v>#N/A</v>
      </c>
      <c r="GF111" s="58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58" t="e">
        <f t="shared" si="83"/>
        <v>#N/A</v>
      </c>
      <c r="GZ111" s="58" t="e">
        <f ca="1">AVERAGE(OFFSET($GY$3,0,0,'Données projet'!$E$18+1,1))-AVERAGE(OFFSET($H$3,0,0,'Données projet'!$E$18+1,1))</f>
        <v>#N/A</v>
      </c>
      <c r="HA111" s="58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0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3">
        <f t="shared" si="56"/>
        <v>183.33333333333334</v>
      </c>
      <c r="I112" s="6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4.666666666666667</v>
      </c>
      <c r="N112" s="14">
        <f>IF('Données projet'!$A$36&gt;35,N111+M112-V111,IF(A112&lt;'Données projet'!$A$36,$K$205^A112,IF(A112='Données projet'!$A$36,'Données projet'!$B$36,N111+M112-V111)))</f>
        <v>325.6666666666672</v>
      </c>
      <c r="O112" s="14">
        <f>N112*VLOOKUP('Données projet'!$B$9,Paramètres!$A$1:$I$89,3,0)*VLOOKUP('Données projet'!$B$9,Paramètres!$A$1:$I$89,5,0)</f>
        <v>274.34160000000048</v>
      </c>
      <c r="P112" s="14">
        <f t="shared" si="87"/>
        <v>65.769809203896315</v>
      </c>
      <c r="Q112" s="22">
        <f t="shared" si="107"/>
        <v>592.36070436345358</v>
      </c>
      <c r="R112" s="58">
        <f t="shared" si="55"/>
        <v>872.08602471604286</v>
      </c>
      <c r="S112" s="58">
        <f ca="1">AVERAGE(OFFSET($R$3,0,0,'Données projet'!$E$9+1,1))-AVERAGE(OFFSET($H$3,0,0,'Données projet'!$E$9+1,1))</f>
        <v>527.70171871461309</v>
      </c>
      <c r="T112" s="58">
        <f t="shared" si="88"/>
        <v>281.06176764290592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7.4487616075202823E-14</v>
      </c>
      <c r="AK112" s="14">
        <f t="shared" si="89"/>
        <v>1.1580453144473142E-12</v>
      </c>
      <c r="AL112" s="22">
        <f t="shared" si="58"/>
        <v>2.1466615206600508E-12</v>
      </c>
      <c r="AM112" s="58">
        <f t="shared" si="59"/>
        <v>279.72532035259144</v>
      </c>
      <c r="AN112" s="58">
        <f ca="1">AVERAGE(OFFSET($AM$3,0,0,'Données projet'!$E$10+1,1))-AVERAGE(OFFSET($H$3,0,0,'Données projet'!$E$10+1,1))</f>
        <v>302.53318056366777</v>
      </c>
      <c r="AO112" s="58">
        <f t="shared" si="90"/>
        <v>318.32262615164541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0.30542457795633132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0.30542457795633132</v>
      </c>
      <c r="AY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9.1000000000003638</v>
      </c>
      <c r="BE112" s="14">
        <f>BD112*VLOOKUP('Données projet'!$B$11,Paramètres!$A$1:$I$89,3,0)*VLOOKUP('Données projet'!$B$11,Paramètres!$A$1:$I$89,5,0)</f>
        <v>7.2399600000002895</v>
      </c>
      <c r="BF112" s="14">
        <f t="shared" si="91"/>
        <v>2.6498112636338633</v>
      </c>
      <c r="BG112" s="22">
        <f t="shared" si="61"/>
        <v>17.224684950829481</v>
      </c>
      <c r="BH112" s="58">
        <f t="shared" si="62"/>
        <v>296.95000530341878</v>
      </c>
      <c r="BI112" s="58">
        <f ca="1">AVERAGE(OFFSET($BH$3,0,0,'Données projet'!$E$11+1,1))-AVERAGE(OFFSET($H$3,0,0,'Données projet'!$E$11+1,1))</f>
        <v>336.25341821407534</v>
      </c>
      <c r="BJ112" s="58">
        <f t="shared" si="92"/>
        <v>360.3246221345039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0.58179184934176476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0.58179184934176476</v>
      </c>
      <c r="BT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5.6843418860808015E-14</v>
      </c>
      <c r="BZ112" s="14">
        <f>BY112*VLOOKUP('Données projet'!$B$12,Paramètres!$A$1:$I$89,3,0)*VLOOKUP('Données projet'!$B$12,Paramètres!$A$1:$I$89,5,0)</f>
        <v>4.6111381379887463E-14</v>
      </c>
      <c r="CA112" s="14">
        <f t="shared" si="93"/>
        <v>7.5804141040779151E-13</v>
      </c>
      <c r="CB112" s="22">
        <f t="shared" si="64"/>
        <v>1.4005661123635408E-12</v>
      </c>
      <c r="CC112" s="58">
        <f t="shared" si="65"/>
        <v>279.7253203525907</v>
      </c>
      <c r="CD112" s="58">
        <f ca="1">AVERAGE(OFFSET($CC$3,0,0,'Données projet'!$E$12+1,1))-AVERAGE(OFFSET($H$3,0,0,'Données projet'!$E$12+1,1))</f>
        <v>308.58270639204238</v>
      </c>
      <c r="CE112" s="58">
        <f t="shared" si="94"/>
        <v>258.90832875500325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3.0769230769230775</v>
      </c>
      <c r="CT112" s="13">
        <f>IF('Données projet'!$A$140&gt;35,CT111+CS112-DB111,IF(A112&lt;'Données projet'!$A$140,$CQ$205^A112,IF(A112='Données projet'!$A$140,'Données projet'!$B$140,CT111+CS112-DB111)))</f>
        <v>250.12820512820514</v>
      </c>
      <c r="CU112" s="18">
        <f>CT112*VLOOKUP('Données projet'!$B$13,Paramètres!$A$1:$I$89,3,0)*VLOOKUP('Données projet'!$B$13,Paramètres!$A$1:$I$89,5,0)</f>
        <v>238.02200000000002</v>
      </c>
      <c r="CV112" s="14">
        <f t="shared" si="95"/>
        <v>58.013749383704898</v>
      </c>
      <c r="CW112" s="22">
        <f t="shared" si="67"/>
        <v>515.59559684328599</v>
      </c>
      <c r="CX112" s="58">
        <f t="shared" si="68"/>
        <v>795.32091719587527</v>
      </c>
      <c r="CY112" s="58">
        <f ca="1">AVERAGE(OFFSET($CX$3,0,0,'Données projet'!$E$13+1,1))-AVERAGE(OFFSET($H$3,0,0,'Données projet'!$E$13+1,1))</f>
        <v>397.61813291201469</v>
      </c>
      <c r="CZ112" s="58">
        <f t="shared" si="96"/>
        <v>320.30651625485064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0.3554429802986917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0.3554429802986917</v>
      </c>
      <c r="DJ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58" t="e">
        <f t="shared" si="71"/>
        <v>#N/A</v>
      </c>
      <c r="DT112" s="58" t="e">
        <f ca="1">AVERAGE(OFFSET($DS$3,0,0,'Données projet'!$E$14+1,1))-AVERAGE(OFFSET($H$3,0,0,'Données projet'!$E$14+1,1))</f>
        <v>#N/A</v>
      </c>
      <c r="DU112" s="58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58" t="e">
        <f t="shared" si="74"/>
        <v>#N/A</v>
      </c>
      <c r="EO112" s="58" t="e">
        <f ca="1">AVERAGE(OFFSET($EN$3,0,0,'Données projet'!$E$15+1,1))-AVERAGE(OFFSET($H$3,0,0,'Données projet'!$E$15+1,1))</f>
        <v>#N/A</v>
      </c>
      <c r="EP112" s="58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58" t="e">
        <f t="shared" si="77"/>
        <v>#N/A</v>
      </c>
      <c r="FJ112" s="58" t="e">
        <f ca="1">AVERAGE(OFFSET($FI$3,0,0,'Données projet'!$E$16+1,1))-AVERAGE(OFFSET($H$3,0,0,'Données projet'!$E$16+1,1))</f>
        <v>#N/A</v>
      </c>
      <c r="FK112" s="58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58" t="e">
        <f t="shared" si="80"/>
        <v>#N/A</v>
      </c>
      <c r="GE112" s="58" t="e">
        <f ca="1">AVERAGE(OFFSET($GD$3,0,0,'Données projet'!$E$17+1,1))-AVERAGE(OFFSET($H$3,0,0,'Données projet'!$E$17+1,1))</f>
        <v>#N/A</v>
      </c>
      <c r="GF112" s="58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58" t="e">
        <f t="shared" si="83"/>
        <v>#N/A</v>
      </c>
      <c r="GZ112" s="58" t="e">
        <f ca="1">AVERAGE(OFFSET($GY$3,0,0,'Données projet'!$E$18+1,1))-AVERAGE(OFFSET($H$3,0,0,'Données projet'!$E$18+1,1))</f>
        <v>#N/A</v>
      </c>
      <c r="HA112" s="58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0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3">
        <f t="shared" si="56"/>
        <v>183.33333333333334</v>
      </c>
      <c r="I113" s="6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4.666666666666667</v>
      </c>
      <c r="N113" s="14">
        <f>IF('Données projet'!$A$36&gt;35,N112+M113-V112,IF(A113&lt;'Données projet'!$A$36,$K$205^A113,IF(A113='Données projet'!$A$36,'Données projet'!$B$36,N112+M113-V112)))</f>
        <v>330.33333333333388</v>
      </c>
      <c r="O113" s="14">
        <f>N113*VLOOKUP('Données projet'!$B$9,Paramètres!$A$1:$I$89,3,0)*VLOOKUP('Données projet'!$B$9,Paramètres!$A$1:$I$89,5,0)</f>
        <v>278.27280000000047</v>
      </c>
      <c r="P113" s="14">
        <f t="shared" si="87"/>
        <v>66.60187052670932</v>
      </c>
      <c r="Q113" s="22">
        <f t="shared" si="107"/>
        <v>600.65671783401956</v>
      </c>
      <c r="R113" s="58">
        <f t="shared" si="55"/>
        <v>880.61810678886536</v>
      </c>
      <c r="S113" s="58">
        <f ca="1">AVERAGE(OFFSET($R$3,0,0,'Données projet'!$E$9+1,1))-AVERAGE(OFFSET($H$3,0,0,'Données projet'!$E$9+1,1))</f>
        <v>527.70171871461309</v>
      </c>
      <c r="T113" s="58">
        <f t="shared" si="88"/>
        <v>281.06176764290592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7.4487616075202823E-14</v>
      </c>
      <c r="AK113" s="14">
        <f t="shared" si="89"/>
        <v>1.1580453144473142E-12</v>
      </c>
      <c r="AL113" s="22">
        <f t="shared" si="58"/>
        <v>2.1466615206600508E-12</v>
      </c>
      <c r="AM113" s="58">
        <f t="shared" si="59"/>
        <v>279.96138895484802</v>
      </c>
      <c r="AN113" s="58">
        <f ca="1">AVERAGE(OFFSET($AM$3,0,0,'Données projet'!$E$10+1,1))-AVERAGE(OFFSET($H$3,0,0,'Données projet'!$E$10+1,1))</f>
        <v>302.53318056366777</v>
      </c>
      <c r="AO113" s="58">
        <f t="shared" si="90"/>
        <v>318.32262615164541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0.29707272681053493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0.29707272681053493</v>
      </c>
      <c r="AY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9.1000000000003638</v>
      </c>
      <c r="BE113" s="14">
        <f>BD113*VLOOKUP('Données projet'!$B$11,Paramètres!$A$1:$I$89,3,0)*VLOOKUP('Données projet'!$B$11,Paramètres!$A$1:$I$89,5,0)</f>
        <v>7.2399600000002895</v>
      </c>
      <c r="BF113" s="14">
        <f t="shared" si="91"/>
        <v>2.6498112636338633</v>
      </c>
      <c r="BG113" s="22">
        <f t="shared" si="61"/>
        <v>17.224684950829481</v>
      </c>
      <c r="BH113" s="58">
        <f t="shared" si="62"/>
        <v>297.18607390567536</v>
      </c>
      <c r="BI113" s="58">
        <f ca="1">AVERAGE(OFFSET($BH$3,0,0,'Données projet'!$E$11+1,1))-AVERAGE(OFFSET($H$3,0,0,'Données projet'!$E$11+1,1))</f>
        <v>336.25341821407534</v>
      </c>
      <c r="BJ113" s="58">
        <f t="shared" si="92"/>
        <v>360.3246221345039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0.56588272062641054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0.56588272062641054</v>
      </c>
      <c r="BT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5.6843418860808015E-14</v>
      </c>
      <c r="BZ113" s="14">
        <f>BY113*VLOOKUP('Données projet'!$B$12,Paramètres!$A$1:$I$89,3,0)*VLOOKUP('Données projet'!$B$12,Paramètres!$A$1:$I$89,5,0)</f>
        <v>4.6111381379887463E-14</v>
      </c>
      <c r="CA113" s="14">
        <f t="shared" si="93"/>
        <v>7.5804141040779151E-13</v>
      </c>
      <c r="CB113" s="22">
        <f t="shared" si="64"/>
        <v>1.4005661123635408E-12</v>
      </c>
      <c r="CC113" s="58">
        <f t="shared" si="65"/>
        <v>279.96138895484728</v>
      </c>
      <c r="CD113" s="58">
        <f ca="1">AVERAGE(OFFSET($CC$3,0,0,'Données projet'!$E$12+1,1))-AVERAGE(OFFSET($H$3,0,0,'Données projet'!$E$12+1,1))</f>
        <v>308.58270639204238</v>
      </c>
      <c r="CE113" s="58">
        <f t="shared" si="94"/>
        <v>258.90832875500325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253.2051282051282</v>
      </c>
      <c r="CR113" s="13">
        <f>VLOOKUP(A113,'Données projet'!$A$139:$I$159,9,0)</f>
        <v>3.0769230769230775</v>
      </c>
      <c r="CS113" s="13">
        <f t="array" ref="CS113">INDEX(CR:CR,MIN(IF(ISNUMBER(CR113:CR309),ROW(CR113:CR309),"")))</f>
        <v>3.0769230769230775</v>
      </c>
      <c r="CT113" s="13">
        <f>IF('Données projet'!$A$140&gt;35,CT112+CS113-DB112,IF(A113&lt;'Données projet'!$A$140,$CQ$205^A113,IF(A113='Données projet'!$A$140,'Données projet'!$B$140,CT112+CS113-DB112)))</f>
        <v>253.2051282051282</v>
      </c>
      <c r="CU113" s="18">
        <f>CT113*VLOOKUP('Données projet'!$B$13,Paramètres!$A$1:$I$89,3,0)*VLOOKUP('Données projet'!$B$13,Paramètres!$A$1:$I$89,5,0)</f>
        <v>240.95000000000002</v>
      </c>
      <c r="CV113" s="14">
        <f t="shared" si="95"/>
        <v>58.643880591265635</v>
      </c>
      <c r="CW113" s="22">
        <f t="shared" si="67"/>
        <v>521.79267536312102</v>
      </c>
      <c r="CX113" s="58">
        <f t="shared" si="68"/>
        <v>801.75406431796682</v>
      </c>
      <c r="CY113" s="58">
        <f ca="1">AVERAGE(OFFSET($CX$3,0,0,'Données projet'!$E$13+1,1))-AVERAGE(OFFSET($H$3,0,0,'Données projet'!$E$13+1,1))</f>
        <v>397.61813291201469</v>
      </c>
      <c r="CZ113" s="58">
        <f t="shared" si="96"/>
        <v>320.30651625485064</v>
      </c>
      <c r="DA113" s="16">
        <f>IF(ISNA(VLOOKUP(A113,'Données projet'!$A$139:$I$159,3,0)),0,VLOOKUP(A113,'Données projet'!$A$139:$I$159,3,0))</f>
        <v>10</v>
      </c>
      <c r="DB113" s="16">
        <f>IF(ISNA(VLOOKUP(A113,'Données projet'!$A$139:$I$159,4,0)),0,VLOOKUP(A113,'Données projet'!$A$139:$I$159,4,0))</f>
        <v>22.435897435897434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0.34572337331049002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0.34572337331049002</v>
      </c>
      <c r="DJ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58" t="e">
        <f t="shared" si="71"/>
        <v>#N/A</v>
      </c>
      <c r="DT113" s="58" t="e">
        <f ca="1">AVERAGE(OFFSET($DS$3,0,0,'Données projet'!$E$14+1,1))-AVERAGE(OFFSET($H$3,0,0,'Données projet'!$E$14+1,1))</f>
        <v>#N/A</v>
      </c>
      <c r="DU113" s="58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58" t="e">
        <f t="shared" si="74"/>
        <v>#N/A</v>
      </c>
      <c r="EO113" s="58" t="e">
        <f ca="1">AVERAGE(OFFSET($EN$3,0,0,'Données projet'!$E$15+1,1))-AVERAGE(OFFSET($H$3,0,0,'Données projet'!$E$15+1,1))</f>
        <v>#N/A</v>
      </c>
      <c r="EP113" s="58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58" t="e">
        <f t="shared" si="77"/>
        <v>#N/A</v>
      </c>
      <c r="FJ113" s="58" t="e">
        <f ca="1">AVERAGE(OFFSET($FI$3,0,0,'Données projet'!$E$16+1,1))-AVERAGE(OFFSET($H$3,0,0,'Données projet'!$E$16+1,1))</f>
        <v>#N/A</v>
      </c>
      <c r="FK113" s="58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58" t="e">
        <f t="shared" si="80"/>
        <v>#N/A</v>
      </c>
      <c r="GE113" s="58" t="e">
        <f ca="1">AVERAGE(OFFSET($GD$3,0,0,'Données projet'!$E$17+1,1))-AVERAGE(OFFSET($H$3,0,0,'Données projet'!$E$17+1,1))</f>
        <v>#N/A</v>
      </c>
      <c r="GF113" s="58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58" t="e">
        <f t="shared" si="83"/>
        <v>#N/A</v>
      </c>
      <c r="GZ113" s="58" t="e">
        <f ca="1">AVERAGE(OFFSET($GY$3,0,0,'Données projet'!$E$18+1,1))-AVERAGE(OFFSET($H$3,0,0,'Données projet'!$E$18+1,1))</f>
        <v>#N/A</v>
      </c>
      <c r="HA113" s="58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0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3">
        <f t="shared" si="56"/>
        <v>183.33333333333334</v>
      </c>
      <c r="I114" s="6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4.666666666666667</v>
      </c>
      <c r="N114" s="14">
        <f>IF('Données projet'!$A$36&gt;35,N113+M114-V113,IF(A114&lt;'Données projet'!$A$36,$K$205^A114,IF(A114='Données projet'!$A$36,'Données projet'!$B$36,N113+M114-V113)))</f>
        <v>335.00000000000057</v>
      </c>
      <c r="O114" s="14">
        <f>N114*VLOOKUP('Données projet'!$B$9,Paramètres!$A$1:$I$89,3,0)*VLOOKUP('Données projet'!$B$9,Paramètres!$A$1:$I$89,5,0)</f>
        <v>282.20400000000052</v>
      </c>
      <c r="P114" s="14">
        <f t="shared" si="87"/>
        <v>67.432564684485243</v>
      </c>
      <c r="Q114" s="22">
        <f t="shared" si="107"/>
        <v>608.95035015881274</v>
      </c>
      <c r="R114" s="58">
        <f t="shared" si="55"/>
        <v>889.14371245343636</v>
      </c>
      <c r="S114" s="58">
        <f ca="1">AVERAGE(OFFSET($R$3,0,0,'Données projet'!$E$9+1,1))-AVERAGE(OFFSET($H$3,0,0,'Données projet'!$E$9+1,1))</f>
        <v>527.70171871461309</v>
      </c>
      <c r="T114" s="58">
        <f t="shared" si="88"/>
        <v>281.06176764290592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7.4487616075202823E-14</v>
      </c>
      <c r="AK114" s="14">
        <f t="shared" si="89"/>
        <v>1.1580453144473142E-12</v>
      </c>
      <c r="AL114" s="22">
        <f t="shared" si="58"/>
        <v>2.1466615206600508E-12</v>
      </c>
      <c r="AM114" s="58">
        <f t="shared" si="59"/>
        <v>280.19336229462573</v>
      </c>
      <c r="AN114" s="58">
        <f ca="1">AVERAGE(OFFSET($AM$3,0,0,'Données projet'!$E$10+1,1))-AVERAGE(OFFSET($H$3,0,0,'Données projet'!$E$10+1,1))</f>
        <v>302.53318056366777</v>
      </c>
      <c r="AO114" s="58">
        <f t="shared" si="90"/>
        <v>318.32262615164541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0.28894925747352512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0.28894925747352512</v>
      </c>
      <c r="AY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9.1000000000003638</v>
      </c>
      <c r="BE114" s="14">
        <f>BD114*VLOOKUP('Données projet'!$B$11,Paramètres!$A$1:$I$89,3,0)*VLOOKUP('Données projet'!$B$11,Paramètres!$A$1:$I$89,5,0)</f>
        <v>7.2399600000002895</v>
      </c>
      <c r="BF114" s="14">
        <f t="shared" si="91"/>
        <v>2.6498112636338633</v>
      </c>
      <c r="BG114" s="22">
        <f t="shared" si="61"/>
        <v>17.224684950829481</v>
      </c>
      <c r="BH114" s="58">
        <f t="shared" si="62"/>
        <v>297.41804724545307</v>
      </c>
      <c r="BI114" s="58">
        <f ca="1">AVERAGE(OFFSET($BH$3,0,0,'Données projet'!$E$11+1,1))-AVERAGE(OFFSET($H$3,0,0,'Données projet'!$E$11+1,1))</f>
        <v>336.25341821407534</v>
      </c>
      <c r="BJ114" s="58">
        <f t="shared" si="92"/>
        <v>360.3246221345039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0.55040862787240241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0.55040862787240241</v>
      </c>
      <c r="BT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5.6843418860808015E-14</v>
      </c>
      <c r="BZ114" s="14">
        <f>BY114*VLOOKUP('Données projet'!$B$12,Paramètres!$A$1:$I$89,3,0)*VLOOKUP('Données projet'!$B$12,Paramètres!$A$1:$I$89,5,0)</f>
        <v>4.6111381379887463E-14</v>
      </c>
      <c r="CA114" s="14">
        <f t="shared" si="93"/>
        <v>7.5804141040779151E-13</v>
      </c>
      <c r="CB114" s="22">
        <f t="shared" si="64"/>
        <v>1.4005661123635408E-12</v>
      </c>
      <c r="CC114" s="58">
        <f t="shared" si="65"/>
        <v>280.19336229462499</v>
      </c>
      <c r="CD114" s="58">
        <f ca="1">AVERAGE(OFFSET($CC$3,0,0,'Données projet'!$E$12+1,1))-AVERAGE(OFFSET($H$3,0,0,'Données projet'!$E$12+1,1))</f>
        <v>308.58270639204238</v>
      </c>
      <c r="CE114" s="58">
        <f t="shared" si="94"/>
        <v>258.90832875500325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2.9487179487179445</v>
      </c>
      <c r="CT114" s="13">
        <f>IF('Données projet'!$A$140&gt;35,CT113+CS114-DB113,IF(A114&lt;'Données projet'!$A$140,$CQ$205^A114,IF(A114='Données projet'!$A$140,'Données projet'!$B$140,CT113+CS114-DB113)))</f>
        <v>233.7179487179487</v>
      </c>
      <c r="CU114" s="18">
        <f>CT114*VLOOKUP('Données projet'!$B$13,Paramètres!$A$1:$I$89,3,0)*VLOOKUP('Données projet'!$B$13,Paramètres!$A$1:$I$89,5,0)</f>
        <v>222.40599999999998</v>
      </c>
      <c r="CV114" s="14">
        <f t="shared" si="95"/>
        <v>54.637486435385725</v>
      </c>
      <c r="CW114" s="22">
        <f t="shared" si="67"/>
        <v>482.51740554163007</v>
      </c>
      <c r="CX114" s="58">
        <f t="shared" si="68"/>
        <v>762.71076783625358</v>
      </c>
      <c r="CY114" s="58">
        <f ca="1">AVERAGE(OFFSET($CX$3,0,0,'Données projet'!$E$13+1,1))-AVERAGE(OFFSET($H$3,0,0,'Données projet'!$E$13+1,1))</f>
        <v>397.61813291201469</v>
      </c>
      <c r="CZ114" s="58">
        <f t="shared" si="96"/>
        <v>320.30651625485064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0.33626954948651261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0.33626954948651261</v>
      </c>
      <c r="DJ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58" t="e">
        <f t="shared" si="71"/>
        <v>#N/A</v>
      </c>
      <c r="DT114" s="58" t="e">
        <f ca="1">AVERAGE(OFFSET($DS$3,0,0,'Données projet'!$E$14+1,1))-AVERAGE(OFFSET($H$3,0,0,'Données projet'!$E$14+1,1))</f>
        <v>#N/A</v>
      </c>
      <c r="DU114" s="58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58" t="e">
        <f t="shared" si="74"/>
        <v>#N/A</v>
      </c>
      <c r="EO114" s="58" t="e">
        <f ca="1">AVERAGE(OFFSET($EN$3,0,0,'Données projet'!$E$15+1,1))-AVERAGE(OFFSET($H$3,0,0,'Données projet'!$E$15+1,1))</f>
        <v>#N/A</v>
      </c>
      <c r="EP114" s="58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58" t="e">
        <f t="shared" si="77"/>
        <v>#N/A</v>
      </c>
      <c r="FJ114" s="58" t="e">
        <f ca="1">AVERAGE(OFFSET($FI$3,0,0,'Données projet'!$E$16+1,1))-AVERAGE(OFFSET($H$3,0,0,'Données projet'!$E$16+1,1))</f>
        <v>#N/A</v>
      </c>
      <c r="FK114" s="58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58" t="e">
        <f t="shared" si="80"/>
        <v>#N/A</v>
      </c>
      <c r="GE114" s="58" t="e">
        <f ca="1">AVERAGE(OFFSET($GD$3,0,0,'Données projet'!$E$17+1,1))-AVERAGE(OFFSET($H$3,0,0,'Données projet'!$E$17+1,1))</f>
        <v>#N/A</v>
      </c>
      <c r="GF114" s="58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58" t="e">
        <f t="shared" si="83"/>
        <v>#N/A</v>
      </c>
      <c r="GZ114" s="58" t="e">
        <f ca="1">AVERAGE(OFFSET($GY$3,0,0,'Données projet'!$E$18+1,1))-AVERAGE(OFFSET($H$3,0,0,'Données projet'!$E$18+1,1))</f>
        <v>#N/A</v>
      </c>
      <c r="HA114" s="58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0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3">
        <f t="shared" si="56"/>
        <v>183.33333333333334</v>
      </c>
      <c r="I115" s="6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4.666666666666667</v>
      </c>
      <c r="N115" s="14">
        <f>IF('Données projet'!$A$36&gt;35,N114+M115-V114,IF(A115&lt;'Données projet'!$A$36,$K$205^A115,IF(A115='Données projet'!$A$36,'Données projet'!$B$36,N114+M115-V114)))</f>
        <v>339.66666666666725</v>
      </c>
      <c r="O115" s="14">
        <f>N115*VLOOKUP('Données projet'!$B$9,Paramètres!$A$1:$I$89,3,0)*VLOOKUP('Données projet'!$B$9,Paramètres!$A$1:$I$89,5,0)</f>
        <v>286.13520000000051</v>
      </c>
      <c r="P115" s="14">
        <f t="shared" si="87"/>
        <v>68.261912923311343</v>
      </c>
      <c r="Q115" s="22">
        <f t="shared" si="107"/>
        <v>617.24163834143474</v>
      </c>
      <c r="R115" s="58">
        <f t="shared" si="55"/>
        <v>897.66294975700566</v>
      </c>
      <c r="S115" s="58">
        <f ca="1">AVERAGE(OFFSET($R$3,0,0,'Données projet'!$E$9+1,1))-AVERAGE(OFFSET($H$3,0,0,'Données projet'!$E$9+1,1))</f>
        <v>527.70171871461309</v>
      </c>
      <c r="T115" s="58">
        <f t="shared" si="88"/>
        <v>281.06176764290592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7.4487616075202823E-14</v>
      </c>
      <c r="AK115" s="14">
        <f t="shared" si="89"/>
        <v>1.1580453144473142E-12</v>
      </c>
      <c r="AL115" s="22">
        <f t="shared" si="58"/>
        <v>2.1466615206600508E-12</v>
      </c>
      <c r="AM115" s="58">
        <f t="shared" si="59"/>
        <v>280.42131141557303</v>
      </c>
      <c r="AN115" s="58">
        <f ca="1">AVERAGE(OFFSET($AM$3,0,0,'Données projet'!$E$10+1,1))-AVERAGE(OFFSET($H$3,0,0,'Données projet'!$E$10+1,1))</f>
        <v>302.53318056366777</v>
      </c>
      <c r="AO115" s="58">
        <f t="shared" si="90"/>
        <v>318.32262615164541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0.28104792483273056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0.28104792483273056</v>
      </c>
      <c r="AY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9.1000000000003638</v>
      </c>
      <c r="BE115" s="14">
        <f>BD115*VLOOKUP('Données projet'!$B$11,Paramètres!$A$1:$I$89,3,0)*VLOOKUP('Données projet'!$B$11,Paramètres!$A$1:$I$89,5,0)</f>
        <v>7.2399600000002895</v>
      </c>
      <c r="BF115" s="14">
        <f t="shared" si="91"/>
        <v>2.6498112636338633</v>
      </c>
      <c r="BG115" s="22">
        <f t="shared" si="61"/>
        <v>17.224684950829481</v>
      </c>
      <c r="BH115" s="58">
        <f t="shared" si="62"/>
        <v>297.64599636640037</v>
      </c>
      <c r="BI115" s="58">
        <f ca="1">AVERAGE(OFFSET($BH$3,0,0,'Données projet'!$E$11+1,1))-AVERAGE(OFFSET($H$3,0,0,'Données projet'!$E$11+1,1))</f>
        <v>336.25341821407534</v>
      </c>
      <c r="BJ115" s="58">
        <f t="shared" si="92"/>
        <v>360.3246221345039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0.53535767499849984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0.53535767499849984</v>
      </c>
      <c r="BT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5.6843418860808015E-14</v>
      </c>
      <c r="BZ115" s="14">
        <f>BY115*VLOOKUP('Données projet'!$B$12,Paramètres!$A$1:$I$89,3,0)*VLOOKUP('Données projet'!$B$12,Paramètres!$A$1:$I$89,5,0)</f>
        <v>4.6111381379887463E-14</v>
      </c>
      <c r="CA115" s="14">
        <f t="shared" si="93"/>
        <v>7.5804141040779151E-13</v>
      </c>
      <c r="CB115" s="22">
        <f t="shared" si="64"/>
        <v>1.4005661123635408E-12</v>
      </c>
      <c r="CC115" s="58">
        <f t="shared" si="65"/>
        <v>280.42131141557229</v>
      </c>
      <c r="CD115" s="58">
        <f ca="1">AVERAGE(OFFSET($CC$3,0,0,'Données projet'!$E$12+1,1))-AVERAGE(OFFSET($H$3,0,0,'Données projet'!$E$12+1,1))</f>
        <v>308.58270639204238</v>
      </c>
      <c r="CE115" s="58">
        <f t="shared" si="94"/>
        <v>258.90832875500325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2.9487179487179445</v>
      </c>
      <c r="CT115" s="13">
        <f>IF('Données projet'!$A$140&gt;35,CT114+CS115-DB114,IF(A115&lt;'Données projet'!$A$140,$CQ$205^A115,IF(A115='Données projet'!$A$140,'Données projet'!$B$140,CT114+CS115-DB114)))</f>
        <v>236.66666666666666</v>
      </c>
      <c r="CU115" s="18">
        <f>CT115*VLOOKUP('Données projet'!$B$13,Paramètres!$A$1:$I$89,3,0)*VLOOKUP('Données projet'!$B$13,Paramètres!$A$1:$I$89,5,0)</f>
        <v>225.21199999999999</v>
      </c>
      <c r="CV115" s="14">
        <f t="shared" si="95"/>
        <v>55.246139848809499</v>
      </c>
      <c r="CW115" s="22">
        <f t="shared" si="67"/>
        <v>488.46459357000981</v>
      </c>
      <c r="CX115" s="58">
        <f t="shared" si="68"/>
        <v>768.88590498558074</v>
      </c>
      <c r="CY115" s="58">
        <f ca="1">AVERAGE(OFFSET($CX$3,0,0,'Données projet'!$E$13+1,1))-AVERAGE(OFFSET($H$3,0,0,'Données projet'!$E$13+1,1))</f>
        <v>397.61813291201469</v>
      </c>
      <c r="CZ115" s="58">
        <f t="shared" si="96"/>
        <v>320.30651625485064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0.32707424097215687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0.32707424097215687</v>
      </c>
      <c r="DJ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58" t="e">
        <f t="shared" si="71"/>
        <v>#N/A</v>
      </c>
      <c r="DT115" s="58" t="e">
        <f ca="1">AVERAGE(OFFSET($DS$3,0,0,'Données projet'!$E$14+1,1))-AVERAGE(OFFSET($H$3,0,0,'Données projet'!$E$14+1,1))</f>
        <v>#N/A</v>
      </c>
      <c r="DU115" s="58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58" t="e">
        <f t="shared" si="74"/>
        <v>#N/A</v>
      </c>
      <c r="EO115" s="58" t="e">
        <f ca="1">AVERAGE(OFFSET($EN$3,0,0,'Données projet'!$E$15+1,1))-AVERAGE(OFFSET($H$3,0,0,'Données projet'!$E$15+1,1))</f>
        <v>#N/A</v>
      </c>
      <c r="EP115" s="58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58" t="e">
        <f t="shared" si="77"/>
        <v>#N/A</v>
      </c>
      <c r="FJ115" s="58" t="e">
        <f ca="1">AVERAGE(OFFSET($FI$3,0,0,'Données projet'!$E$16+1,1))-AVERAGE(OFFSET($H$3,0,0,'Données projet'!$E$16+1,1))</f>
        <v>#N/A</v>
      </c>
      <c r="FK115" s="58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58" t="e">
        <f t="shared" si="80"/>
        <v>#N/A</v>
      </c>
      <c r="GE115" s="58" t="e">
        <f ca="1">AVERAGE(OFFSET($GD$3,0,0,'Données projet'!$E$17+1,1))-AVERAGE(OFFSET($H$3,0,0,'Données projet'!$E$17+1,1))</f>
        <v>#N/A</v>
      </c>
      <c r="GF115" s="58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58" t="e">
        <f t="shared" si="83"/>
        <v>#N/A</v>
      </c>
      <c r="GZ115" s="58" t="e">
        <f ca="1">AVERAGE(OFFSET($GY$3,0,0,'Données projet'!$E$18+1,1))-AVERAGE(OFFSET($H$3,0,0,'Données projet'!$E$18+1,1))</f>
        <v>#N/A</v>
      </c>
      <c r="HA115" s="58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0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3">
        <f t="shared" si="56"/>
        <v>183.33333333333334</v>
      </c>
      <c r="I116" s="6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4.666666666666667</v>
      </c>
      <c r="N116" s="14">
        <f>IF('Données projet'!$A$36&gt;35,N115+M116-V115,IF(A116&lt;'Données projet'!$A$36,$K$205^A116,IF(A116='Données projet'!$A$36,'Données projet'!$B$36,N115+M116-V115)))</f>
        <v>344.33333333333394</v>
      </c>
      <c r="O116" s="14">
        <f>N116*VLOOKUP('Données projet'!$B$9,Paramètres!$A$1:$I$89,3,0)*VLOOKUP('Données projet'!$B$9,Paramètres!$A$1:$I$89,5,0)</f>
        <v>290.06640000000056</v>
      </c>
      <c r="P116" s="14">
        <f t="shared" si="87"/>
        <v>69.089935871935225</v>
      </c>
      <c r="Q116" s="22">
        <f t="shared" si="107"/>
        <v>625.53061831028811</v>
      </c>
      <c r="R116" s="58">
        <f t="shared" si="55"/>
        <v>906.17592443917579</v>
      </c>
      <c r="S116" s="58">
        <f ca="1">AVERAGE(OFFSET($R$3,0,0,'Données projet'!$E$9+1,1))-AVERAGE(OFFSET($H$3,0,0,'Données projet'!$E$9+1,1))</f>
        <v>527.70171871461309</v>
      </c>
      <c r="T116" s="58">
        <f t="shared" si="88"/>
        <v>281.06176764290592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7.4487616075202823E-14</v>
      </c>
      <c r="AK116" s="14">
        <f t="shared" si="89"/>
        <v>1.1580453144473142E-12</v>
      </c>
      <c r="AL116" s="22">
        <f t="shared" si="58"/>
        <v>2.1466615206600508E-12</v>
      </c>
      <c r="AM116" s="58">
        <f t="shared" si="59"/>
        <v>280.64530612888979</v>
      </c>
      <c r="AN116" s="58">
        <f ca="1">AVERAGE(OFFSET($AM$3,0,0,'Données projet'!$E$10+1,1))-AVERAGE(OFFSET($H$3,0,0,'Données projet'!$E$10+1,1))</f>
        <v>302.53318056366777</v>
      </c>
      <c r="AO116" s="58">
        <f t="shared" si="90"/>
        <v>318.32262615164541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0.2733626545485115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0.2733626545485115</v>
      </c>
      <c r="AY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9.1000000000003638</v>
      </c>
      <c r="BE116" s="14">
        <f>BD116*VLOOKUP('Données projet'!$B$11,Paramètres!$A$1:$I$89,3,0)*VLOOKUP('Données projet'!$B$11,Paramètres!$A$1:$I$89,5,0)</f>
        <v>7.2399600000002895</v>
      </c>
      <c r="BF116" s="14">
        <f t="shared" si="91"/>
        <v>2.6498112636338633</v>
      </c>
      <c r="BG116" s="22">
        <f t="shared" si="61"/>
        <v>17.224684950829481</v>
      </c>
      <c r="BH116" s="58">
        <f t="shared" si="62"/>
        <v>297.86999107971712</v>
      </c>
      <c r="BI116" s="58">
        <f ca="1">AVERAGE(OFFSET($BH$3,0,0,'Données projet'!$E$11+1,1))-AVERAGE(OFFSET($H$3,0,0,'Données projet'!$E$11+1,1))</f>
        <v>336.25341821407534</v>
      </c>
      <c r="BJ116" s="58">
        <f t="shared" si="92"/>
        <v>360.3246221345039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0.5207182912224293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0.5207182912224293</v>
      </c>
      <c r="BT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5.6843418860808015E-14</v>
      </c>
      <c r="BZ116" s="14">
        <f>BY116*VLOOKUP('Données projet'!$B$12,Paramètres!$A$1:$I$89,3,0)*VLOOKUP('Données projet'!$B$12,Paramètres!$A$1:$I$89,5,0)</f>
        <v>4.6111381379887463E-14</v>
      </c>
      <c r="CA116" s="14">
        <f t="shared" si="93"/>
        <v>7.5804141040779151E-13</v>
      </c>
      <c r="CB116" s="22">
        <f t="shared" si="64"/>
        <v>1.4005661123635408E-12</v>
      </c>
      <c r="CC116" s="58">
        <f t="shared" si="65"/>
        <v>280.64530612888905</v>
      </c>
      <c r="CD116" s="58">
        <f ca="1">AVERAGE(OFFSET($CC$3,0,0,'Données projet'!$E$12+1,1))-AVERAGE(OFFSET($H$3,0,0,'Données projet'!$E$12+1,1))</f>
        <v>308.58270639204238</v>
      </c>
      <c r="CE116" s="58">
        <f t="shared" si="94"/>
        <v>258.90832875500325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2.9487179487179445</v>
      </c>
      <c r="CT116" s="13">
        <f>IF('Données projet'!$A$140&gt;35,CT115+CS116-DB115,IF(A116&lt;'Données projet'!$A$140,$CQ$205^A116,IF(A116='Données projet'!$A$140,'Données projet'!$B$140,CT115+CS116-DB115)))</f>
        <v>239.61538461538461</v>
      </c>
      <c r="CU116" s="18">
        <f>CT116*VLOOKUP('Données projet'!$B$13,Paramètres!$A$1:$I$89,3,0)*VLOOKUP('Données projet'!$B$13,Paramètres!$A$1:$I$89,5,0)</f>
        <v>228.01800000000003</v>
      </c>
      <c r="CV116" s="14">
        <f t="shared" si="95"/>
        <v>55.853911165569201</v>
      </c>
      <c r="CW116" s="22">
        <f t="shared" si="67"/>
        <v>494.41024528003305</v>
      </c>
      <c r="CX116" s="58">
        <f t="shared" si="68"/>
        <v>775.05555140892068</v>
      </c>
      <c r="CY116" s="58">
        <f ca="1">AVERAGE(OFFSET($CX$3,0,0,'Données projet'!$E$13+1,1))-AVERAGE(OFFSET($H$3,0,0,'Données projet'!$E$13+1,1))</f>
        <v>397.61813291201469</v>
      </c>
      <c r="CZ116" s="58">
        <f t="shared" si="96"/>
        <v>320.30651625485064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0.31813037865268645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0.31813037865268645</v>
      </c>
      <c r="DJ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58" t="e">
        <f t="shared" si="71"/>
        <v>#N/A</v>
      </c>
      <c r="DT116" s="58" t="e">
        <f ca="1">AVERAGE(OFFSET($DS$3,0,0,'Données projet'!$E$14+1,1))-AVERAGE(OFFSET($H$3,0,0,'Données projet'!$E$14+1,1))</f>
        <v>#N/A</v>
      </c>
      <c r="DU116" s="58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58" t="e">
        <f t="shared" si="74"/>
        <v>#N/A</v>
      </c>
      <c r="EO116" s="58" t="e">
        <f ca="1">AVERAGE(OFFSET($EN$3,0,0,'Données projet'!$E$15+1,1))-AVERAGE(OFFSET($H$3,0,0,'Données projet'!$E$15+1,1))</f>
        <v>#N/A</v>
      </c>
      <c r="EP116" s="58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58" t="e">
        <f t="shared" si="77"/>
        <v>#N/A</v>
      </c>
      <c r="FJ116" s="58" t="e">
        <f ca="1">AVERAGE(OFFSET($FI$3,0,0,'Données projet'!$E$16+1,1))-AVERAGE(OFFSET($H$3,0,0,'Données projet'!$E$16+1,1))</f>
        <v>#N/A</v>
      </c>
      <c r="FK116" s="58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58" t="e">
        <f t="shared" si="80"/>
        <v>#N/A</v>
      </c>
      <c r="GE116" s="58" t="e">
        <f ca="1">AVERAGE(OFFSET($GD$3,0,0,'Données projet'!$E$17+1,1))-AVERAGE(OFFSET($H$3,0,0,'Données projet'!$E$17+1,1))</f>
        <v>#N/A</v>
      </c>
      <c r="GF116" s="58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58" t="e">
        <f t="shared" si="83"/>
        <v>#N/A</v>
      </c>
      <c r="GZ116" s="58" t="e">
        <f ca="1">AVERAGE(OFFSET($GY$3,0,0,'Données projet'!$E$18+1,1))-AVERAGE(OFFSET($H$3,0,0,'Données projet'!$E$18+1,1))</f>
        <v>#N/A</v>
      </c>
      <c r="HA116" s="58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0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3">
        <f t="shared" si="56"/>
        <v>183.33333333333334</v>
      </c>
      <c r="I117" s="6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4.666666666666667</v>
      </c>
      <c r="N117" s="14">
        <f>IF('Données projet'!$A$36&gt;35,N116+M117-V116,IF(A117&lt;'Données projet'!$A$36,$K$205^A117,IF(A117='Données projet'!$A$36,'Données projet'!$B$36,N116+M117-V116)))</f>
        <v>349.00000000000063</v>
      </c>
      <c r="O117" s="14">
        <f>N117*VLOOKUP('Données projet'!$B$9,Paramètres!$A$1:$I$89,3,0)*VLOOKUP('Données projet'!$B$9,Paramètres!$A$1:$I$89,5,0)</f>
        <v>293.99760000000055</v>
      </c>
      <c r="P117" s="14">
        <f t="shared" si="87"/>
        <v>69.916653567821612</v>
      </c>
      <c r="Q117" s="22">
        <f t="shared" si="107"/>
        <v>633.81732496395682</v>
      </c>
      <c r="R117" s="58">
        <f t="shared" si="55"/>
        <v>914.68273999866233</v>
      </c>
      <c r="S117" s="58">
        <f ca="1">AVERAGE(OFFSET($R$3,0,0,'Données projet'!$E$9+1,1))-AVERAGE(OFFSET($H$3,0,0,'Données projet'!$E$9+1,1))</f>
        <v>527.70171871461309</v>
      </c>
      <c r="T117" s="58">
        <f t="shared" si="88"/>
        <v>281.06176764290592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7.4487616075202823E-14</v>
      </c>
      <c r="AK117" s="14">
        <f t="shared" si="89"/>
        <v>1.1580453144473142E-12</v>
      </c>
      <c r="AL117" s="22">
        <f t="shared" si="58"/>
        <v>2.1466615206600508E-12</v>
      </c>
      <c r="AM117" s="58">
        <f t="shared" si="59"/>
        <v>280.86541503470761</v>
      </c>
      <c r="AN117" s="58">
        <f ca="1">AVERAGE(OFFSET($AM$3,0,0,'Données projet'!$E$10+1,1))-AVERAGE(OFFSET($H$3,0,0,'Données projet'!$E$10+1,1))</f>
        <v>302.53318056366777</v>
      </c>
      <c r="AO117" s="58">
        <f t="shared" si="90"/>
        <v>318.32262615164541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0.26588753838436524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0.26588753838436524</v>
      </c>
      <c r="AY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9.1000000000003638</v>
      </c>
      <c r="BE117" s="14">
        <f>BD117*VLOOKUP('Données projet'!$B$11,Paramètres!$A$1:$I$89,3,0)*VLOOKUP('Données projet'!$B$11,Paramètres!$A$1:$I$89,5,0)</f>
        <v>7.2399600000002895</v>
      </c>
      <c r="BF117" s="14">
        <f t="shared" si="91"/>
        <v>2.6498112636338633</v>
      </c>
      <c r="BG117" s="22">
        <f t="shared" si="61"/>
        <v>17.224684950829481</v>
      </c>
      <c r="BH117" s="58">
        <f t="shared" si="62"/>
        <v>298.09009998553495</v>
      </c>
      <c r="BI117" s="58">
        <f ca="1">AVERAGE(OFFSET($BH$3,0,0,'Données projet'!$E$11+1,1))-AVERAGE(OFFSET($H$3,0,0,'Données projet'!$E$11+1,1))</f>
        <v>336.25341821407534</v>
      </c>
      <c r="BJ117" s="58">
        <f t="shared" si="92"/>
        <v>360.3246221345039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0.50647922216556718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0.50647922216556718</v>
      </c>
      <c r="BT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5.6843418860808015E-14</v>
      </c>
      <c r="BZ117" s="14">
        <f>BY117*VLOOKUP('Données projet'!$B$12,Paramètres!$A$1:$I$89,3,0)*VLOOKUP('Données projet'!$B$12,Paramètres!$A$1:$I$89,5,0)</f>
        <v>4.6111381379887463E-14</v>
      </c>
      <c r="CA117" s="14">
        <f t="shared" si="93"/>
        <v>7.5804141040779151E-13</v>
      </c>
      <c r="CB117" s="22">
        <f t="shared" si="64"/>
        <v>1.4005661123635408E-12</v>
      </c>
      <c r="CC117" s="58">
        <f t="shared" si="65"/>
        <v>280.86541503470687</v>
      </c>
      <c r="CD117" s="58">
        <f ca="1">AVERAGE(OFFSET($CC$3,0,0,'Données projet'!$E$12+1,1))-AVERAGE(OFFSET($H$3,0,0,'Données projet'!$E$12+1,1))</f>
        <v>308.58270639204238</v>
      </c>
      <c r="CE117" s="58">
        <f t="shared" si="94"/>
        <v>258.90832875500325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2.9487179487179445</v>
      </c>
      <c r="CT117" s="13">
        <f>IF('Données projet'!$A$140&gt;35,CT116+CS117-DB116,IF(A117&lt;'Données projet'!$A$140,$CQ$205^A117,IF(A117='Données projet'!$A$140,'Données projet'!$B$140,CT116+CS117-DB116)))</f>
        <v>242.56410256410257</v>
      </c>
      <c r="CU117" s="18">
        <f>CT117*VLOOKUP('Données projet'!$B$13,Paramètres!$A$1:$I$89,3,0)*VLOOKUP('Données projet'!$B$13,Paramètres!$A$1:$I$89,5,0)</f>
        <v>230.82400000000001</v>
      </c>
      <c r="CV117" s="14">
        <f t="shared" si="95"/>
        <v>56.460812496262619</v>
      </c>
      <c r="CW117" s="22">
        <f t="shared" si="67"/>
        <v>500.35438176432416</v>
      </c>
      <c r="CX117" s="58">
        <f t="shared" si="68"/>
        <v>781.21979679902961</v>
      </c>
      <c r="CY117" s="58">
        <f ca="1">AVERAGE(OFFSET($CX$3,0,0,'Données projet'!$E$13+1,1))-AVERAGE(OFFSET($H$3,0,0,'Données projet'!$E$13+1,1))</f>
        <v>397.61813291201469</v>
      </c>
      <c r="CZ117" s="58">
        <f t="shared" si="96"/>
        <v>320.30651625485064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0.30943108671867925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0.30943108671867925</v>
      </c>
      <c r="DJ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58" t="e">
        <f t="shared" si="71"/>
        <v>#N/A</v>
      </c>
      <c r="DT117" s="58" t="e">
        <f ca="1">AVERAGE(OFFSET($DS$3,0,0,'Données projet'!$E$14+1,1))-AVERAGE(OFFSET($H$3,0,0,'Données projet'!$E$14+1,1))</f>
        <v>#N/A</v>
      </c>
      <c r="DU117" s="58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58" t="e">
        <f t="shared" si="74"/>
        <v>#N/A</v>
      </c>
      <c r="EO117" s="58" t="e">
        <f ca="1">AVERAGE(OFFSET($EN$3,0,0,'Données projet'!$E$15+1,1))-AVERAGE(OFFSET($H$3,0,0,'Données projet'!$E$15+1,1))</f>
        <v>#N/A</v>
      </c>
      <c r="EP117" s="58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58" t="e">
        <f t="shared" si="77"/>
        <v>#N/A</v>
      </c>
      <c r="FJ117" s="58" t="e">
        <f ca="1">AVERAGE(OFFSET($FI$3,0,0,'Données projet'!$E$16+1,1))-AVERAGE(OFFSET($H$3,0,0,'Données projet'!$E$16+1,1))</f>
        <v>#N/A</v>
      </c>
      <c r="FK117" s="58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58" t="e">
        <f t="shared" si="80"/>
        <v>#N/A</v>
      </c>
      <c r="GE117" s="58" t="e">
        <f ca="1">AVERAGE(OFFSET($GD$3,0,0,'Données projet'!$E$17+1,1))-AVERAGE(OFFSET($H$3,0,0,'Données projet'!$E$17+1,1))</f>
        <v>#N/A</v>
      </c>
      <c r="GF117" s="58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58" t="e">
        <f t="shared" si="83"/>
        <v>#N/A</v>
      </c>
      <c r="GZ117" s="58" t="e">
        <f ca="1">AVERAGE(OFFSET($GY$3,0,0,'Données projet'!$E$18+1,1))-AVERAGE(OFFSET($H$3,0,0,'Données projet'!$E$18+1,1))</f>
        <v>#N/A</v>
      </c>
      <c r="HA117" s="58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0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3">
        <f t="shared" si="56"/>
        <v>183.33333333333334</v>
      </c>
      <c r="I118" s="6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4.666666666666667</v>
      </c>
      <c r="N118" s="14">
        <f>IF('Données projet'!$A$36&gt;35,N117+M118-V117,IF(A118&lt;'Données projet'!$A$36,$K$205^A118,IF(A118='Données projet'!$A$36,'Données projet'!$B$36,N117+M118-V117)))</f>
        <v>353.66666666666731</v>
      </c>
      <c r="O118" s="14">
        <f>N118*VLOOKUP('Données projet'!$B$9,Paramètres!$A$1:$I$89,3,0)*VLOOKUP('Données projet'!$B$9,Paramètres!$A$1:$I$89,5,0)</f>
        <v>297.92880000000059</v>
      </c>
      <c r="P118" s="14">
        <f t="shared" si="87"/>
        <v>70.742085481775163</v>
      </c>
      <c r="Q118" s="22">
        <f t="shared" si="107"/>
        <v>642.10179221409271</v>
      </c>
      <c r="R118" s="58">
        <f t="shared" si="55"/>
        <v>923.18349775719003</v>
      </c>
      <c r="S118" s="58">
        <f ca="1">AVERAGE(OFFSET($R$3,0,0,'Données projet'!$E$9+1,1))-AVERAGE(OFFSET($H$3,0,0,'Données projet'!$E$9+1,1))</f>
        <v>527.70171871461309</v>
      </c>
      <c r="T118" s="58">
        <f t="shared" si="88"/>
        <v>281.06176764290592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7.4487616075202823E-14</v>
      </c>
      <c r="AK118" s="14">
        <f t="shared" si="89"/>
        <v>1.1580453144473142E-12</v>
      </c>
      <c r="AL118" s="22">
        <f t="shared" si="58"/>
        <v>2.1466615206600508E-12</v>
      </c>
      <c r="AM118" s="58">
        <f t="shared" si="59"/>
        <v>281.08170554309942</v>
      </c>
      <c r="AN118" s="58">
        <f ca="1">AVERAGE(OFFSET($AM$3,0,0,'Données projet'!$E$10+1,1))-AVERAGE(OFFSET($H$3,0,0,'Données projet'!$E$10+1,1))</f>
        <v>302.53318056366777</v>
      </c>
      <c r="AO118" s="58">
        <f t="shared" si="90"/>
        <v>318.32262615164541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0.2586168296648268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0.2586168296648268</v>
      </c>
      <c r="AY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9.1000000000003638</v>
      </c>
      <c r="BE118" s="14">
        <f>BD118*VLOOKUP('Données projet'!$B$11,Paramètres!$A$1:$I$89,3,0)*VLOOKUP('Données projet'!$B$11,Paramètres!$A$1:$I$89,5,0)</f>
        <v>7.2399600000002895</v>
      </c>
      <c r="BF118" s="14">
        <f t="shared" si="91"/>
        <v>2.6498112636338633</v>
      </c>
      <c r="BG118" s="22">
        <f t="shared" si="61"/>
        <v>17.224684950829481</v>
      </c>
      <c r="BH118" s="58">
        <f t="shared" si="62"/>
        <v>298.30639049392676</v>
      </c>
      <c r="BI118" s="58">
        <f ca="1">AVERAGE(OFFSET($BH$3,0,0,'Données projet'!$E$11+1,1))-AVERAGE(OFFSET($H$3,0,0,'Données projet'!$E$11+1,1))</f>
        <v>336.25341821407534</v>
      </c>
      <c r="BJ118" s="58">
        <f t="shared" si="92"/>
        <v>360.3246221345039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0.49262952120086501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0.49262952120086501</v>
      </c>
      <c r="BT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5.6843418860808015E-14</v>
      </c>
      <c r="BZ118" s="14">
        <f>BY118*VLOOKUP('Données projet'!$B$12,Paramètres!$A$1:$I$89,3,0)*VLOOKUP('Données projet'!$B$12,Paramètres!$A$1:$I$89,5,0)</f>
        <v>4.6111381379887463E-14</v>
      </c>
      <c r="CA118" s="14">
        <f t="shared" si="93"/>
        <v>7.5804141040779151E-13</v>
      </c>
      <c r="CB118" s="22">
        <f t="shared" si="64"/>
        <v>1.4005661123635408E-12</v>
      </c>
      <c r="CC118" s="58">
        <f t="shared" si="65"/>
        <v>281.08170554309868</v>
      </c>
      <c r="CD118" s="58">
        <f ca="1">AVERAGE(OFFSET($CC$3,0,0,'Données projet'!$E$12+1,1))-AVERAGE(OFFSET($H$3,0,0,'Données projet'!$E$12+1,1))</f>
        <v>308.58270639204238</v>
      </c>
      <c r="CE118" s="58">
        <f t="shared" si="94"/>
        <v>258.90832875500325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245.5128205128205</v>
      </c>
      <c r="CR118" s="13">
        <f>VLOOKUP(A118,'Données projet'!$A$139:$I$159,9,0)</f>
        <v>2.9487179487179445</v>
      </c>
      <c r="CS118" s="13">
        <f t="array" ref="CS118">INDEX(CR:CR,MIN(IF(ISNUMBER(CR118:CR314),ROW(CR118:CR314),"")))</f>
        <v>2.9487179487179445</v>
      </c>
      <c r="CT118" s="13">
        <f>IF('Données projet'!$A$140&gt;35,CT117+CS118-DB117,IF(A118&lt;'Données projet'!$A$140,$CQ$205^A118,IF(A118='Données projet'!$A$140,'Données projet'!$B$140,CT117+CS118-DB117)))</f>
        <v>245.51282051282053</v>
      </c>
      <c r="CU118" s="18">
        <f>CT118*VLOOKUP('Données projet'!$B$13,Paramètres!$A$1:$I$89,3,0)*VLOOKUP('Données projet'!$B$13,Paramètres!$A$1:$I$89,5,0)</f>
        <v>233.63000000000002</v>
      </c>
      <c r="CV118" s="14">
        <f t="shared" si="95"/>
        <v>57.066855640104528</v>
      </c>
      <c r="CW118" s="22">
        <f t="shared" si="67"/>
        <v>506.29702357318212</v>
      </c>
      <c r="CX118" s="58">
        <f t="shared" si="68"/>
        <v>787.37872911627937</v>
      </c>
      <c r="CY118" s="58">
        <f ca="1">AVERAGE(OFFSET($CX$3,0,0,'Données projet'!$E$13+1,1))-AVERAGE(OFFSET($H$3,0,0,'Données projet'!$E$13+1,1))</f>
        <v>397.61813291201469</v>
      </c>
      <c r="CZ118" s="58">
        <f t="shared" si="96"/>
        <v>320.30651625485064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0.30096967738008334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0.30096967738008334</v>
      </c>
      <c r="DJ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58" t="e">
        <f t="shared" si="71"/>
        <v>#N/A</v>
      </c>
      <c r="DT118" s="58" t="e">
        <f ca="1">AVERAGE(OFFSET($DS$3,0,0,'Données projet'!$E$14+1,1))-AVERAGE(OFFSET($H$3,0,0,'Données projet'!$E$14+1,1))</f>
        <v>#N/A</v>
      </c>
      <c r="DU118" s="58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58" t="e">
        <f t="shared" si="74"/>
        <v>#N/A</v>
      </c>
      <c r="EO118" s="58" t="e">
        <f ca="1">AVERAGE(OFFSET($EN$3,0,0,'Données projet'!$E$15+1,1))-AVERAGE(OFFSET($H$3,0,0,'Données projet'!$E$15+1,1))</f>
        <v>#N/A</v>
      </c>
      <c r="EP118" s="58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58" t="e">
        <f t="shared" si="77"/>
        <v>#N/A</v>
      </c>
      <c r="FJ118" s="58" t="e">
        <f ca="1">AVERAGE(OFFSET($FI$3,0,0,'Données projet'!$E$16+1,1))-AVERAGE(OFFSET($H$3,0,0,'Données projet'!$E$16+1,1))</f>
        <v>#N/A</v>
      </c>
      <c r="FK118" s="58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58" t="e">
        <f t="shared" si="80"/>
        <v>#N/A</v>
      </c>
      <c r="GE118" s="58" t="e">
        <f ca="1">AVERAGE(OFFSET($GD$3,0,0,'Données projet'!$E$17+1,1))-AVERAGE(OFFSET($H$3,0,0,'Données projet'!$E$17+1,1))</f>
        <v>#N/A</v>
      </c>
      <c r="GF118" s="58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58" t="e">
        <f t="shared" si="83"/>
        <v>#N/A</v>
      </c>
      <c r="GZ118" s="58" t="e">
        <f ca="1">AVERAGE(OFFSET($GY$3,0,0,'Données projet'!$E$18+1,1))-AVERAGE(OFFSET($H$3,0,0,'Données projet'!$E$18+1,1))</f>
        <v>#N/A</v>
      </c>
      <c r="HA118" s="58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0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3">
        <f t="shared" si="56"/>
        <v>183.33333333333334</v>
      </c>
      <c r="I119" s="6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4.666666666666667</v>
      </c>
      <c r="N119" s="14">
        <f>IF('Données projet'!$A$36&gt;35,N118+M119-V118,IF(A119&lt;'Données projet'!$A$36,$K$205^A119,IF(A119='Données projet'!$A$36,'Données projet'!$B$36,N118+M119-V118)))</f>
        <v>358.333333333334</v>
      </c>
      <c r="O119" s="14">
        <f>N119*VLOOKUP('Données projet'!$B$9,Paramètres!$A$1:$I$89,3,0)*VLOOKUP('Données projet'!$B$9,Paramètres!$A$1:$I$89,5,0)</f>
        <v>301.86000000000058</v>
      </c>
      <c r="P119" s="14">
        <f t="shared" si="87"/>
        <v>71.56625054122712</v>
      </c>
      <c r="Q119" s="22">
        <f t="shared" si="107"/>
        <v>650.38405302597164</v>
      </c>
      <c r="R119" s="58">
        <f t="shared" si="55"/>
        <v>931.67829692069313</v>
      </c>
      <c r="S119" s="58">
        <f ca="1">AVERAGE(OFFSET($R$3,0,0,'Données projet'!$E$9+1,1))-AVERAGE(OFFSET($H$3,0,0,'Données projet'!$E$9+1,1))</f>
        <v>527.70171871461309</v>
      </c>
      <c r="T119" s="58">
        <f t="shared" si="88"/>
        <v>281.06176764290592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7.4487616075202823E-14</v>
      </c>
      <c r="AK119" s="14">
        <f t="shared" si="89"/>
        <v>1.1580453144473142E-12</v>
      </c>
      <c r="AL119" s="22">
        <f t="shared" si="58"/>
        <v>2.1466615206600508E-12</v>
      </c>
      <c r="AM119" s="58">
        <f t="shared" si="59"/>
        <v>281.29424389472365</v>
      </c>
      <c r="AN119" s="58">
        <f ca="1">AVERAGE(OFFSET($AM$3,0,0,'Données projet'!$E$10+1,1))-AVERAGE(OFFSET($H$3,0,0,'Données projet'!$E$10+1,1))</f>
        <v>302.53318056366777</v>
      </c>
      <c r="AO119" s="58">
        <f t="shared" si="90"/>
        <v>318.32262615164541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0.25154493885757412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0.25154493885757412</v>
      </c>
      <c r="AY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9.1000000000003638</v>
      </c>
      <c r="BE119" s="14">
        <f>BD119*VLOOKUP('Données projet'!$B$11,Paramètres!$A$1:$I$89,3,0)*VLOOKUP('Données projet'!$B$11,Paramètres!$A$1:$I$89,5,0)</f>
        <v>7.2399600000002895</v>
      </c>
      <c r="BF119" s="14">
        <f t="shared" si="91"/>
        <v>2.6498112636338633</v>
      </c>
      <c r="BG119" s="22">
        <f t="shared" si="61"/>
        <v>17.224684950829481</v>
      </c>
      <c r="BH119" s="58">
        <f t="shared" si="62"/>
        <v>298.51892884555099</v>
      </c>
      <c r="BI119" s="58">
        <f ca="1">AVERAGE(OFFSET($BH$3,0,0,'Données projet'!$E$11+1,1))-AVERAGE(OFFSET($H$3,0,0,'Données projet'!$E$11+1,1))</f>
        <v>336.25341821407534</v>
      </c>
      <c r="BJ119" s="58">
        <f t="shared" si="92"/>
        <v>360.3246221345039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0.47915854103736677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0.47915854103736677</v>
      </c>
      <c r="BT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5.6843418860808015E-14</v>
      </c>
      <c r="BZ119" s="14">
        <f>BY119*VLOOKUP('Données projet'!$B$12,Paramètres!$A$1:$I$89,3,0)*VLOOKUP('Données projet'!$B$12,Paramètres!$A$1:$I$89,5,0)</f>
        <v>4.6111381379887463E-14</v>
      </c>
      <c r="CA119" s="14">
        <f t="shared" si="93"/>
        <v>7.5804141040779151E-13</v>
      </c>
      <c r="CB119" s="22">
        <f t="shared" si="64"/>
        <v>1.4005661123635408E-12</v>
      </c>
      <c r="CC119" s="58">
        <f t="shared" si="65"/>
        <v>281.29424389472291</v>
      </c>
      <c r="CD119" s="58">
        <f ca="1">AVERAGE(OFFSET($CC$3,0,0,'Données projet'!$E$12+1,1))-AVERAGE(OFFSET($H$3,0,0,'Données projet'!$E$12+1,1))</f>
        <v>308.58270639204238</v>
      </c>
      <c r="CE119" s="58">
        <f t="shared" si="94"/>
        <v>258.90832875500325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2.8205128205128176</v>
      </c>
      <c r="CT119" s="13">
        <f>IF('Données projet'!$A$140&gt;35,CT118+CS119-DB118,IF(A119&lt;'Données projet'!$A$140,$CQ$205^A119,IF(A119='Données projet'!$A$140,'Données projet'!$B$140,CT118+CS119-DB118)))</f>
        <v>248.33333333333334</v>
      </c>
      <c r="CU119" s="18">
        <f>CT119*VLOOKUP('Données projet'!$B$13,Paramètres!$A$1:$I$89,3,0)*VLOOKUP('Données projet'!$B$13,Paramètres!$A$1:$I$89,5,0)</f>
        <v>236.31400000000002</v>
      </c>
      <c r="CV119" s="14">
        <f t="shared" si="95"/>
        <v>57.645756660106933</v>
      </c>
      <c r="CW119" s="22">
        <f t="shared" si="67"/>
        <v>511.97990951635296</v>
      </c>
      <c r="CX119" s="58">
        <f t="shared" si="68"/>
        <v>793.27415341107439</v>
      </c>
      <c r="CY119" s="58">
        <f ca="1">AVERAGE(OFFSET($CX$3,0,0,'Données projet'!$E$13+1,1))-AVERAGE(OFFSET($H$3,0,0,'Données projet'!$E$13+1,1))</f>
        <v>397.61813291201469</v>
      </c>
      <c r="CZ119" s="58">
        <f t="shared" si="96"/>
        <v>320.30651625485064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0.29273964572481753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0.29273964572481753</v>
      </c>
      <c r="DJ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58" t="e">
        <f t="shared" si="71"/>
        <v>#N/A</v>
      </c>
      <c r="DT119" s="58" t="e">
        <f ca="1">AVERAGE(OFFSET($DS$3,0,0,'Données projet'!$E$14+1,1))-AVERAGE(OFFSET($H$3,0,0,'Données projet'!$E$14+1,1))</f>
        <v>#N/A</v>
      </c>
      <c r="DU119" s="58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58" t="e">
        <f t="shared" si="74"/>
        <v>#N/A</v>
      </c>
      <c r="EO119" s="58" t="e">
        <f ca="1">AVERAGE(OFFSET($EN$3,0,0,'Données projet'!$E$15+1,1))-AVERAGE(OFFSET($H$3,0,0,'Données projet'!$E$15+1,1))</f>
        <v>#N/A</v>
      </c>
      <c r="EP119" s="58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58" t="e">
        <f t="shared" si="77"/>
        <v>#N/A</v>
      </c>
      <c r="FJ119" s="58" t="e">
        <f ca="1">AVERAGE(OFFSET($FI$3,0,0,'Données projet'!$E$16+1,1))-AVERAGE(OFFSET($H$3,0,0,'Données projet'!$E$16+1,1))</f>
        <v>#N/A</v>
      </c>
      <c r="FK119" s="58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58" t="e">
        <f t="shared" si="80"/>
        <v>#N/A</v>
      </c>
      <c r="GE119" s="58" t="e">
        <f ca="1">AVERAGE(OFFSET($GD$3,0,0,'Données projet'!$E$17+1,1))-AVERAGE(OFFSET($H$3,0,0,'Données projet'!$E$17+1,1))</f>
        <v>#N/A</v>
      </c>
      <c r="GF119" s="58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58" t="e">
        <f t="shared" si="83"/>
        <v>#N/A</v>
      </c>
      <c r="GZ119" s="58" t="e">
        <f ca="1">AVERAGE(OFFSET($GY$3,0,0,'Données projet'!$E$18+1,1))-AVERAGE(OFFSET($H$3,0,0,'Données projet'!$E$18+1,1))</f>
        <v>#N/A</v>
      </c>
      <c r="HA119" s="58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0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3">
        <f t="shared" si="56"/>
        <v>183.33333333333334</v>
      </c>
      <c r="I120" s="6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4.666666666666667</v>
      </c>
      <c r="N120" s="14">
        <f>IF('Données projet'!$A$36&gt;35,N119+M120-V119,IF(A120&lt;'Données projet'!$A$36,$K$205^A120,IF(A120='Données projet'!$A$36,'Données projet'!$B$36,N119+M120-V119)))</f>
        <v>363.00000000000068</v>
      </c>
      <c r="O120" s="14">
        <f>N120*VLOOKUP('Données projet'!$B$9,Paramètres!$A$1:$I$89,3,0)*VLOOKUP('Données projet'!$B$9,Paramètres!$A$1:$I$89,5,0)</f>
        <v>305.79120000000063</v>
      </c>
      <c r="P120" s="14">
        <f t="shared" si="87"/>
        <v>72.389167152274368</v>
      </c>
      <c r="Q120" s="22">
        <f t="shared" si="107"/>
        <v>658.66413945687884</v>
      </c>
      <c r="R120" s="58">
        <f t="shared" si="55"/>
        <v>940.16723463798849</v>
      </c>
      <c r="S120" s="58">
        <f ca="1">AVERAGE(OFFSET($R$3,0,0,'Données projet'!$E$9+1,1))-AVERAGE(OFFSET($H$3,0,0,'Données projet'!$E$9+1,1))</f>
        <v>527.70171871461309</v>
      </c>
      <c r="T120" s="58">
        <f t="shared" si="88"/>
        <v>281.06176764290592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7.4487616075202823E-14</v>
      </c>
      <c r="AK120" s="14">
        <f t="shared" si="89"/>
        <v>1.1580453144473142E-12</v>
      </c>
      <c r="AL120" s="22">
        <f t="shared" si="58"/>
        <v>2.1466615206600508E-12</v>
      </c>
      <c r="AM120" s="58">
        <f t="shared" si="59"/>
        <v>281.5030951811118</v>
      </c>
      <c r="AN120" s="58">
        <f ca="1">AVERAGE(OFFSET($AM$3,0,0,'Données projet'!$E$10+1,1))-AVERAGE(OFFSET($H$3,0,0,'Données projet'!$E$10+1,1))</f>
        <v>302.53318056366777</v>
      </c>
      <c r="AO120" s="58">
        <f t="shared" si="90"/>
        <v>318.32262615164541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0.24466642927634033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0.24466642927634033</v>
      </c>
      <c r="AY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9.1000000000003638</v>
      </c>
      <c r="BE120" s="14">
        <f>BD120*VLOOKUP('Données projet'!$B$11,Paramètres!$A$1:$I$89,3,0)*VLOOKUP('Données projet'!$B$11,Paramètres!$A$1:$I$89,5,0)</f>
        <v>7.2399600000002895</v>
      </c>
      <c r="BF120" s="14">
        <f t="shared" si="91"/>
        <v>2.6498112636338633</v>
      </c>
      <c r="BG120" s="22">
        <f t="shared" si="61"/>
        <v>17.224684950829481</v>
      </c>
      <c r="BH120" s="58">
        <f t="shared" si="62"/>
        <v>298.72778013193914</v>
      </c>
      <c r="BI120" s="58">
        <f ca="1">AVERAGE(OFFSET($BH$3,0,0,'Données projet'!$E$11+1,1))-AVERAGE(OFFSET($H$3,0,0,'Données projet'!$E$11+1,1))</f>
        <v>336.25341821407534</v>
      </c>
      <c r="BJ120" s="58">
        <f t="shared" si="92"/>
        <v>360.3246221345039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0.46605592553484743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0.46605592553484743</v>
      </c>
      <c r="BT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5.6843418860808015E-14</v>
      </c>
      <c r="BZ120" s="14">
        <f>BY120*VLOOKUP('Données projet'!$B$12,Paramètres!$A$1:$I$89,3,0)*VLOOKUP('Données projet'!$B$12,Paramètres!$A$1:$I$89,5,0)</f>
        <v>4.6111381379887463E-14</v>
      </c>
      <c r="CA120" s="14">
        <f t="shared" si="93"/>
        <v>7.5804141040779151E-13</v>
      </c>
      <c r="CB120" s="22">
        <f t="shared" si="64"/>
        <v>1.4005661123635408E-12</v>
      </c>
      <c r="CC120" s="58">
        <f t="shared" si="65"/>
        <v>281.50309518111106</v>
      </c>
      <c r="CD120" s="58">
        <f ca="1">AVERAGE(OFFSET($CC$3,0,0,'Données projet'!$E$12+1,1))-AVERAGE(OFFSET($H$3,0,0,'Données projet'!$E$12+1,1))</f>
        <v>308.58270639204238</v>
      </c>
      <c r="CE120" s="58">
        <f t="shared" si="94"/>
        <v>258.90832875500325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2.8205128205128176</v>
      </c>
      <c r="CT120" s="13">
        <f>IF('Données projet'!$A$140&gt;35,CT119+CS120-DB119,IF(A120&lt;'Données projet'!$A$140,$CQ$205^A120,IF(A120='Données projet'!$A$140,'Données projet'!$B$140,CT119+CS120-DB119)))</f>
        <v>251.15384615384616</v>
      </c>
      <c r="CU120" s="18">
        <f>CT120*VLOOKUP('Données projet'!$B$13,Paramètres!$A$1:$I$89,3,0)*VLOOKUP('Données projet'!$B$13,Paramètres!$A$1:$I$89,5,0)</f>
        <v>238.99799999999999</v>
      </c>
      <c r="CV120" s="14">
        <f t="shared" si="95"/>
        <v>58.223892835547517</v>
      </c>
      <c r="CW120" s="22">
        <f t="shared" si="67"/>
        <v>517.66146335524525</v>
      </c>
      <c r="CX120" s="58">
        <f t="shared" si="68"/>
        <v>799.16455853635489</v>
      </c>
      <c r="CY120" s="58">
        <f ca="1">AVERAGE(OFFSET($CX$3,0,0,'Données projet'!$E$13+1,1))-AVERAGE(OFFSET($H$3,0,0,'Données projet'!$E$13+1,1))</f>
        <v>397.61813291201469</v>
      </c>
      <c r="CZ120" s="58">
        <f t="shared" si="96"/>
        <v>320.30651625485064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0.28473466471796349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0.28473466471796349</v>
      </c>
      <c r="DJ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58" t="e">
        <f t="shared" si="71"/>
        <v>#N/A</v>
      </c>
      <c r="DT120" s="58" t="e">
        <f ca="1">AVERAGE(OFFSET($DS$3,0,0,'Données projet'!$E$14+1,1))-AVERAGE(OFFSET($H$3,0,0,'Données projet'!$E$14+1,1))</f>
        <v>#N/A</v>
      </c>
      <c r="DU120" s="58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58" t="e">
        <f t="shared" si="74"/>
        <v>#N/A</v>
      </c>
      <c r="EO120" s="58" t="e">
        <f ca="1">AVERAGE(OFFSET($EN$3,0,0,'Données projet'!$E$15+1,1))-AVERAGE(OFFSET($H$3,0,0,'Données projet'!$E$15+1,1))</f>
        <v>#N/A</v>
      </c>
      <c r="EP120" s="58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58" t="e">
        <f t="shared" si="77"/>
        <v>#N/A</v>
      </c>
      <c r="FJ120" s="58" t="e">
        <f ca="1">AVERAGE(OFFSET($FI$3,0,0,'Données projet'!$E$16+1,1))-AVERAGE(OFFSET($H$3,0,0,'Données projet'!$E$16+1,1))</f>
        <v>#N/A</v>
      </c>
      <c r="FK120" s="58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58" t="e">
        <f t="shared" si="80"/>
        <v>#N/A</v>
      </c>
      <c r="GE120" s="58" t="e">
        <f ca="1">AVERAGE(OFFSET($GD$3,0,0,'Données projet'!$E$17+1,1))-AVERAGE(OFFSET($H$3,0,0,'Données projet'!$E$17+1,1))</f>
        <v>#N/A</v>
      </c>
      <c r="GF120" s="58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58" t="e">
        <f t="shared" si="83"/>
        <v>#N/A</v>
      </c>
      <c r="GZ120" s="58" t="e">
        <f ca="1">AVERAGE(OFFSET($GY$3,0,0,'Données projet'!$E$18+1,1))-AVERAGE(OFFSET($H$3,0,0,'Données projet'!$E$18+1,1))</f>
        <v>#N/A</v>
      </c>
      <c r="HA120" s="58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0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3">
        <f t="shared" si="56"/>
        <v>183.33333333333334</v>
      </c>
      <c r="I121" s="6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4.666666666666667</v>
      </c>
      <c r="N121" s="14">
        <f>IF('Données projet'!$A$36&gt;35,N120+M121-V120,IF(A121&lt;'Données projet'!$A$36,$K$205^A121,IF(A121='Données projet'!$A$36,'Données projet'!$B$36,N120+M121-V120)))</f>
        <v>367.66666666666737</v>
      </c>
      <c r="O121" s="14">
        <f>N121*VLOOKUP('Données projet'!$B$9,Paramètres!$A$1:$I$89,3,0)*VLOOKUP('Données projet'!$B$9,Paramètres!$A$1:$I$89,5,0)</f>
        <v>309.72240000000062</v>
      </c>
      <c r="P121" s="14">
        <f t="shared" si="87"/>
        <v>73.210853220552721</v>
      </c>
      <c r="Q121" s="22">
        <f t="shared" si="107"/>
        <v>666.94208269246371</v>
      </c>
      <c r="R121" s="58">
        <f t="shared" si="55"/>
        <v>948.65040605706417</v>
      </c>
      <c r="S121" s="58">
        <f ca="1">AVERAGE(OFFSET($R$3,0,0,'Données projet'!$E$9+1,1))-AVERAGE(OFFSET($H$3,0,0,'Données projet'!$E$9+1,1))</f>
        <v>527.70171871461309</v>
      </c>
      <c r="T121" s="58">
        <f t="shared" si="88"/>
        <v>281.06176764290592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7.4487616075202823E-14</v>
      </c>
      <c r="AK121" s="14">
        <f t="shared" si="89"/>
        <v>1.1580453144473142E-12</v>
      </c>
      <c r="AL121" s="22">
        <f t="shared" si="58"/>
        <v>2.1466615206600508E-12</v>
      </c>
      <c r="AM121" s="58">
        <f t="shared" si="59"/>
        <v>281.70832336460256</v>
      </c>
      <c r="AN121" s="58">
        <f ca="1">AVERAGE(OFFSET($AM$3,0,0,'Données projet'!$E$10+1,1))-AVERAGE(OFFSET($H$3,0,0,'Données projet'!$E$10+1,1))</f>
        <v>302.53318056366777</v>
      </c>
      <c r="AO121" s="58">
        <f t="shared" si="90"/>
        <v>318.32262615164541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0.23797601290133047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0.23797601290133047</v>
      </c>
      <c r="AY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9.1000000000003638</v>
      </c>
      <c r="BE121" s="14">
        <f>BD121*VLOOKUP('Données projet'!$B$11,Paramètres!$A$1:$I$89,3,0)*VLOOKUP('Données projet'!$B$11,Paramètres!$A$1:$I$89,5,0)</f>
        <v>7.2399600000002895</v>
      </c>
      <c r="BF121" s="14">
        <f t="shared" si="91"/>
        <v>2.6498112636338633</v>
      </c>
      <c r="BG121" s="22">
        <f t="shared" si="61"/>
        <v>17.224684950829481</v>
      </c>
      <c r="BH121" s="58">
        <f t="shared" si="62"/>
        <v>298.9330083154299</v>
      </c>
      <c r="BI121" s="58">
        <f ca="1">AVERAGE(OFFSET($BH$3,0,0,'Données projet'!$E$11+1,1))-AVERAGE(OFFSET($H$3,0,0,'Données projet'!$E$11+1,1))</f>
        <v>336.25341821407534</v>
      </c>
      <c r="BJ121" s="58">
        <f t="shared" si="92"/>
        <v>360.3246221345039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0.45331160174228108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0.45331160174228108</v>
      </c>
      <c r="BT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5.6843418860808015E-14</v>
      </c>
      <c r="BZ121" s="14">
        <f>BY121*VLOOKUP('Données projet'!$B$12,Paramètres!$A$1:$I$89,3,0)*VLOOKUP('Données projet'!$B$12,Paramètres!$A$1:$I$89,5,0)</f>
        <v>4.6111381379887463E-14</v>
      </c>
      <c r="CA121" s="14">
        <f t="shared" si="93"/>
        <v>7.5804141040779151E-13</v>
      </c>
      <c r="CB121" s="22">
        <f t="shared" si="64"/>
        <v>1.4005661123635408E-12</v>
      </c>
      <c r="CC121" s="58">
        <f t="shared" si="65"/>
        <v>281.70832336460182</v>
      </c>
      <c r="CD121" s="58">
        <f ca="1">AVERAGE(OFFSET($CC$3,0,0,'Données projet'!$E$12+1,1))-AVERAGE(OFFSET($H$3,0,0,'Données projet'!$E$12+1,1))</f>
        <v>308.58270639204238</v>
      </c>
      <c r="CE121" s="58">
        <f t="shared" si="94"/>
        <v>258.90832875500325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2.8205128205128176</v>
      </c>
      <c r="CT121" s="13">
        <f>IF('Données projet'!$A$140&gt;35,CT120+CS121-DB120,IF(A121&lt;'Données projet'!$A$140,$CQ$205^A121,IF(A121='Données projet'!$A$140,'Données projet'!$B$140,CT120+CS121-DB120)))</f>
        <v>253.97435897435898</v>
      </c>
      <c r="CU121" s="18">
        <f>CT121*VLOOKUP('Données projet'!$B$13,Paramètres!$A$1:$I$89,3,0)*VLOOKUP('Données projet'!$B$13,Paramètres!$A$1:$I$89,5,0)</f>
        <v>241.68199999999999</v>
      </c>
      <c r="CV121" s="14">
        <f t="shared" si="95"/>
        <v>58.801273749741775</v>
      </c>
      <c r="CW121" s="22">
        <f t="shared" si="67"/>
        <v>523.34170178080024</v>
      </c>
      <c r="CX121" s="58">
        <f t="shared" si="68"/>
        <v>805.0500251454007</v>
      </c>
      <c r="CY121" s="58">
        <f ca="1">AVERAGE(OFFSET($CX$3,0,0,'Données projet'!$E$13+1,1))-AVERAGE(OFFSET($H$3,0,0,'Données projet'!$E$13+1,1))</f>
        <v>397.61813291201469</v>
      </c>
      <c r="CZ121" s="58">
        <f t="shared" si="96"/>
        <v>320.30651625485064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0.27694858033770553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0.27694858033770553</v>
      </c>
      <c r="DJ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58" t="e">
        <f t="shared" si="71"/>
        <v>#N/A</v>
      </c>
      <c r="DT121" s="58" t="e">
        <f ca="1">AVERAGE(OFFSET($DS$3,0,0,'Données projet'!$E$14+1,1))-AVERAGE(OFFSET($H$3,0,0,'Données projet'!$E$14+1,1))</f>
        <v>#N/A</v>
      </c>
      <c r="DU121" s="58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58" t="e">
        <f t="shared" si="74"/>
        <v>#N/A</v>
      </c>
      <c r="EO121" s="58" t="e">
        <f ca="1">AVERAGE(OFFSET($EN$3,0,0,'Données projet'!$E$15+1,1))-AVERAGE(OFFSET($H$3,0,0,'Données projet'!$E$15+1,1))</f>
        <v>#N/A</v>
      </c>
      <c r="EP121" s="58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58" t="e">
        <f t="shared" si="77"/>
        <v>#N/A</v>
      </c>
      <c r="FJ121" s="58" t="e">
        <f ca="1">AVERAGE(OFFSET($FI$3,0,0,'Données projet'!$E$16+1,1))-AVERAGE(OFFSET($H$3,0,0,'Données projet'!$E$16+1,1))</f>
        <v>#N/A</v>
      </c>
      <c r="FK121" s="58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58" t="e">
        <f t="shared" si="80"/>
        <v>#N/A</v>
      </c>
      <c r="GE121" s="58" t="e">
        <f ca="1">AVERAGE(OFFSET($GD$3,0,0,'Données projet'!$E$17+1,1))-AVERAGE(OFFSET($H$3,0,0,'Données projet'!$E$17+1,1))</f>
        <v>#N/A</v>
      </c>
      <c r="GF121" s="58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58" t="e">
        <f t="shared" si="83"/>
        <v>#N/A</v>
      </c>
      <c r="GZ121" s="58" t="e">
        <f ca="1">AVERAGE(OFFSET($GY$3,0,0,'Données projet'!$E$18+1,1))-AVERAGE(OFFSET($H$3,0,0,'Données projet'!$E$18+1,1))</f>
        <v>#N/A</v>
      </c>
      <c r="HA121" s="58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0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3">
        <f t="shared" si="56"/>
        <v>183.33333333333334</v>
      </c>
      <c r="I122" s="6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4.666666666666667</v>
      </c>
      <c r="N122" s="14">
        <f>IF('Données projet'!$A$36&gt;35,N121+M122-V121,IF(A122&lt;'Données projet'!$A$36,$K$205^A122,IF(A122='Données projet'!$A$36,'Données projet'!$B$36,N121+M122-V121)))</f>
        <v>372.33333333333405</v>
      </c>
      <c r="O122" s="14">
        <f>N122*VLOOKUP('Données projet'!$B$9,Paramètres!$A$1:$I$89,3,0)*VLOOKUP('Données projet'!$B$9,Paramètres!$A$1:$I$89,5,0)</f>
        <v>313.65360000000061</v>
      </c>
      <c r="P122" s="14">
        <f t="shared" si="87"/>
        <v>74.031326171019984</v>
      </c>
      <c r="Q122" s="22">
        <f t="shared" si="107"/>
        <v>675.21791308119418</v>
      </c>
      <c r="R122" s="58">
        <f t="shared" si="55"/>
        <v>957.12790437912327</v>
      </c>
      <c r="S122" s="58">
        <f ca="1">AVERAGE(OFFSET($R$3,0,0,'Données projet'!$E$9+1,1))-AVERAGE(OFFSET($H$3,0,0,'Données projet'!$E$9+1,1))</f>
        <v>527.70171871461309</v>
      </c>
      <c r="T122" s="58">
        <f t="shared" si="88"/>
        <v>281.06176764290592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7.4487616075202823E-14</v>
      </c>
      <c r="AK122" s="14">
        <f t="shared" si="89"/>
        <v>1.1580453144473142E-12</v>
      </c>
      <c r="AL122" s="22">
        <f t="shared" si="58"/>
        <v>2.1466615206600508E-12</v>
      </c>
      <c r="AM122" s="58">
        <f t="shared" si="59"/>
        <v>281.9099912979313</v>
      </c>
      <c r="AN122" s="58">
        <f ca="1">AVERAGE(OFFSET($AM$3,0,0,'Données projet'!$E$10+1,1))-AVERAGE(OFFSET($H$3,0,0,'Données projet'!$E$10+1,1))</f>
        <v>302.53318056366777</v>
      </c>
      <c r="AO122" s="58">
        <f t="shared" si="90"/>
        <v>318.32262615164541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0.23146854631392896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0.23146854631392896</v>
      </c>
      <c r="AY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9.1000000000003638</v>
      </c>
      <c r="BE122" s="14">
        <f>BD122*VLOOKUP('Données projet'!$B$11,Paramètres!$A$1:$I$89,3,0)*VLOOKUP('Données projet'!$B$11,Paramètres!$A$1:$I$89,5,0)</f>
        <v>7.2399600000002895</v>
      </c>
      <c r="BF122" s="14">
        <f t="shared" si="91"/>
        <v>2.6498112636338633</v>
      </c>
      <c r="BG122" s="22">
        <f t="shared" si="61"/>
        <v>17.224684950829481</v>
      </c>
      <c r="BH122" s="58">
        <f t="shared" si="62"/>
        <v>299.13467624875864</v>
      </c>
      <c r="BI122" s="58">
        <f ca="1">AVERAGE(OFFSET($BH$3,0,0,'Données projet'!$E$11+1,1))-AVERAGE(OFFSET($H$3,0,0,'Données projet'!$E$11+1,1))</f>
        <v>336.25341821407534</v>
      </c>
      <c r="BJ122" s="58">
        <f t="shared" si="92"/>
        <v>360.3246221345039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0.44091577215401734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0.44091577215401734</v>
      </c>
      <c r="BT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5.6843418860808015E-14</v>
      </c>
      <c r="BZ122" s="14">
        <f>BY122*VLOOKUP('Données projet'!$B$12,Paramètres!$A$1:$I$89,3,0)*VLOOKUP('Données projet'!$B$12,Paramètres!$A$1:$I$89,5,0)</f>
        <v>4.6111381379887463E-14</v>
      </c>
      <c r="CA122" s="14">
        <f t="shared" si="93"/>
        <v>7.5804141040779151E-13</v>
      </c>
      <c r="CB122" s="22">
        <f t="shared" si="64"/>
        <v>1.4005661123635408E-12</v>
      </c>
      <c r="CC122" s="58">
        <f t="shared" si="65"/>
        <v>281.90999129793056</v>
      </c>
      <c r="CD122" s="58">
        <f ca="1">AVERAGE(OFFSET($CC$3,0,0,'Données projet'!$E$12+1,1))-AVERAGE(OFFSET($H$3,0,0,'Données projet'!$E$12+1,1))</f>
        <v>308.58270639204238</v>
      </c>
      <c r="CE122" s="58">
        <f t="shared" si="94"/>
        <v>258.90832875500325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2.8205128205128176</v>
      </c>
      <c r="CT122" s="13">
        <f>IF('Données projet'!$A$140&gt;35,CT121+CS122-DB121,IF(A122&lt;'Données projet'!$A$140,$CQ$205^A122,IF(A122='Données projet'!$A$140,'Données projet'!$B$140,CT121+CS122-DB121)))</f>
        <v>256.79487179487182</v>
      </c>
      <c r="CU122" s="18">
        <f>CT122*VLOOKUP('Données projet'!$B$13,Paramètres!$A$1:$I$89,3,0)*VLOOKUP('Données projet'!$B$13,Paramètres!$A$1:$I$89,5,0)</f>
        <v>244.36600000000004</v>
      </c>
      <c r="CV122" s="14">
        <f t="shared" si="95"/>
        <v>59.377908760893625</v>
      </c>
      <c r="CW122" s="22">
        <f t="shared" si="67"/>
        <v>529.02064109188984</v>
      </c>
      <c r="CX122" s="58">
        <f t="shared" si="68"/>
        <v>810.93063238981904</v>
      </c>
      <c r="CY122" s="58">
        <f ca="1">AVERAGE(OFFSET($CX$3,0,0,'Données projet'!$E$13+1,1))-AVERAGE(OFFSET($H$3,0,0,'Données projet'!$E$13+1,1))</f>
        <v>397.61813291201469</v>
      </c>
      <c r="CZ122" s="58">
        <f t="shared" si="96"/>
        <v>320.30651625485064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0.26937540684427813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0.26937540684427813</v>
      </c>
      <c r="DJ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58" t="e">
        <f t="shared" si="71"/>
        <v>#N/A</v>
      </c>
      <c r="DT122" s="58" t="e">
        <f ca="1">AVERAGE(OFFSET($DS$3,0,0,'Données projet'!$E$14+1,1))-AVERAGE(OFFSET($H$3,0,0,'Données projet'!$E$14+1,1))</f>
        <v>#N/A</v>
      </c>
      <c r="DU122" s="58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58" t="e">
        <f t="shared" si="74"/>
        <v>#N/A</v>
      </c>
      <c r="EO122" s="58" t="e">
        <f ca="1">AVERAGE(OFFSET($EN$3,0,0,'Données projet'!$E$15+1,1))-AVERAGE(OFFSET($H$3,0,0,'Données projet'!$E$15+1,1))</f>
        <v>#N/A</v>
      </c>
      <c r="EP122" s="58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58" t="e">
        <f t="shared" si="77"/>
        <v>#N/A</v>
      </c>
      <c r="FJ122" s="58" t="e">
        <f ca="1">AVERAGE(OFFSET($FI$3,0,0,'Données projet'!$E$16+1,1))-AVERAGE(OFFSET($H$3,0,0,'Données projet'!$E$16+1,1))</f>
        <v>#N/A</v>
      </c>
      <c r="FK122" s="58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58" t="e">
        <f t="shared" si="80"/>
        <v>#N/A</v>
      </c>
      <c r="GE122" s="58" t="e">
        <f ca="1">AVERAGE(OFFSET($GD$3,0,0,'Données projet'!$E$17+1,1))-AVERAGE(OFFSET($H$3,0,0,'Données projet'!$E$17+1,1))</f>
        <v>#N/A</v>
      </c>
      <c r="GF122" s="58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58" t="e">
        <f t="shared" si="83"/>
        <v>#N/A</v>
      </c>
      <c r="GZ122" s="58" t="e">
        <f ca="1">AVERAGE(OFFSET($GY$3,0,0,'Données projet'!$E$18+1,1))-AVERAGE(OFFSET($H$3,0,0,'Données projet'!$E$18+1,1))</f>
        <v>#N/A</v>
      </c>
      <c r="HA122" s="58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0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3">
        <f t="shared" si="56"/>
        <v>183.33333333333334</v>
      </c>
      <c r="I123" s="6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377</v>
      </c>
      <c r="L123" s="13">
        <f>VLOOKUP(A123,'Données projet'!$A$35:$I$55,9,0)</f>
        <v>4.666666666666667</v>
      </c>
      <c r="M123" s="13">
        <f t="array" ref="M123">INDEX(L:L,MIN(IF(ISNUMBER(L123:L319),ROW(L123:L319),"")))</f>
        <v>4.666666666666667</v>
      </c>
      <c r="N123" s="14">
        <f>IF('Données projet'!$A$36&gt;35,N122+M123-V122,IF(A123&lt;'Données projet'!$A$36,$K$205^A123,IF(A123='Données projet'!$A$36,'Données projet'!$B$36,N122+M123-V122)))</f>
        <v>377.00000000000074</v>
      </c>
      <c r="O123" s="14">
        <f>N123*VLOOKUP('Données projet'!$B$9,Paramètres!$A$1:$I$89,3,0)*VLOOKUP('Données projet'!$B$9,Paramètres!$A$1:$I$89,5,0)</f>
        <v>317.58480000000066</v>
      </c>
      <c r="P123" s="14">
        <f t="shared" si="87"/>
        <v>74.850602966720032</v>
      </c>
      <c r="Q123" s="22">
        <f t="shared" si="107"/>
        <v>683.4916601670385</v>
      </c>
      <c r="R123" s="58">
        <f t="shared" si="55"/>
        <v>965.59982091051506</v>
      </c>
      <c r="S123" s="58">
        <f ca="1">AVERAGE(OFFSET($R$3,0,0,'Données projet'!$E$9+1,1))-AVERAGE(OFFSET($H$3,0,0,'Données projet'!$E$9+1,1))</f>
        <v>527.70171871461309</v>
      </c>
      <c r="T123" s="58">
        <f t="shared" si="88"/>
        <v>281.06176764290592</v>
      </c>
      <c r="U123" s="16">
        <f>IF(ISNA(VLOOKUP(A123,'Données projet'!$A$35:$I$55,3,0)),0,VLOOKUP(A123,'Données projet'!$A$35:$I$55,3,0))</f>
        <v>9</v>
      </c>
      <c r="V123" s="16">
        <f>IF(ISNA(VLOOKUP(A123,'Données projet'!$A$35:$I$55,4,0)),0,VLOOKUP(A123,'Données projet'!$A$35:$I$55,4,0))</f>
        <v>72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7.4487616075202823E-14</v>
      </c>
      <c r="AK123" s="14">
        <f t="shared" si="89"/>
        <v>1.1580453144473142E-12</v>
      </c>
      <c r="AL123" s="22">
        <f t="shared" si="58"/>
        <v>2.1466615206600508E-12</v>
      </c>
      <c r="AM123" s="58">
        <f t="shared" si="59"/>
        <v>282.10816074347878</v>
      </c>
      <c r="AN123" s="58">
        <f ca="1">AVERAGE(OFFSET($AM$3,0,0,'Données projet'!$E$10+1,1))-AVERAGE(OFFSET($H$3,0,0,'Données projet'!$E$10+1,1))</f>
        <v>302.53318056366777</v>
      </c>
      <c r="AO123" s="58">
        <f t="shared" si="90"/>
        <v>318.32262615164541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0.22513902674257275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0.22513902674257275</v>
      </c>
      <c r="AY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9.1000000000003638</v>
      </c>
      <c r="BE123" s="14">
        <f>BD123*VLOOKUP('Données projet'!$B$11,Paramètres!$A$1:$I$89,3,0)*VLOOKUP('Données projet'!$B$11,Paramètres!$A$1:$I$89,5,0)</f>
        <v>7.2399600000002895</v>
      </c>
      <c r="BF123" s="14">
        <f t="shared" si="91"/>
        <v>2.6498112636338633</v>
      </c>
      <c r="BG123" s="22">
        <f t="shared" si="61"/>
        <v>17.224684950829481</v>
      </c>
      <c r="BH123" s="58">
        <f t="shared" si="62"/>
        <v>299.33284569430612</v>
      </c>
      <c r="BI123" s="58">
        <f ca="1">AVERAGE(OFFSET($BH$3,0,0,'Données projet'!$E$11+1,1))-AVERAGE(OFFSET($H$3,0,0,'Données projet'!$E$11+1,1))</f>
        <v>336.25341821407534</v>
      </c>
      <c r="BJ123" s="58">
        <f t="shared" si="92"/>
        <v>360.3246221345039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0.42885890717771302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0.42885890717771302</v>
      </c>
      <c r="BT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5.6843418860808015E-14</v>
      </c>
      <c r="BZ123" s="14">
        <f>BY123*VLOOKUP('Données projet'!$B$12,Paramètres!$A$1:$I$89,3,0)*VLOOKUP('Données projet'!$B$12,Paramètres!$A$1:$I$89,5,0)</f>
        <v>4.6111381379887463E-14</v>
      </c>
      <c r="CA123" s="14">
        <f t="shared" si="93"/>
        <v>7.5804141040779151E-13</v>
      </c>
      <c r="CB123" s="22">
        <f t="shared" si="64"/>
        <v>1.4005661123635408E-12</v>
      </c>
      <c r="CC123" s="58">
        <f t="shared" si="65"/>
        <v>282.10816074347804</v>
      </c>
      <c r="CD123" s="58">
        <f ca="1">AVERAGE(OFFSET($CC$3,0,0,'Données projet'!$E$12+1,1))-AVERAGE(OFFSET($H$3,0,0,'Données projet'!$E$12+1,1))</f>
        <v>308.58270639204238</v>
      </c>
      <c r="CE123" s="58">
        <f t="shared" si="94"/>
        <v>258.90832875500325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259.61538461538458</v>
      </c>
      <c r="CR123" s="13">
        <f>VLOOKUP(A123,'Données projet'!$A$139:$I$159,9,0)</f>
        <v>2.8205128205128176</v>
      </c>
      <c r="CS123" s="13">
        <f t="array" ref="CS123">INDEX(CR:CR,MIN(IF(ISNUMBER(CR123:CR319),ROW(CR123:CR319),"")))</f>
        <v>2.8205128205128176</v>
      </c>
      <c r="CT123" s="13">
        <f>IF('Données projet'!$A$140&gt;35,CT122+CS123-DB122,IF(A123&lt;'Données projet'!$A$140,$CQ$205^A123,IF(A123='Données projet'!$A$140,'Données projet'!$B$140,CT122+CS123-DB122)))</f>
        <v>259.61538461538464</v>
      </c>
      <c r="CU123" s="18">
        <f>CT123*VLOOKUP('Données projet'!$B$13,Paramètres!$A$1:$I$89,3,0)*VLOOKUP('Données projet'!$B$13,Paramètres!$A$1:$I$89,5,0)</f>
        <v>247.05000000000004</v>
      </c>
      <c r="CV123" s="14">
        <f t="shared" si="95"/>
        <v>59.953807009796499</v>
      </c>
      <c r="CW123" s="22">
        <f t="shared" si="67"/>
        <v>534.69829720872895</v>
      </c>
      <c r="CX123" s="58">
        <f t="shared" si="68"/>
        <v>816.80645795220562</v>
      </c>
      <c r="CY123" s="58">
        <f ca="1">AVERAGE(OFFSET($CX$3,0,0,'Données projet'!$E$13+1,1))-AVERAGE(OFFSET($H$3,0,0,'Données projet'!$E$13+1,1))</f>
        <v>397.61813291201469</v>
      </c>
      <c r="CZ123" s="58">
        <f t="shared" si="96"/>
        <v>320.30651625485064</v>
      </c>
      <c r="DA123" s="16">
        <f>IF(ISNA(VLOOKUP(A123,'Données projet'!$A$139:$I$159,3,0)),0,VLOOKUP(A123,'Données projet'!$A$139:$I$159,3,0))</f>
        <v>11</v>
      </c>
      <c r="DB123" s="16">
        <f>IF(ISNA(VLOOKUP(A123,'Données projet'!$A$139:$I$159,4,0)),0,VLOOKUP(A123,'Données projet'!$A$139:$I$159,4,0))</f>
        <v>259.61538461538458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0.26200932217828438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0.26200932217828438</v>
      </c>
      <c r="DJ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58" t="e">
        <f t="shared" si="71"/>
        <v>#N/A</v>
      </c>
      <c r="DT123" s="58" t="e">
        <f ca="1">AVERAGE(OFFSET($DS$3,0,0,'Données projet'!$E$14+1,1))-AVERAGE(OFFSET($H$3,0,0,'Données projet'!$E$14+1,1))</f>
        <v>#N/A</v>
      </c>
      <c r="DU123" s="58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58" t="e">
        <f t="shared" si="74"/>
        <v>#N/A</v>
      </c>
      <c r="EO123" s="58" t="e">
        <f ca="1">AVERAGE(OFFSET($EN$3,0,0,'Données projet'!$E$15+1,1))-AVERAGE(OFFSET($H$3,0,0,'Données projet'!$E$15+1,1))</f>
        <v>#N/A</v>
      </c>
      <c r="EP123" s="58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58" t="e">
        <f t="shared" si="77"/>
        <v>#N/A</v>
      </c>
      <c r="FJ123" s="58" t="e">
        <f ca="1">AVERAGE(OFFSET($FI$3,0,0,'Données projet'!$E$16+1,1))-AVERAGE(OFFSET($H$3,0,0,'Données projet'!$E$16+1,1))</f>
        <v>#N/A</v>
      </c>
      <c r="FK123" s="58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58" t="e">
        <f t="shared" si="80"/>
        <v>#N/A</v>
      </c>
      <c r="GE123" s="58" t="e">
        <f ca="1">AVERAGE(OFFSET($GD$3,0,0,'Données projet'!$E$17+1,1))-AVERAGE(OFFSET($H$3,0,0,'Données projet'!$E$17+1,1))</f>
        <v>#N/A</v>
      </c>
      <c r="GF123" s="58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58" t="e">
        <f t="shared" si="83"/>
        <v>#N/A</v>
      </c>
      <c r="GZ123" s="58" t="e">
        <f ca="1">AVERAGE(OFFSET($GY$3,0,0,'Données projet'!$E$18+1,1))-AVERAGE(OFFSET($H$3,0,0,'Données projet'!$E$18+1,1))</f>
        <v>#N/A</v>
      </c>
      <c r="HA123" s="58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0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3">
        <f t="shared" si="56"/>
        <v>183.33333333333334</v>
      </c>
      <c r="I124" s="6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4.0666666666666664</v>
      </c>
      <c r="N124" s="14">
        <f>IF('Données projet'!$A$36&gt;35,N123+M124-V123,IF(A124&lt;'Données projet'!$A$36,$K$205^A124,IF(A124='Données projet'!$A$36,'Données projet'!$B$36,N123+M124-V123)))</f>
        <v>309.0666666666674</v>
      </c>
      <c r="O124" s="14">
        <f>N124*VLOOKUP('Données projet'!$B$9,Paramètres!$A$1:$I$89,3,0)*VLOOKUP('Données projet'!$B$9,Paramètres!$A$1:$I$89,5,0)</f>
        <v>260.35776000000067</v>
      </c>
      <c r="P124" s="14">
        <f t="shared" si="87"/>
        <v>62.798631826735971</v>
      </c>
      <c r="Q124" s="22">
        <f t="shared" si="107"/>
        <v>562.83071576489954</v>
      </c>
      <c r="R124" s="58">
        <f t="shared" si="55"/>
        <v>845.13360815708393</v>
      </c>
      <c r="S124" s="58">
        <f ca="1">AVERAGE(OFFSET($R$3,0,0,'Données projet'!$E$9+1,1))-AVERAGE(OFFSET($H$3,0,0,'Données projet'!$E$9+1,1))</f>
        <v>527.70171871461309</v>
      </c>
      <c r="T124" s="58">
        <f t="shared" si="88"/>
        <v>281.06176764290592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7.4487616075202823E-14</v>
      </c>
      <c r="AK124" s="14">
        <f t="shared" si="89"/>
        <v>1.1580453144473142E-12</v>
      </c>
      <c r="AL124" s="22">
        <f t="shared" si="58"/>
        <v>2.1466615206600508E-12</v>
      </c>
      <c r="AM124" s="58">
        <f t="shared" si="59"/>
        <v>282.30289239218655</v>
      </c>
      <c r="AN124" s="58">
        <f ca="1">AVERAGE(OFFSET($AM$3,0,0,'Données projet'!$E$10+1,1))-AVERAGE(OFFSET($H$3,0,0,'Données projet'!$E$10+1,1))</f>
        <v>302.53318056366777</v>
      </c>
      <c r="AO124" s="58">
        <f t="shared" si="90"/>
        <v>318.32262615164541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0.21898258821675023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0.21898258821675023</v>
      </c>
      <c r="AY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9.1000000000003638</v>
      </c>
      <c r="BE124" s="14">
        <f>BD124*VLOOKUP('Données projet'!$B$11,Paramètres!$A$1:$I$89,3,0)*VLOOKUP('Données projet'!$B$11,Paramètres!$A$1:$I$89,5,0)</f>
        <v>7.2399600000002895</v>
      </c>
      <c r="BF124" s="14">
        <f t="shared" si="91"/>
        <v>2.6498112636338633</v>
      </c>
      <c r="BG124" s="22">
        <f t="shared" si="61"/>
        <v>17.224684950829481</v>
      </c>
      <c r="BH124" s="58">
        <f t="shared" si="62"/>
        <v>299.52757734301389</v>
      </c>
      <c r="BI124" s="58">
        <f ca="1">AVERAGE(OFFSET($BH$3,0,0,'Données projet'!$E$11+1,1))-AVERAGE(OFFSET($H$3,0,0,'Données projet'!$E$11+1,1))</f>
        <v>336.25341821407534</v>
      </c>
      <c r="BJ124" s="58">
        <f t="shared" si="92"/>
        <v>360.3246221345039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0.41713173780822871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0.41713173780822871</v>
      </c>
      <c r="BT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projet'!$B$12,Paramètres!$A$1:$I$89,3,0)*VLOOKUP('Données projet'!$B$12,Paramètres!$A$1:$I$89,5,0)</f>
        <v>4.6111381379887463E-14</v>
      </c>
      <c r="CA124" s="14">
        <f t="shared" si="93"/>
        <v>7.5804141040779151E-13</v>
      </c>
      <c r="CB124" s="22">
        <f t="shared" si="64"/>
        <v>1.4005661123635408E-12</v>
      </c>
      <c r="CC124" s="58">
        <f t="shared" si="65"/>
        <v>282.30289239218581</v>
      </c>
      <c r="CD124" s="58">
        <f ca="1">AVERAGE(OFFSET($CC$3,0,0,'Données projet'!$E$12+1,1))-AVERAGE(OFFSET($H$3,0,0,'Données projet'!$E$12+1,1))</f>
        <v>308.58270639204238</v>
      </c>
      <c r="CE124" s="58">
        <f t="shared" si="94"/>
        <v>258.90832875500325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5.4092197387944907E-14</v>
      </c>
      <c r="CV124" s="14">
        <f t="shared" si="95"/>
        <v>8.7287050538073676E-13</v>
      </c>
      <c r="CW124" s="22">
        <f t="shared" si="67"/>
        <v>1.6144600406554537E-12</v>
      </c>
      <c r="CX124" s="58">
        <f t="shared" si="68"/>
        <v>282.30289239218598</v>
      </c>
      <c r="CY124" s="58">
        <f ca="1">AVERAGE(OFFSET($CX$3,0,0,'Données projet'!$E$13+1,1))-AVERAGE(OFFSET($H$3,0,0,'Données projet'!$E$13+1,1))</f>
        <v>397.61813291201469</v>
      </c>
      <c r="CZ124" s="58">
        <f t="shared" si="96"/>
        <v>320.30651625485064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0.25484466348484774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0.25484466348484774</v>
      </c>
      <c r="DJ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58" t="e">
        <f t="shared" si="71"/>
        <v>#N/A</v>
      </c>
      <c r="DT124" s="58" t="e">
        <f ca="1">AVERAGE(OFFSET($DS$3,0,0,'Données projet'!$E$14+1,1))-AVERAGE(OFFSET($H$3,0,0,'Données projet'!$E$14+1,1))</f>
        <v>#N/A</v>
      </c>
      <c r="DU124" s="58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58" t="e">
        <f t="shared" si="74"/>
        <v>#N/A</v>
      </c>
      <c r="EO124" s="58" t="e">
        <f ca="1">AVERAGE(OFFSET($EN$3,0,0,'Données projet'!$E$15+1,1))-AVERAGE(OFFSET($H$3,0,0,'Données projet'!$E$15+1,1))</f>
        <v>#N/A</v>
      </c>
      <c r="EP124" s="58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58" t="e">
        <f t="shared" si="77"/>
        <v>#N/A</v>
      </c>
      <c r="FJ124" s="58" t="e">
        <f ca="1">AVERAGE(OFFSET($FI$3,0,0,'Données projet'!$E$16+1,1))-AVERAGE(OFFSET($H$3,0,0,'Données projet'!$E$16+1,1))</f>
        <v>#N/A</v>
      </c>
      <c r="FK124" s="58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58" t="e">
        <f t="shared" si="80"/>
        <v>#N/A</v>
      </c>
      <c r="GE124" s="58" t="e">
        <f ca="1">AVERAGE(OFFSET($GD$3,0,0,'Données projet'!$E$17+1,1))-AVERAGE(OFFSET($H$3,0,0,'Données projet'!$E$17+1,1))</f>
        <v>#N/A</v>
      </c>
      <c r="GF124" s="58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58" t="e">
        <f t="shared" si="83"/>
        <v>#N/A</v>
      </c>
      <c r="GZ124" s="58" t="e">
        <f ca="1">AVERAGE(OFFSET($GY$3,0,0,'Données projet'!$E$18+1,1))-AVERAGE(OFFSET($H$3,0,0,'Données projet'!$E$18+1,1))</f>
        <v>#N/A</v>
      </c>
      <c r="HA124" s="58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0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3">
        <f t="shared" si="56"/>
        <v>183.33333333333334</v>
      </c>
      <c r="I125" s="6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4.0666666666666664</v>
      </c>
      <c r="N125" s="14">
        <f>IF('Données projet'!$A$36&gt;35,N124+M125-V124,IF(A125&lt;'Données projet'!$A$36,$K$205^A125,IF(A125='Données projet'!$A$36,'Données projet'!$B$36,N124+M125-V124)))</f>
        <v>313.13333333333406</v>
      </c>
      <c r="O125" s="14">
        <f>N125*VLOOKUP('Données projet'!$B$9,Paramètres!$A$1:$I$89,3,0)*VLOOKUP('Données projet'!$B$9,Paramètres!$A$1:$I$89,5,0)</f>
        <v>263.78352000000064</v>
      </c>
      <c r="P125" s="14">
        <f t="shared" si="87"/>
        <v>63.528192154598671</v>
      </c>
      <c r="Q125" s="22">
        <f t="shared" si="107"/>
        <v>570.06789866926044</v>
      </c>
      <c r="R125" s="58">
        <f t="shared" si="55"/>
        <v>852.5621445514023</v>
      </c>
      <c r="S125" s="58">
        <f ca="1">AVERAGE(OFFSET($R$3,0,0,'Données projet'!$E$9+1,1))-AVERAGE(OFFSET($H$3,0,0,'Données projet'!$E$9+1,1))</f>
        <v>527.70171871461309</v>
      </c>
      <c r="T125" s="58">
        <f t="shared" si="88"/>
        <v>281.06176764290592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7.4487616075202823E-14</v>
      </c>
      <c r="AK125" s="14">
        <f t="shared" si="89"/>
        <v>1.1580453144473142E-12</v>
      </c>
      <c r="AL125" s="22">
        <f t="shared" si="58"/>
        <v>2.1466615206600508E-12</v>
      </c>
      <c r="AM125" s="58">
        <f t="shared" si="59"/>
        <v>282.49424588214396</v>
      </c>
      <c r="AN125" s="58">
        <f ca="1">AVERAGE(OFFSET($AM$3,0,0,'Données projet'!$E$10+1,1))-AVERAGE(OFFSET($H$3,0,0,'Données projet'!$E$10+1,1))</f>
        <v>302.53318056366777</v>
      </c>
      <c r="AO125" s="58">
        <f t="shared" si="90"/>
        <v>318.32262615164541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0.21299449782616939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0.21299449782616939</v>
      </c>
      <c r="AY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9.1000000000003638</v>
      </c>
      <c r="BE125" s="14">
        <f>BD125*VLOOKUP('Données projet'!$B$11,Paramètres!$A$1:$I$89,3,0)*VLOOKUP('Données projet'!$B$11,Paramètres!$A$1:$I$89,5,0)</f>
        <v>7.2399600000002895</v>
      </c>
      <c r="BF125" s="14">
        <f t="shared" si="91"/>
        <v>2.6498112636338633</v>
      </c>
      <c r="BG125" s="22">
        <f t="shared" si="61"/>
        <v>17.224684950829481</v>
      </c>
      <c r="BH125" s="58">
        <f t="shared" si="62"/>
        <v>299.7189308329713</v>
      </c>
      <c r="BI125" s="58">
        <f ca="1">AVERAGE(OFFSET($BH$3,0,0,'Données projet'!$E$11+1,1))-AVERAGE(OFFSET($H$3,0,0,'Données projet'!$E$11+1,1))</f>
        <v>336.25341821407534</v>
      </c>
      <c r="BJ125" s="58">
        <f t="shared" si="92"/>
        <v>360.3246221345039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0.40572524850185798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0.40572524850185798</v>
      </c>
      <c r="BT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projet'!$B$12,Paramètres!$A$1:$I$89,3,0)*VLOOKUP('Données projet'!$B$12,Paramètres!$A$1:$I$89,5,0)</f>
        <v>4.6111381379887463E-14</v>
      </c>
      <c r="CA125" s="14">
        <f t="shared" si="93"/>
        <v>7.5804141040779151E-13</v>
      </c>
      <c r="CB125" s="22">
        <f t="shared" si="64"/>
        <v>1.4005661123635408E-12</v>
      </c>
      <c r="CC125" s="58">
        <f t="shared" si="65"/>
        <v>282.49424588214322</v>
      </c>
      <c r="CD125" s="58">
        <f ca="1">AVERAGE(OFFSET($CC$3,0,0,'Données projet'!$E$12+1,1))-AVERAGE(OFFSET($H$3,0,0,'Données projet'!$E$12+1,1))</f>
        <v>308.58270639204238</v>
      </c>
      <c r="CE125" s="58">
        <f t="shared" si="94"/>
        <v>258.90832875500325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5.4092197387944907E-14</v>
      </c>
      <c r="CV125" s="14">
        <f t="shared" si="95"/>
        <v>8.7287050538073676E-13</v>
      </c>
      <c r="CW125" s="22">
        <f t="shared" si="67"/>
        <v>1.6144600406554537E-12</v>
      </c>
      <c r="CX125" s="58">
        <f t="shared" si="68"/>
        <v>282.49424588214339</v>
      </c>
      <c r="CY125" s="58">
        <f ca="1">AVERAGE(OFFSET($CX$3,0,0,'Données projet'!$E$13+1,1))-AVERAGE(OFFSET($H$3,0,0,'Données projet'!$E$13+1,1))</f>
        <v>397.61813291201469</v>
      </c>
      <c r="CZ125" s="58">
        <f t="shared" si="96"/>
        <v>320.30651625485064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0.24787592276015619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0.24787592276015619</v>
      </c>
      <c r="DJ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58" t="e">
        <f t="shared" si="71"/>
        <v>#N/A</v>
      </c>
      <c r="DT125" s="58" t="e">
        <f ca="1">AVERAGE(OFFSET($DS$3,0,0,'Données projet'!$E$14+1,1))-AVERAGE(OFFSET($H$3,0,0,'Données projet'!$E$14+1,1))</f>
        <v>#N/A</v>
      </c>
      <c r="DU125" s="58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58" t="e">
        <f t="shared" si="74"/>
        <v>#N/A</v>
      </c>
      <c r="EO125" s="58" t="e">
        <f ca="1">AVERAGE(OFFSET($EN$3,0,0,'Données projet'!$E$15+1,1))-AVERAGE(OFFSET($H$3,0,0,'Données projet'!$E$15+1,1))</f>
        <v>#N/A</v>
      </c>
      <c r="EP125" s="58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58" t="e">
        <f t="shared" si="77"/>
        <v>#N/A</v>
      </c>
      <c r="FJ125" s="58" t="e">
        <f ca="1">AVERAGE(OFFSET($FI$3,0,0,'Données projet'!$E$16+1,1))-AVERAGE(OFFSET($H$3,0,0,'Données projet'!$E$16+1,1))</f>
        <v>#N/A</v>
      </c>
      <c r="FK125" s="58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58" t="e">
        <f t="shared" si="80"/>
        <v>#N/A</v>
      </c>
      <c r="GE125" s="58" t="e">
        <f ca="1">AVERAGE(OFFSET($GD$3,0,0,'Données projet'!$E$17+1,1))-AVERAGE(OFFSET($H$3,0,0,'Données projet'!$E$17+1,1))</f>
        <v>#N/A</v>
      </c>
      <c r="GF125" s="58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58" t="e">
        <f t="shared" si="83"/>
        <v>#N/A</v>
      </c>
      <c r="GZ125" s="58" t="e">
        <f ca="1">AVERAGE(OFFSET($GY$3,0,0,'Données projet'!$E$18+1,1))-AVERAGE(OFFSET($H$3,0,0,'Données projet'!$E$18+1,1))</f>
        <v>#N/A</v>
      </c>
      <c r="HA125" s="58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0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3">
        <f t="shared" si="56"/>
        <v>183.33333333333334</v>
      </c>
      <c r="I126" s="6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4.0666666666666664</v>
      </c>
      <c r="N126" s="14">
        <f>IF('Données projet'!$A$36&gt;35,N125+M126-V125,IF(A126&lt;'Données projet'!$A$36,$K$205^A126,IF(A126='Données projet'!$A$36,'Données projet'!$B$36,N125+M126-V125)))</f>
        <v>317.20000000000073</v>
      </c>
      <c r="O126" s="14">
        <f>N126*VLOOKUP('Données projet'!$B$9,Paramètres!$A$1:$I$89,3,0)*VLOOKUP('Données projet'!$B$9,Paramètres!$A$1:$I$89,5,0)</f>
        <v>267.20928000000066</v>
      </c>
      <c r="P126" s="14">
        <f t="shared" si="87"/>
        <v>64.256650415058246</v>
      </c>
      <c r="Q126" s="22">
        <f t="shared" si="107"/>
        <v>577.30316213956087</v>
      </c>
      <c r="R126" s="58">
        <f t="shared" si="55"/>
        <v>859.98544195641148</v>
      </c>
      <c r="S126" s="58">
        <f ca="1">AVERAGE(OFFSET($R$3,0,0,'Données projet'!$E$9+1,1))-AVERAGE(OFFSET($H$3,0,0,'Données projet'!$E$9+1,1))</f>
        <v>527.70171871461309</v>
      </c>
      <c r="T126" s="58">
        <f t="shared" si="88"/>
        <v>281.06176764290592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7.4487616075202823E-14</v>
      </c>
      <c r="AK126" s="14">
        <f t="shared" si="89"/>
        <v>1.1580453144473142E-12</v>
      </c>
      <c r="AL126" s="22">
        <f t="shared" si="58"/>
        <v>2.1466615206600508E-12</v>
      </c>
      <c r="AM126" s="58">
        <f t="shared" si="59"/>
        <v>282.68227981685283</v>
      </c>
      <c r="AN126" s="58">
        <f ca="1">AVERAGE(OFFSET($AM$3,0,0,'Données projet'!$E$10+1,1))-AVERAGE(OFFSET($H$3,0,0,'Données projet'!$E$10+1,1))</f>
        <v>302.53318056366777</v>
      </c>
      <c r="AO126" s="58">
        <f t="shared" si="90"/>
        <v>318.32262615164541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0.20717015208221895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0.20717015208221895</v>
      </c>
      <c r="AY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9.1000000000003638</v>
      </c>
      <c r="BE126" s="14">
        <f>BD126*VLOOKUP('Données projet'!$B$11,Paramètres!$A$1:$I$89,3,0)*VLOOKUP('Données projet'!$B$11,Paramètres!$A$1:$I$89,5,0)</f>
        <v>7.2399600000002895</v>
      </c>
      <c r="BF126" s="14">
        <f t="shared" si="91"/>
        <v>2.6498112636338633</v>
      </c>
      <c r="BG126" s="22">
        <f t="shared" si="61"/>
        <v>17.224684950829481</v>
      </c>
      <c r="BH126" s="58">
        <f t="shared" si="62"/>
        <v>299.90696476768017</v>
      </c>
      <c r="BI126" s="58">
        <f ca="1">AVERAGE(OFFSET($BH$3,0,0,'Données projet'!$E$11+1,1))-AVERAGE(OFFSET($H$3,0,0,'Données projet'!$E$11+1,1))</f>
        <v>336.25341821407534</v>
      </c>
      <c r="BJ126" s="58">
        <f t="shared" si="92"/>
        <v>360.3246221345039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0.39463067024541115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0.39463067024541115</v>
      </c>
      <c r="BT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projet'!$B$12,Paramètres!$A$1:$I$89,3,0)*VLOOKUP('Données projet'!$B$12,Paramètres!$A$1:$I$89,5,0)</f>
        <v>4.6111381379887463E-14</v>
      </c>
      <c r="CA126" s="14">
        <f t="shared" si="93"/>
        <v>7.5804141040779151E-13</v>
      </c>
      <c r="CB126" s="22">
        <f t="shared" si="64"/>
        <v>1.4005661123635408E-12</v>
      </c>
      <c r="CC126" s="58">
        <f t="shared" si="65"/>
        <v>282.68227981685209</v>
      </c>
      <c r="CD126" s="58">
        <f ca="1">AVERAGE(OFFSET($CC$3,0,0,'Données projet'!$E$12+1,1))-AVERAGE(OFFSET($H$3,0,0,'Données projet'!$E$12+1,1))</f>
        <v>308.58270639204238</v>
      </c>
      <c r="CE126" s="58">
        <f t="shared" si="94"/>
        <v>258.90832875500325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5.4092197387944907E-14</v>
      </c>
      <c r="CV126" s="14">
        <f t="shared" si="95"/>
        <v>8.7287050538073676E-13</v>
      </c>
      <c r="CW126" s="22">
        <f t="shared" si="67"/>
        <v>1.6144600406554537E-12</v>
      </c>
      <c r="CX126" s="58">
        <f t="shared" si="68"/>
        <v>282.68227981685226</v>
      </c>
      <c r="CY126" s="58">
        <f ca="1">AVERAGE(OFFSET($CX$3,0,0,'Données projet'!$E$13+1,1))-AVERAGE(OFFSET($H$3,0,0,'Données projet'!$E$13+1,1))</f>
        <v>397.61813291201469</v>
      </c>
      <c r="CZ126" s="58">
        <f t="shared" si="96"/>
        <v>320.30651625485064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0.24109774261705147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0.24109774261705147</v>
      </c>
      <c r="DJ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58" t="e">
        <f t="shared" si="71"/>
        <v>#N/A</v>
      </c>
      <c r="DT126" s="58" t="e">
        <f ca="1">AVERAGE(OFFSET($DS$3,0,0,'Données projet'!$E$14+1,1))-AVERAGE(OFFSET($H$3,0,0,'Données projet'!$E$14+1,1))</f>
        <v>#N/A</v>
      </c>
      <c r="DU126" s="58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58" t="e">
        <f t="shared" si="74"/>
        <v>#N/A</v>
      </c>
      <c r="EO126" s="58" t="e">
        <f ca="1">AVERAGE(OFFSET($EN$3,0,0,'Données projet'!$E$15+1,1))-AVERAGE(OFFSET($H$3,0,0,'Données projet'!$E$15+1,1))</f>
        <v>#N/A</v>
      </c>
      <c r="EP126" s="58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58" t="e">
        <f t="shared" si="77"/>
        <v>#N/A</v>
      </c>
      <c r="FJ126" s="58" t="e">
        <f ca="1">AVERAGE(OFFSET($FI$3,0,0,'Données projet'!$E$16+1,1))-AVERAGE(OFFSET($H$3,0,0,'Données projet'!$E$16+1,1))</f>
        <v>#N/A</v>
      </c>
      <c r="FK126" s="58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58" t="e">
        <f t="shared" si="80"/>
        <v>#N/A</v>
      </c>
      <c r="GE126" s="58" t="e">
        <f ca="1">AVERAGE(OFFSET($GD$3,0,0,'Données projet'!$E$17+1,1))-AVERAGE(OFFSET($H$3,0,0,'Données projet'!$E$17+1,1))</f>
        <v>#N/A</v>
      </c>
      <c r="GF126" s="58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58" t="e">
        <f t="shared" si="83"/>
        <v>#N/A</v>
      </c>
      <c r="GZ126" s="58" t="e">
        <f ca="1">AVERAGE(OFFSET($GY$3,0,0,'Données projet'!$E$18+1,1))-AVERAGE(OFFSET($H$3,0,0,'Données projet'!$E$18+1,1))</f>
        <v>#N/A</v>
      </c>
      <c r="HA126" s="58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0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3">
        <f t="shared" si="56"/>
        <v>183.33333333333334</v>
      </c>
      <c r="I127" s="6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4.0666666666666664</v>
      </c>
      <c r="N127" s="14">
        <f>IF('Données projet'!$A$36&gt;35,N126+M127-V126,IF(A127&lt;'Données projet'!$A$36,$K$205^A127,IF(A127='Données projet'!$A$36,'Données projet'!$B$36,N126+M127-V126)))</f>
        <v>321.26666666666739</v>
      </c>
      <c r="O127" s="14">
        <f>N127*VLOOKUP('Données projet'!$B$9,Paramètres!$A$1:$I$89,3,0)*VLOOKUP('Données projet'!$B$9,Paramètres!$A$1:$I$89,5,0)</f>
        <v>270.63504000000063</v>
      </c>
      <c r="P127" s="14">
        <f t="shared" si="87"/>
        <v>64.984022370912456</v>
      </c>
      <c r="Q127" s="22">
        <f t="shared" si="107"/>
        <v>584.53653362934028</v>
      </c>
      <c r="R127" s="58">
        <f t="shared" si="55"/>
        <v>867.40358541251362</v>
      </c>
      <c r="S127" s="58">
        <f ca="1">AVERAGE(OFFSET($R$3,0,0,'Données projet'!$E$9+1,1))-AVERAGE(OFFSET($H$3,0,0,'Données projet'!$E$9+1,1))</f>
        <v>527.70171871461309</v>
      </c>
      <c r="T127" s="58">
        <f t="shared" si="88"/>
        <v>281.06176764290592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7.4487616075202823E-14</v>
      </c>
      <c r="AK127" s="14">
        <f t="shared" si="89"/>
        <v>1.1580453144473142E-12</v>
      </c>
      <c r="AL127" s="22">
        <f t="shared" si="58"/>
        <v>2.1466615206600508E-12</v>
      </c>
      <c r="AM127" s="58">
        <f t="shared" si="59"/>
        <v>282.8670517831755</v>
      </c>
      <c r="AN127" s="58">
        <f ca="1">AVERAGE(OFFSET($AM$3,0,0,'Données projet'!$E$10+1,1))-AVERAGE(OFFSET($H$3,0,0,'Données projet'!$E$10+1,1))</f>
        <v>302.53318056366777</v>
      </c>
      <c r="AO127" s="58">
        <f t="shared" si="90"/>
        <v>318.32262615164541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0.20150507337892587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0.20150507337892587</v>
      </c>
      <c r="AY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9.1000000000003638</v>
      </c>
      <c r="BE127" s="14">
        <f>BD127*VLOOKUP('Données projet'!$B$11,Paramètres!$A$1:$I$89,3,0)*VLOOKUP('Données projet'!$B$11,Paramètres!$A$1:$I$89,5,0)</f>
        <v>7.2399600000002895</v>
      </c>
      <c r="BF127" s="14">
        <f t="shared" si="91"/>
        <v>2.6498112636338633</v>
      </c>
      <c r="BG127" s="22">
        <f t="shared" si="61"/>
        <v>17.224684950829481</v>
      </c>
      <c r="BH127" s="58">
        <f t="shared" si="62"/>
        <v>300.09173673400284</v>
      </c>
      <c r="BI127" s="58">
        <f ca="1">AVERAGE(OFFSET($BH$3,0,0,'Données projet'!$E$11+1,1))-AVERAGE(OFFSET($H$3,0,0,'Données projet'!$E$11+1,1))</f>
        <v>336.25341821407534</v>
      </c>
      <c r="BJ127" s="58">
        <f t="shared" si="92"/>
        <v>360.3246221345039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0.38383947381482536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0.38383947381482536</v>
      </c>
      <c r="BT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projet'!$B$12,Paramètres!$A$1:$I$89,3,0)*VLOOKUP('Données projet'!$B$12,Paramètres!$A$1:$I$89,5,0)</f>
        <v>4.6111381379887463E-14</v>
      </c>
      <c r="CA127" s="14">
        <f t="shared" si="93"/>
        <v>7.5804141040779151E-13</v>
      </c>
      <c r="CB127" s="22">
        <f t="shared" si="64"/>
        <v>1.4005661123635408E-12</v>
      </c>
      <c r="CC127" s="58">
        <f t="shared" si="65"/>
        <v>282.86705178317476</v>
      </c>
      <c r="CD127" s="58">
        <f ca="1">AVERAGE(OFFSET($CC$3,0,0,'Données projet'!$E$12+1,1))-AVERAGE(OFFSET($H$3,0,0,'Données projet'!$E$12+1,1))</f>
        <v>308.58270639204238</v>
      </c>
      <c r="CE127" s="58">
        <f t="shared" si="94"/>
        <v>258.90832875500325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5.4092197387944907E-14</v>
      </c>
      <c r="CV127" s="14">
        <f t="shared" si="95"/>
        <v>8.7287050538073676E-13</v>
      </c>
      <c r="CW127" s="22">
        <f t="shared" si="67"/>
        <v>1.6144600406554537E-12</v>
      </c>
      <c r="CX127" s="58">
        <f t="shared" si="68"/>
        <v>282.86705178317493</v>
      </c>
      <c r="CY127" s="58">
        <f ca="1">AVERAGE(OFFSET($CX$3,0,0,'Données projet'!$E$13+1,1))-AVERAGE(OFFSET($H$3,0,0,'Données projet'!$E$13+1,1))</f>
        <v>397.61813291201469</v>
      </c>
      <c r="CZ127" s="58">
        <f t="shared" si="96"/>
        <v>320.30651625485064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0.23450491216640895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0.23450491216640895</v>
      </c>
      <c r="DJ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58" t="e">
        <f t="shared" si="71"/>
        <v>#N/A</v>
      </c>
      <c r="DT127" s="58" t="e">
        <f ca="1">AVERAGE(OFFSET($DS$3,0,0,'Données projet'!$E$14+1,1))-AVERAGE(OFFSET($H$3,0,0,'Données projet'!$E$14+1,1))</f>
        <v>#N/A</v>
      </c>
      <c r="DU127" s="58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58" t="e">
        <f t="shared" si="74"/>
        <v>#N/A</v>
      </c>
      <c r="EO127" s="58" t="e">
        <f ca="1">AVERAGE(OFFSET($EN$3,0,0,'Données projet'!$E$15+1,1))-AVERAGE(OFFSET($H$3,0,0,'Données projet'!$E$15+1,1))</f>
        <v>#N/A</v>
      </c>
      <c r="EP127" s="58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58" t="e">
        <f t="shared" si="77"/>
        <v>#N/A</v>
      </c>
      <c r="FJ127" s="58" t="e">
        <f ca="1">AVERAGE(OFFSET($FI$3,0,0,'Données projet'!$E$16+1,1))-AVERAGE(OFFSET($H$3,0,0,'Données projet'!$E$16+1,1))</f>
        <v>#N/A</v>
      </c>
      <c r="FK127" s="58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58" t="e">
        <f t="shared" si="80"/>
        <v>#N/A</v>
      </c>
      <c r="GE127" s="58" t="e">
        <f ca="1">AVERAGE(OFFSET($GD$3,0,0,'Données projet'!$E$17+1,1))-AVERAGE(OFFSET($H$3,0,0,'Données projet'!$E$17+1,1))</f>
        <v>#N/A</v>
      </c>
      <c r="GF127" s="58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58" t="e">
        <f t="shared" si="83"/>
        <v>#N/A</v>
      </c>
      <c r="GZ127" s="58" t="e">
        <f ca="1">AVERAGE(OFFSET($GY$3,0,0,'Données projet'!$E$18+1,1))-AVERAGE(OFFSET($H$3,0,0,'Données projet'!$E$18+1,1))</f>
        <v>#N/A</v>
      </c>
      <c r="HA127" s="58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0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3">
        <f t="shared" si="56"/>
        <v>183.33333333333334</v>
      </c>
      <c r="I128" s="6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4.0666666666666664</v>
      </c>
      <c r="N128" s="14">
        <f>IF('Données projet'!$A$36&gt;35,N127+M128-V127,IF(A128&lt;'Données projet'!$A$36,$K$205^A128,IF(A128='Données projet'!$A$36,'Données projet'!$B$36,N127+M128-V127)))</f>
        <v>325.33333333333405</v>
      </c>
      <c r="O128" s="14">
        <f>N128*VLOOKUP('Données projet'!$B$9,Paramètres!$A$1:$I$89,3,0)*VLOOKUP('Données projet'!$B$9,Paramètres!$A$1:$I$89,5,0)</f>
        <v>274.06080000000065</v>
      </c>
      <c r="P128" s="14">
        <f t="shared" si="87"/>
        <v>65.710323362953119</v>
      </c>
      <c r="Q128" s="22">
        <f t="shared" si="107"/>
        <v>591.76803985714446</v>
      </c>
      <c r="R128" s="58">
        <f t="shared" si="55"/>
        <v>874.81665822611296</v>
      </c>
      <c r="S128" s="58">
        <f ca="1">AVERAGE(OFFSET($R$3,0,0,'Données projet'!$E$9+1,1))-AVERAGE(OFFSET($H$3,0,0,'Données projet'!$E$9+1,1))</f>
        <v>527.70171871461309</v>
      </c>
      <c r="T128" s="58">
        <f t="shared" si="88"/>
        <v>281.06176764290592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7.4487616075202823E-14</v>
      </c>
      <c r="AK128" s="14">
        <f t="shared" si="89"/>
        <v>1.1580453144473142E-12</v>
      </c>
      <c r="AL128" s="22">
        <f t="shared" si="58"/>
        <v>2.1466615206600508E-12</v>
      </c>
      <c r="AM128" s="58">
        <f t="shared" si="59"/>
        <v>283.04861836897066</v>
      </c>
      <c r="AN128" s="58">
        <f ca="1">AVERAGE(OFFSET($AM$3,0,0,'Données projet'!$E$10+1,1))-AVERAGE(OFFSET($H$3,0,0,'Données projet'!$E$10+1,1))</f>
        <v>302.53318056366777</v>
      </c>
      <c r="AO128" s="58">
        <f t="shared" si="90"/>
        <v>318.32262615164541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0.19599490655068788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0.19599490655068788</v>
      </c>
      <c r="AY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9.1000000000003638</v>
      </c>
      <c r="BE128" s="14">
        <f>BD128*VLOOKUP('Données projet'!$B$11,Paramètres!$A$1:$I$89,3,0)*VLOOKUP('Données projet'!$B$11,Paramètres!$A$1:$I$89,5,0)</f>
        <v>7.2399600000002895</v>
      </c>
      <c r="BF128" s="14">
        <f t="shared" si="91"/>
        <v>2.6498112636338633</v>
      </c>
      <c r="BG128" s="22">
        <f t="shared" si="61"/>
        <v>17.224684950829481</v>
      </c>
      <c r="BH128" s="58">
        <f t="shared" si="62"/>
        <v>300.273303319798</v>
      </c>
      <c r="BI128" s="58">
        <f ca="1">AVERAGE(OFFSET($BH$3,0,0,'Données projet'!$E$11+1,1))-AVERAGE(OFFSET($H$3,0,0,'Données projet'!$E$11+1,1))</f>
        <v>336.25341821407534</v>
      </c>
      <c r="BJ128" s="58">
        <f t="shared" si="92"/>
        <v>360.3246221345039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0.37334336321811828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0.37334336321811828</v>
      </c>
      <c r="BT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projet'!$B$12,Paramètres!$A$1:$I$89,3,0)*VLOOKUP('Données projet'!$B$12,Paramètres!$A$1:$I$89,5,0)</f>
        <v>4.6111381379887463E-14</v>
      </c>
      <c r="CA128" s="14">
        <f t="shared" si="93"/>
        <v>7.5804141040779151E-13</v>
      </c>
      <c r="CB128" s="22">
        <f t="shared" si="64"/>
        <v>1.4005661123635408E-12</v>
      </c>
      <c r="CC128" s="58">
        <f t="shared" si="65"/>
        <v>283.04861836896993</v>
      </c>
      <c r="CD128" s="58">
        <f ca="1">AVERAGE(OFFSET($CC$3,0,0,'Données projet'!$E$12+1,1))-AVERAGE(OFFSET($H$3,0,0,'Données projet'!$E$12+1,1))</f>
        <v>308.58270639204238</v>
      </c>
      <c r="CE128" s="58">
        <f t="shared" si="94"/>
        <v>258.90832875500325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5.4092197387944907E-14</v>
      </c>
      <c r="CV128" s="14">
        <f t="shared" si="95"/>
        <v>8.7287050538073676E-13</v>
      </c>
      <c r="CW128" s="22">
        <f t="shared" si="67"/>
        <v>1.6144600406554537E-12</v>
      </c>
      <c r="CX128" s="58">
        <f t="shared" si="68"/>
        <v>283.0486183689701</v>
      </c>
      <c r="CY128" s="58">
        <f ca="1">AVERAGE(OFFSET($CX$3,0,0,'Données projet'!$E$13+1,1))-AVERAGE(OFFSET($H$3,0,0,'Données projet'!$E$13+1,1))</f>
        <v>397.61813291201469</v>
      </c>
      <c r="CZ128" s="58">
        <f t="shared" si="96"/>
        <v>320.30651625485064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0.22809236301114114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0.22809236301114114</v>
      </c>
      <c r="DJ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58" t="e">
        <f t="shared" si="71"/>
        <v>#N/A</v>
      </c>
      <c r="DT128" s="58" t="e">
        <f ca="1">AVERAGE(OFFSET($DS$3,0,0,'Données projet'!$E$14+1,1))-AVERAGE(OFFSET($H$3,0,0,'Données projet'!$E$14+1,1))</f>
        <v>#N/A</v>
      </c>
      <c r="DU128" s="58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58" t="e">
        <f t="shared" si="74"/>
        <v>#N/A</v>
      </c>
      <c r="EO128" s="58" t="e">
        <f ca="1">AVERAGE(OFFSET($EN$3,0,0,'Données projet'!$E$15+1,1))-AVERAGE(OFFSET($H$3,0,0,'Données projet'!$E$15+1,1))</f>
        <v>#N/A</v>
      </c>
      <c r="EP128" s="58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58" t="e">
        <f t="shared" si="77"/>
        <v>#N/A</v>
      </c>
      <c r="FJ128" s="58" t="e">
        <f ca="1">AVERAGE(OFFSET($FI$3,0,0,'Données projet'!$E$16+1,1))-AVERAGE(OFFSET($H$3,0,0,'Données projet'!$E$16+1,1))</f>
        <v>#N/A</v>
      </c>
      <c r="FK128" s="58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58" t="e">
        <f t="shared" si="80"/>
        <v>#N/A</v>
      </c>
      <c r="GE128" s="58" t="e">
        <f ca="1">AVERAGE(OFFSET($GD$3,0,0,'Données projet'!$E$17+1,1))-AVERAGE(OFFSET($H$3,0,0,'Données projet'!$E$17+1,1))</f>
        <v>#N/A</v>
      </c>
      <c r="GF128" s="58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58" t="e">
        <f t="shared" si="83"/>
        <v>#N/A</v>
      </c>
      <c r="GZ128" s="58" t="e">
        <f ca="1">AVERAGE(OFFSET($GY$3,0,0,'Données projet'!$E$18+1,1))-AVERAGE(OFFSET($H$3,0,0,'Données projet'!$E$18+1,1))</f>
        <v>#N/A</v>
      </c>
      <c r="HA128" s="58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0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3">
        <f t="shared" si="56"/>
        <v>183.33333333333334</v>
      </c>
      <c r="I129" s="6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4.0666666666666664</v>
      </c>
      <c r="N129" s="14">
        <f>IF('Données projet'!$A$36&gt;35,N128+M129-V128,IF(A129&lt;'Données projet'!$A$36,$K$205^A129,IF(A129='Données projet'!$A$36,'Données projet'!$B$36,N128+M129-V128)))</f>
        <v>329.40000000000072</v>
      </c>
      <c r="O129" s="14">
        <f>N129*VLOOKUP('Données projet'!$B$9,Paramètres!$A$1:$I$89,3,0)*VLOOKUP('Données projet'!$B$9,Paramètres!$A$1:$I$89,5,0)</f>
        <v>277.48656000000062</v>
      </c>
      <c r="P129" s="14">
        <f t="shared" si="87"/>
        <v>66.435568326395043</v>
      </c>
      <c r="Q129" s="22">
        <f t="shared" si="107"/>
        <v>598.99770683513896</v>
      </c>
      <c r="R129" s="58">
        <f t="shared" si="55"/>
        <v>882.22474201556111</v>
      </c>
      <c r="S129" s="58">
        <f ca="1">AVERAGE(OFFSET($R$3,0,0,'Données projet'!$E$9+1,1))-AVERAGE(OFFSET($H$3,0,0,'Données projet'!$E$9+1,1))</f>
        <v>527.70171871461309</v>
      </c>
      <c r="T129" s="58">
        <f t="shared" si="88"/>
        <v>281.06176764290592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7.4487616075202823E-14</v>
      </c>
      <c r="AK129" s="14">
        <f t="shared" si="89"/>
        <v>1.1580453144473142E-12</v>
      </c>
      <c r="AL129" s="22">
        <f t="shared" si="58"/>
        <v>2.1466615206600508E-12</v>
      </c>
      <c r="AM129" s="58">
        <f t="shared" si="59"/>
        <v>283.22703518042437</v>
      </c>
      <c r="AN129" s="58">
        <f ca="1">AVERAGE(OFFSET($AM$3,0,0,'Données projet'!$E$10+1,1))-AVERAGE(OFFSET($H$3,0,0,'Données projet'!$E$10+1,1))</f>
        <v>302.53318056366777</v>
      </c>
      <c r="AO129" s="58">
        <f t="shared" si="90"/>
        <v>318.32262615164541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0.19063541552413513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0.19063541552413513</v>
      </c>
      <c r="AY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9.1000000000003638</v>
      </c>
      <c r="BE129" s="14">
        <f>BD129*VLOOKUP('Données projet'!$B$11,Paramètres!$A$1:$I$89,3,0)*VLOOKUP('Données projet'!$B$11,Paramètres!$A$1:$I$89,5,0)</f>
        <v>7.2399600000002895</v>
      </c>
      <c r="BF129" s="14">
        <f t="shared" si="91"/>
        <v>2.6498112636338633</v>
      </c>
      <c r="BG129" s="22">
        <f t="shared" si="61"/>
        <v>17.224684950829481</v>
      </c>
      <c r="BH129" s="58">
        <f t="shared" si="62"/>
        <v>300.4517201312517</v>
      </c>
      <c r="BI129" s="58">
        <f ca="1">AVERAGE(OFFSET($BH$3,0,0,'Données projet'!$E$11+1,1))-AVERAGE(OFFSET($H$3,0,0,'Données projet'!$E$11+1,1))</f>
        <v>336.25341821407534</v>
      </c>
      <c r="BJ129" s="58">
        <f t="shared" si="92"/>
        <v>360.3246221345039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0.36313426931764464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0.36313426931764464</v>
      </c>
      <c r="BT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projet'!$B$12,Paramètres!$A$1:$I$89,3,0)*VLOOKUP('Données projet'!$B$12,Paramètres!$A$1:$I$89,5,0)</f>
        <v>4.6111381379887463E-14</v>
      </c>
      <c r="CA129" s="14">
        <f t="shared" si="93"/>
        <v>7.5804141040779151E-13</v>
      </c>
      <c r="CB129" s="22">
        <f t="shared" si="64"/>
        <v>1.4005661123635408E-12</v>
      </c>
      <c r="CC129" s="58">
        <f t="shared" si="65"/>
        <v>283.22703518042363</v>
      </c>
      <c r="CD129" s="58">
        <f ca="1">AVERAGE(OFFSET($CC$3,0,0,'Données projet'!$E$12+1,1))-AVERAGE(OFFSET($H$3,0,0,'Données projet'!$E$12+1,1))</f>
        <v>308.58270639204238</v>
      </c>
      <c r="CE129" s="58">
        <f t="shared" si="94"/>
        <v>258.90832875500325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5.4092197387944907E-14</v>
      </c>
      <c r="CV129" s="14">
        <f t="shared" si="95"/>
        <v>8.7287050538073676E-13</v>
      </c>
      <c r="CW129" s="22">
        <f t="shared" si="67"/>
        <v>1.6144600406554537E-12</v>
      </c>
      <c r="CX129" s="58">
        <f t="shared" si="68"/>
        <v>283.2270351804238</v>
      </c>
      <c r="CY129" s="58">
        <f ca="1">AVERAGE(OFFSET($CX$3,0,0,'Données projet'!$E$13+1,1))-AVERAGE(OFFSET($H$3,0,0,'Données projet'!$E$13+1,1))</f>
        <v>397.61813291201469</v>
      </c>
      <c r="CZ129" s="58">
        <f t="shared" si="96"/>
        <v>320.30651625485064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0.22185516534974542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0.22185516534974542</v>
      </c>
      <c r="DJ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58" t="e">
        <f t="shared" si="71"/>
        <v>#N/A</v>
      </c>
      <c r="DT129" s="58" t="e">
        <f ca="1">AVERAGE(OFFSET($DS$3,0,0,'Données projet'!$E$14+1,1))-AVERAGE(OFFSET($H$3,0,0,'Données projet'!$E$14+1,1))</f>
        <v>#N/A</v>
      </c>
      <c r="DU129" s="58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58" t="e">
        <f t="shared" si="74"/>
        <v>#N/A</v>
      </c>
      <c r="EO129" s="58" t="e">
        <f ca="1">AVERAGE(OFFSET($EN$3,0,0,'Données projet'!$E$15+1,1))-AVERAGE(OFFSET($H$3,0,0,'Données projet'!$E$15+1,1))</f>
        <v>#N/A</v>
      </c>
      <c r="EP129" s="58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58" t="e">
        <f t="shared" si="77"/>
        <v>#N/A</v>
      </c>
      <c r="FJ129" s="58" t="e">
        <f ca="1">AVERAGE(OFFSET($FI$3,0,0,'Données projet'!$E$16+1,1))-AVERAGE(OFFSET($H$3,0,0,'Données projet'!$E$16+1,1))</f>
        <v>#N/A</v>
      </c>
      <c r="FK129" s="58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58" t="e">
        <f t="shared" si="80"/>
        <v>#N/A</v>
      </c>
      <c r="GE129" s="58" t="e">
        <f ca="1">AVERAGE(OFFSET($GD$3,0,0,'Données projet'!$E$17+1,1))-AVERAGE(OFFSET($H$3,0,0,'Données projet'!$E$17+1,1))</f>
        <v>#N/A</v>
      </c>
      <c r="GF129" s="58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58" t="e">
        <f t="shared" si="83"/>
        <v>#N/A</v>
      </c>
      <c r="GZ129" s="58" t="e">
        <f ca="1">AVERAGE(OFFSET($GY$3,0,0,'Données projet'!$E$18+1,1))-AVERAGE(OFFSET($H$3,0,0,'Données projet'!$E$18+1,1))</f>
        <v>#N/A</v>
      </c>
      <c r="HA129" s="58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0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3">
        <f t="shared" si="56"/>
        <v>183.33333333333334</v>
      </c>
      <c r="I130" s="6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4.0666666666666664</v>
      </c>
      <c r="N130" s="14">
        <f>IF('Données projet'!$A$36&gt;35,N129+M130-V129,IF(A130&lt;'Données projet'!$A$36,$K$205^A130,IF(A130='Données projet'!$A$36,'Données projet'!$B$36,N129+M130-V129)))</f>
        <v>333.46666666666738</v>
      </c>
      <c r="O130" s="14">
        <f>N130*VLOOKUP('Données projet'!$B$9,Paramètres!$A$1:$I$89,3,0)*VLOOKUP('Données projet'!$B$9,Paramètres!$A$1:$I$89,5,0)</f>
        <v>280.91232000000065</v>
      </c>
      <c r="P130" s="14">
        <f t="shared" si="87"/>
        <v>67.159771806470744</v>
      </c>
      <c r="Q130" s="22">
        <f t="shared" si="107"/>
        <v>606.22555989627097</v>
      </c>
      <c r="R130" s="58">
        <f t="shared" si="55"/>
        <v>889.62791675534845</v>
      </c>
      <c r="S130" s="58">
        <f ca="1">AVERAGE(OFFSET($R$3,0,0,'Données projet'!$E$9+1,1))-AVERAGE(OFFSET($H$3,0,0,'Données projet'!$E$9+1,1))</f>
        <v>527.70171871461309</v>
      </c>
      <c r="T130" s="58">
        <f t="shared" si="88"/>
        <v>281.06176764290592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7.4487616075202823E-14</v>
      </c>
      <c r="AK130" s="14">
        <f t="shared" si="89"/>
        <v>1.1580453144473142E-12</v>
      </c>
      <c r="AL130" s="22">
        <f t="shared" si="58"/>
        <v>2.1466615206600508E-12</v>
      </c>
      <c r="AM130" s="58">
        <f t="shared" si="59"/>
        <v>283.40235685907959</v>
      </c>
      <c r="AN130" s="58">
        <f ca="1">AVERAGE(OFFSET($AM$3,0,0,'Données projet'!$E$10+1,1))-AVERAGE(OFFSET($H$3,0,0,'Données projet'!$E$10+1,1))</f>
        <v>302.53318056366777</v>
      </c>
      <c r="AO130" s="58">
        <f t="shared" si="90"/>
        <v>318.32262615164541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0.18542248006154685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0.18542248006154685</v>
      </c>
      <c r="AY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9.1000000000003638</v>
      </c>
      <c r="BE130" s="14">
        <f>BD130*VLOOKUP('Données projet'!$B$11,Paramètres!$A$1:$I$89,3,0)*VLOOKUP('Données projet'!$B$11,Paramètres!$A$1:$I$89,5,0)</f>
        <v>7.2399600000002895</v>
      </c>
      <c r="BF130" s="14">
        <f t="shared" si="91"/>
        <v>2.6498112636338633</v>
      </c>
      <c r="BG130" s="22">
        <f t="shared" si="61"/>
        <v>17.224684950829481</v>
      </c>
      <c r="BH130" s="58">
        <f t="shared" si="62"/>
        <v>300.62704180990693</v>
      </c>
      <c r="BI130" s="58">
        <f ca="1">AVERAGE(OFFSET($BH$3,0,0,'Données projet'!$E$11+1,1))-AVERAGE(OFFSET($H$3,0,0,'Données projet'!$E$11+1,1))</f>
        <v>336.25341821407534</v>
      </c>
      <c r="BJ130" s="58">
        <f t="shared" si="92"/>
        <v>360.3246221345039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0.3532043436267524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0.3532043436267524</v>
      </c>
      <c r="BT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projet'!$B$12,Paramètres!$A$1:$I$89,3,0)*VLOOKUP('Données projet'!$B$12,Paramètres!$A$1:$I$89,5,0)</f>
        <v>4.6111381379887463E-14</v>
      </c>
      <c r="CA130" s="14">
        <f t="shared" si="93"/>
        <v>7.5804141040779151E-13</v>
      </c>
      <c r="CB130" s="22">
        <f t="shared" si="64"/>
        <v>1.4005661123635408E-12</v>
      </c>
      <c r="CC130" s="58">
        <f t="shared" si="65"/>
        <v>283.40235685907885</v>
      </c>
      <c r="CD130" s="58">
        <f ca="1">AVERAGE(OFFSET($CC$3,0,0,'Données projet'!$E$12+1,1))-AVERAGE(OFFSET($H$3,0,0,'Données projet'!$E$12+1,1))</f>
        <v>308.58270639204238</v>
      </c>
      <c r="CE130" s="58">
        <f t="shared" si="94"/>
        <v>258.90832875500325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5.4092197387944907E-14</v>
      </c>
      <c r="CV130" s="14">
        <f t="shared" si="95"/>
        <v>8.7287050538073676E-13</v>
      </c>
      <c r="CW130" s="22">
        <f t="shared" si="67"/>
        <v>1.6144600406554537E-12</v>
      </c>
      <c r="CX130" s="58">
        <f t="shared" si="68"/>
        <v>283.40235685907902</v>
      </c>
      <c r="CY130" s="58">
        <f ca="1">AVERAGE(OFFSET($CX$3,0,0,'Données projet'!$E$13+1,1))-AVERAGE(OFFSET($H$3,0,0,'Données projet'!$E$13+1,1))</f>
        <v>397.61813291201469</v>
      </c>
      <c r="CZ130" s="58">
        <f t="shared" si="96"/>
        <v>320.30651625485064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0.21578852418640054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0.21578852418640054</v>
      </c>
      <c r="DJ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58" t="e">
        <f t="shared" si="71"/>
        <v>#N/A</v>
      </c>
      <c r="DT130" s="58" t="e">
        <f ca="1">AVERAGE(OFFSET($DS$3,0,0,'Données projet'!$E$14+1,1))-AVERAGE(OFFSET($H$3,0,0,'Données projet'!$E$14+1,1))</f>
        <v>#N/A</v>
      </c>
      <c r="DU130" s="58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58" t="e">
        <f t="shared" si="74"/>
        <v>#N/A</v>
      </c>
      <c r="EO130" s="58" t="e">
        <f ca="1">AVERAGE(OFFSET($EN$3,0,0,'Données projet'!$E$15+1,1))-AVERAGE(OFFSET($H$3,0,0,'Données projet'!$E$15+1,1))</f>
        <v>#N/A</v>
      </c>
      <c r="EP130" s="58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58" t="e">
        <f t="shared" si="77"/>
        <v>#N/A</v>
      </c>
      <c r="FJ130" s="58" t="e">
        <f ca="1">AVERAGE(OFFSET($FI$3,0,0,'Données projet'!$E$16+1,1))-AVERAGE(OFFSET($H$3,0,0,'Données projet'!$E$16+1,1))</f>
        <v>#N/A</v>
      </c>
      <c r="FK130" s="58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58" t="e">
        <f t="shared" si="80"/>
        <v>#N/A</v>
      </c>
      <c r="GE130" s="58" t="e">
        <f ca="1">AVERAGE(OFFSET($GD$3,0,0,'Données projet'!$E$17+1,1))-AVERAGE(OFFSET($H$3,0,0,'Données projet'!$E$17+1,1))</f>
        <v>#N/A</v>
      </c>
      <c r="GF130" s="58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58" t="e">
        <f t="shared" si="83"/>
        <v>#N/A</v>
      </c>
      <c r="GZ130" s="58" t="e">
        <f ca="1">AVERAGE(OFFSET($GY$3,0,0,'Données projet'!$E$18+1,1))-AVERAGE(OFFSET($H$3,0,0,'Données projet'!$E$18+1,1))</f>
        <v>#N/A</v>
      </c>
      <c r="HA130" s="58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0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3">
        <f t="shared" si="56"/>
        <v>183.33333333333334</v>
      </c>
      <c r="I131" s="6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4.0666666666666664</v>
      </c>
      <c r="N131" s="14">
        <f>IF('Données projet'!$A$36&gt;35,N130+M131-V130,IF(A131&lt;'Données projet'!$A$36,$K$205^A131,IF(A131='Données projet'!$A$36,'Données projet'!$B$36,N130+M131-V130)))</f>
        <v>337.53333333333404</v>
      </c>
      <c r="O131" s="14">
        <f>N131*VLOOKUP('Données projet'!$B$9,Paramètres!$A$1:$I$89,3,0)*VLOOKUP('Données projet'!$B$9,Paramètres!$A$1:$I$89,5,0)</f>
        <v>284.33808000000062</v>
      </c>
      <c r="P131" s="14">
        <f t="shared" si="87"/>
        <v>67.882947973242352</v>
      </c>
      <c r="Q131" s="22">
        <f t="shared" ref="Q131:Q153" si="108">(O131+P131)*0.475*44/12</f>
        <v>613.45162372006473</v>
      </c>
      <c r="R131" s="58">
        <f t="shared" ref="R131:R194" si="109">Q131+(I131+J131)*44/12</f>
        <v>897.02626081863332</v>
      </c>
      <c r="S131" s="58">
        <f ca="1">AVERAGE(OFFSET($R$3,0,0,'Données projet'!$E$9+1,1))-AVERAGE(OFFSET($H$3,0,0,'Données projet'!$E$9+1,1))</f>
        <v>527.70171871461309</v>
      </c>
      <c r="T131" s="58">
        <f t="shared" si="88"/>
        <v>281.06176764290592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7.4487616075202823E-14</v>
      </c>
      <c r="AK131" s="14">
        <f t="shared" si="89"/>
        <v>1.1580453144473142E-12</v>
      </c>
      <c r="AL131" s="22">
        <f t="shared" si="58"/>
        <v>2.1466615206600508E-12</v>
      </c>
      <c r="AM131" s="58">
        <f t="shared" si="59"/>
        <v>283.57463709857069</v>
      </c>
      <c r="AN131" s="58">
        <f ca="1">AVERAGE(OFFSET($AM$3,0,0,'Données projet'!$E$10+1,1))-AVERAGE(OFFSET($H$3,0,0,'Données projet'!$E$10+1,1))</f>
        <v>302.53318056366777</v>
      </c>
      <c r="AO131" s="58">
        <f t="shared" si="90"/>
        <v>318.32262615164541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0.18035209259331941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0.18035209259331941</v>
      </c>
      <c r="AY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9.1000000000003638</v>
      </c>
      <c r="BE131" s="14">
        <f>BD131*VLOOKUP('Données projet'!$B$11,Paramètres!$A$1:$I$89,3,0)*VLOOKUP('Données projet'!$B$11,Paramètres!$A$1:$I$89,5,0)</f>
        <v>7.2399600000002895</v>
      </c>
      <c r="BF131" s="14">
        <f t="shared" si="91"/>
        <v>2.6498112636338633</v>
      </c>
      <c r="BG131" s="22">
        <f t="shared" si="61"/>
        <v>17.224684950829481</v>
      </c>
      <c r="BH131" s="58">
        <f t="shared" si="62"/>
        <v>300.79932204939803</v>
      </c>
      <c r="BI131" s="58">
        <f ca="1">AVERAGE(OFFSET($BH$3,0,0,'Données projet'!$E$11+1,1))-AVERAGE(OFFSET($H$3,0,0,'Données projet'!$E$11+1,1))</f>
        <v>336.25341821407534</v>
      </c>
      <c r="BJ131" s="58">
        <f t="shared" si="92"/>
        <v>360.3246221345039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0.34354595227606971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0.34354595227606971</v>
      </c>
      <c r="BT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projet'!$B$12,Paramètres!$A$1:$I$89,3,0)*VLOOKUP('Données projet'!$B$12,Paramètres!$A$1:$I$89,5,0)</f>
        <v>4.6111381379887463E-14</v>
      </c>
      <c r="CA131" s="14">
        <f t="shared" si="93"/>
        <v>7.5804141040779151E-13</v>
      </c>
      <c r="CB131" s="22">
        <f t="shared" si="64"/>
        <v>1.4005661123635408E-12</v>
      </c>
      <c r="CC131" s="58">
        <f t="shared" si="65"/>
        <v>283.57463709856995</v>
      </c>
      <c r="CD131" s="58">
        <f ca="1">AVERAGE(OFFSET($CC$3,0,0,'Données projet'!$E$12+1,1))-AVERAGE(OFFSET($H$3,0,0,'Données projet'!$E$12+1,1))</f>
        <v>308.58270639204238</v>
      </c>
      <c r="CE131" s="58">
        <f t="shared" si="94"/>
        <v>258.90832875500325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5.4092197387944907E-14</v>
      </c>
      <c r="CV131" s="14">
        <f t="shared" si="95"/>
        <v>8.7287050538073676E-13</v>
      </c>
      <c r="CW131" s="22">
        <f t="shared" si="67"/>
        <v>1.6144600406554537E-12</v>
      </c>
      <c r="CX131" s="58">
        <f t="shared" si="68"/>
        <v>283.57463709857012</v>
      </c>
      <c r="CY131" s="58">
        <f ca="1">AVERAGE(OFFSET($CX$3,0,0,'Données projet'!$E$13+1,1))-AVERAGE(OFFSET($H$3,0,0,'Données projet'!$E$13+1,1))</f>
        <v>397.61813291201469</v>
      </c>
      <c r="CZ131" s="58">
        <f t="shared" si="96"/>
        <v>320.30651625485064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0.20988777564469813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0.20988777564469813</v>
      </c>
      <c r="DJ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58" t="e">
        <f t="shared" si="71"/>
        <v>#N/A</v>
      </c>
      <c r="DT131" s="58" t="e">
        <f ca="1">AVERAGE(OFFSET($DS$3,0,0,'Données projet'!$E$14+1,1))-AVERAGE(OFFSET($H$3,0,0,'Données projet'!$E$14+1,1))</f>
        <v>#N/A</v>
      </c>
      <c r="DU131" s="58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58" t="e">
        <f t="shared" si="74"/>
        <v>#N/A</v>
      </c>
      <c r="EO131" s="58" t="e">
        <f ca="1">AVERAGE(OFFSET($EN$3,0,0,'Données projet'!$E$15+1,1))-AVERAGE(OFFSET($H$3,0,0,'Données projet'!$E$15+1,1))</f>
        <v>#N/A</v>
      </c>
      <c r="EP131" s="58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58" t="e">
        <f t="shared" si="77"/>
        <v>#N/A</v>
      </c>
      <c r="FJ131" s="58" t="e">
        <f ca="1">AVERAGE(OFFSET($FI$3,0,0,'Données projet'!$E$16+1,1))-AVERAGE(OFFSET($H$3,0,0,'Données projet'!$E$16+1,1))</f>
        <v>#N/A</v>
      </c>
      <c r="FK131" s="58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58" t="e">
        <f t="shared" si="80"/>
        <v>#N/A</v>
      </c>
      <c r="GE131" s="58" t="e">
        <f ca="1">AVERAGE(OFFSET($GD$3,0,0,'Données projet'!$E$17+1,1))-AVERAGE(OFFSET($H$3,0,0,'Données projet'!$E$17+1,1))</f>
        <v>#N/A</v>
      </c>
      <c r="GF131" s="58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58" t="e">
        <f t="shared" si="83"/>
        <v>#N/A</v>
      </c>
      <c r="GZ131" s="58" t="e">
        <f ca="1">AVERAGE(OFFSET($GY$3,0,0,'Données projet'!$E$18+1,1))-AVERAGE(OFFSET($H$3,0,0,'Données projet'!$E$18+1,1))</f>
        <v>#N/A</v>
      </c>
      <c r="HA131" s="58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0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3">
        <f t="shared" ref="H132:H195" si="110">(B132+E132+F132)*44/12+(C132+D132)*0.475*44/12</f>
        <v>183.33333333333334</v>
      </c>
      <c r="I132" s="6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4.0666666666666664</v>
      </c>
      <c r="N132" s="14">
        <f>IF('Données projet'!$A$36&gt;35,N131+M132-V131,IF(A132&lt;'Données projet'!$A$36,$K$205^A132,IF(A132='Données projet'!$A$36,'Données projet'!$B$36,N131+M132-V131)))</f>
        <v>341.6000000000007</v>
      </c>
      <c r="O132" s="14">
        <f>N132*VLOOKUP('Données projet'!$B$9,Paramètres!$A$1:$I$89,3,0)*VLOOKUP('Données projet'!$B$9,Paramètres!$A$1:$I$89,5,0)</f>
        <v>287.76384000000064</v>
      </c>
      <c r="P132" s="14">
        <f t="shared" si="87"/>
        <v>68.605110635679637</v>
      </c>
      <c r="Q132" s="22">
        <f t="shared" si="108"/>
        <v>620.67592235714312</v>
      </c>
      <c r="R132" s="58">
        <f t="shared" si="109"/>
        <v>904.41985101820842</v>
      </c>
      <c r="S132" s="58">
        <f ca="1">AVERAGE(OFFSET($R$3,0,0,'Données projet'!$E$9+1,1))-AVERAGE(OFFSET($H$3,0,0,'Données projet'!$E$9+1,1))</f>
        <v>527.70171871461309</v>
      </c>
      <c r="T132" s="58">
        <f t="shared" si="88"/>
        <v>281.06176764290592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7.4487616075202823E-14</v>
      </c>
      <c r="AK132" s="14">
        <f t="shared" si="89"/>
        <v>1.1580453144473142E-12</v>
      </c>
      <c r="AL132" s="22">
        <f t="shared" ref="AL132:AL153" si="112">(AJ132+AK132)*0.475*44/12</f>
        <v>2.1466615206600508E-12</v>
      </c>
      <c r="AM132" s="58">
        <f t="shared" ref="AM132:AM195" si="113">AL132+(AD132+AE132)*44/12</f>
        <v>283.74392866106751</v>
      </c>
      <c r="AN132" s="58">
        <f ca="1">AVERAGE(OFFSET($AM$3,0,0,'Données projet'!$E$10+1,1))-AVERAGE(OFFSET($H$3,0,0,'Données projet'!$E$10+1,1))</f>
        <v>302.53318056366777</v>
      </c>
      <c r="AO132" s="58">
        <f t="shared" si="90"/>
        <v>318.32262615164541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0.17542035513705073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0.17542035513705073</v>
      </c>
      <c r="AY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9.1000000000003638</v>
      </c>
      <c r="BE132" s="14">
        <f>BD132*VLOOKUP('Données projet'!$B$11,Paramètres!$A$1:$I$89,3,0)*VLOOKUP('Données projet'!$B$11,Paramètres!$A$1:$I$89,5,0)</f>
        <v>7.2399600000002895</v>
      </c>
      <c r="BF132" s="14">
        <f t="shared" si="91"/>
        <v>2.6498112636338633</v>
      </c>
      <c r="BG132" s="22">
        <f t="shared" ref="BG132:BG153" si="115">(BE132+BF132)*0.475*44/12</f>
        <v>17.224684950829481</v>
      </c>
      <c r="BH132" s="58">
        <f t="shared" ref="BH132:BH195" si="116">BG132+(AY132+AZ132)*44/12</f>
        <v>300.96861361189485</v>
      </c>
      <c r="BI132" s="58">
        <f ca="1">AVERAGE(OFFSET($BH$3,0,0,'Données projet'!$E$11+1,1))-AVERAGE(OFFSET($H$3,0,0,'Données projet'!$E$11+1,1))</f>
        <v>336.25341821407534</v>
      </c>
      <c r="BJ132" s="58">
        <f t="shared" si="92"/>
        <v>360.3246221345039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0.33415167014478414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0.33415167014478414</v>
      </c>
      <c r="BT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projet'!$B$12,Paramètres!$A$1:$I$89,3,0)*VLOOKUP('Données projet'!$B$12,Paramètres!$A$1:$I$89,5,0)</f>
        <v>4.6111381379887463E-14</v>
      </c>
      <c r="CA132" s="14">
        <f t="shared" si="93"/>
        <v>7.5804141040779151E-13</v>
      </c>
      <c r="CB132" s="22">
        <f t="shared" ref="CB132:CB153" si="118">(BZ132+CA132)*0.475*44/12</f>
        <v>1.4005661123635408E-12</v>
      </c>
      <c r="CC132" s="58">
        <f t="shared" ref="CC132:CC195" si="119">CB132+(BT132+BU132)*44/12</f>
        <v>283.74392866106678</v>
      </c>
      <c r="CD132" s="58">
        <f ca="1">AVERAGE(OFFSET($CC$3,0,0,'Données projet'!$E$12+1,1))-AVERAGE(OFFSET($H$3,0,0,'Données projet'!$E$12+1,1))</f>
        <v>308.58270639204238</v>
      </c>
      <c r="CE132" s="58">
        <f t="shared" si="94"/>
        <v>258.90832875500325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5.4092197387944907E-14</v>
      </c>
      <c r="CV132" s="14">
        <f t="shared" si="95"/>
        <v>8.7287050538073676E-13</v>
      </c>
      <c r="CW132" s="22">
        <f t="shared" ref="CW132:CW153" si="121">(CU132+CV132)*0.475*44/12</f>
        <v>1.6144600406554537E-12</v>
      </c>
      <c r="CX132" s="58">
        <f t="shared" ref="CX132:CX195" si="122">CW132+(CO132+CP132)*44/12</f>
        <v>283.74392866106695</v>
      </c>
      <c r="CY132" s="58">
        <f ca="1">AVERAGE(OFFSET($CX$3,0,0,'Données projet'!$E$13+1,1))-AVERAGE(OFFSET($H$3,0,0,'Données projet'!$E$13+1,1))</f>
        <v>397.61813291201469</v>
      </c>
      <c r="CZ132" s="58">
        <f t="shared" si="96"/>
        <v>320.30651625485064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0.20414838338217545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0.20414838338217545</v>
      </c>
      <c r="DJ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58" t="e">
        <f t="shared" ref="DS132:DS195" si="125">DR132+(DJ132+DK132)*44/12</f>
        <v>#N/A</v>
      </c>
      <c r="DT132" s="58" t="e">
        <f ca="1">AVERAGE(OFFSET($DS$3,0,0,'Données projet'!$E$14+1,1))-AVERAGE(OFFSET($H$3,0,0,'Données projet'!$E$14+1,1))</f>
        <v>#N/A</v>
      </c>
      <c r="DU132" s="58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58" t="e">
        <f t="shared" ref="EN132:EN195" si="128">EM132+(EE132+EF132)*44/12</f>
        <v>#N/A</v>
      </c>
      <c r="EO132" s="58" t="e">
        <f ca="1">AVERAGE(OFFSET($EN$3,0,0,'Données projet'!$E$15+1,1))-AVERAGE(OFFSET($H$3,0,0,'Données projet'!$E$15+1,1))</f>
        <v>#N/A</v>
      </c>
      <c r="EP132" s="58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58" t="e">
        <f t="shared" ref="FI132:FI195" si="131">FH132+(EZ132+FA132)*44/12</f>
        <v>#N/A</v>
      </c>
      <c r="FJ132" s="58" t="e">
        <f ca="1">AVERAGE(OFFSET($FI$3,0,0,'Données projet'!$E$16+1,1))-AVERAGE(OFFSET($H$3,0,0,'Données projet'!$E$16+1,1))</f>
        <v>#N/A</v>
      </c>
      <c r="FK132" s="58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58" t="e">
        <f t="shared" ref="GD132:GD195" si="134">GC132+(FU132+FV132)*44/12</f>
        <v>#N/A</v>
      </c>
      <c r="GE132" s="58" t="e">
        <f ca="1">AVERAGE(OFFSET($GD$3,0,0,'Données projet'!$E$17+1,1))-AVERAGE(OFFSET($H$3,0,0,'Données projet'!$E$17+1,1))</f>
        <v>#N/A</v>
      </c>
      <c r="GF132" s="58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58" t="e">
        <f t="shared" ref="GY132:GY195" si="137">GX132+(GP132+GQ132)*44/12</f>
        <v>#N/A</v>
      </c>
      <c r="GZ132" s="58" t="e">
        <f ca="1">AVERAGE(OFFSET($GY$3,0,0,'Données projet'!$E$18+1,1))-AVERAGE(OFFSET($H$3,0,0,'Données projet'!$E$18+1,1))</f>
        <v>#N/A</v>
      </c>
      <c r="HA132" s="58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0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3">
        <f t="shared" si="110"/>
        <v>183.33333333333334</v>
      </c>
      <c r="I133" s="6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4.0666666666666664</v>
      </c>
      <c r="N133" s="14">
        <f>IF('Données projet'!$A$36&gt;35,N132+M133-V132,IF(A133&lt;'Données projet'!$A$36,$K$205^A133,IF(A133='Données projet'!$A$36,'Données projet'!$B$36,N132+M133-V132)))</f>
        <v>345.66666666666737</v>
      </c>
      <c r="O133" s="14">
        <f>N133*VLOOKUP('Données projet'!$B$9,Paramètres!$A$1:$I$89,3,0)*VLOOKUP('Données projet'!$B$9,Paramètres!$A$1:$I$89,5,0)</f>
        <v>291.18960000000061</v>
      </c>
      <c r="P133" s="14">
        <f t="shared" ref="P133:P196" si="141">EXP(-1.0587+0.8836*LN(O133)+0.284)</f>
        <v>69.326273255048761</v>
      </c>
      <c r="Q133" s="22">
        <f t="shared" si="108"/>
        <v>627.89847925254423</v>
      </c>
      <c r="R133" s="58">
        <f t="shared" si="109"/>
        <v>911.80876264597634</v>
      </c>
      <c r="S133" s="58">
        <f ca="1">AVERAGE(OFFSET($R$3,0,0,'Données projet'!$E$9+1,1))-AVERAGE(OFFSET($H$3,0,0,'Données projet'!$E$9+1,1))</f>
        <v>527.70171871461309</v>
      </c>
      <c r="T133" s="58">
        <f t="shared" ref="T133:T196" si="142">$T$3</f>
        <v>281.06176764290592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7.4487616075202823E-14</v>
      </c>
      <c r="AK133" s="14">
        <f t="shared" ref="AK133:AK153" si="143">EXP(-1.0587+0.8836*LN(AJ133)+0.284)</f>
        <v>1.1580453144473142E-12</v>
      </c>
      <c r="AL133" s="22">
        <f t="shared" si="112"/>
        <v>2.1466615206600508E-12</v>
      </c>
      <c r="AM133" s="58">
        <f t="shared" si="113"/>
        <v>283.91028339343427</v>
      </c>
      <c r="AN133" s="58">
        <f ca="1">AVERAGE(OFFSET($AM$3,0,0,'Données projet'!$E$10+1,1))-AVERAGE(OFFSET($H$3,0,0,'Données projet'!$E$10+1,1))</f>
        <v>302.53318056366777</v>
      </c>
      <c r="AO133" s="58">
        <f t="shared" ref="AO133:AO196" si="144">$AO$3</f>
        <v>318.32262615164541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0.17062347630087255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0.17062347630087255</v>
      </c>
      <c r="AY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9.1000000000003638</v>
      </c>
      <c r="BE133" s="14">
        <f>BD133*VLOOKUP('Données projet'!$B$11,Paramètres!$A$1:$I$89,3,0)*VLOOKUP('Données projet'!$B$11,Paramètres!$A$1:$I$89,5,0)</f>
        <v>7.2399600000002895</v>
      </c>
      <c r="BF133" s="14">
        <f t="shared" ref="BF133:BF153" si="145">EXP(-1.0587+0.8836*LN(BE133)+0.284)</f>
        <v>2.6498112636338633</v>
      </c>
      <c r="BG133" s="22">
        <f t="shared" si="115"/>
        <v>17.224684950829481</v>
      </c>
      <c r="BH133" s="58">
        <f t="shared" si="116"/>
        <v>301.13496834426161</v>
      </c>
      <c r="BI133" s="58">
        <f ca="1">AVERAGE(OFFSET($BH$3,0,0,'Données projet'!$E$11+1,1))-AVERAGE(OFFSET($H$3,0,0,'Données projet'!$E$11+1,1))</f>
        <v>336.25341821407534</v>
      </c>
      <c r="BJ133" s="58">
        <f t="shared" ref="BJ133:BJ196" si="146">$BJ$3</f>
        <v>360.3246221345039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0.32501427515240239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0.32501427515240239</v>
      </c>
      <c r="BT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projet'!$B$12,Paramètres!$A$1:$I$89,3,0)*VLOOKUP('Données projet'!$B$12,Paramètres!$A$1:$I$89,5,0)</f>
        <v>4.6111381379887463E-14</v>
      </c>
      <c r="CA133" s="14">
        <f t="shared" ref="CA133:CA153" si="147">EXP(-1.0587+0.8836*LN(BZ133)+0.284)</f>
        <v>7.5804141040779151E-13</v>
      </c>
      <c r="CB133" s="22">
        <f t="shared" si="118"/>
        <v>1.4005661123635408E-12</v>
      </c>
      <c r="CC133" s="58">
        <f t="shared" si="119"/>
        <v>283.91028339343353</v>
      </c>
      <c r="CD133" s="58">
        <f ca="1">AVERAGE(OFFSET($CC$3,0,0,'Données projet'!$E$12+1,1))-AVERAGE(OFFSET($H$3,0,0,'Données projet'!$E$12+1,1))</f>
        <v>308.58270639204238</v>
      </c>
      <c r="CE133" s="58">
        <f t="shared" ref="CE133:CE196" si="148">$CE$3</f>
        <v>258.90832875500325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5.4092197387944907E-14</v>
      </c>
      <c r="CV133" s="14">
        <f t="shared" ref="CV133:CV153" si="149">EXP(-1.0587+0.8836*LN(CU133)+0.284)</f>
        <v>8.7287050538073676E-13</v>
      </c>
      <c r="CW133" s="22">
        <f t="shared" si="121"/>
        <v>1.6144600406554537E-12</v>
      </c>
      <c r="CX133" s="58">
        <f t="shared" si="122"/>
        <v>283.9102833934337</v>
      </c>
      <c r="CY133" s="58">
        <f ca="1">AVERAGE(OFFSET($CX$3,0,0,'Données projet'!$E$13+1,1))-AVERAGE(OFFSET($H$3,0,0,'Données projet'!$E$13+1,1))</f>
        <v>397.61813291201469</v>
      </c>
      <c r="CZ133" s="58">
        <f t="shared" ref="CZ133:CZ196" si="150">$CZ$3</f>
        <v>320.30651625485064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0.19856593510289297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0.19856593510289297</v>
      </c>
      <c r="DJ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58" t="e">
        <f t="shared" si="125"/>
        <v>#N/A</v>
      </c>
      <c r="DT133" s="58" t="e">
        <f ca="1">AVERAGE(OFFSET($DS$3,0,0,'Données projet'!$E$14+1,1))-AVERAGE(OFFSET($H$3,0,0,'Données projet'!$E$14+1,1))</f>
        <v>#N/A</v>
      </c>
      <c r="DU133" s="58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58" t="e">
        <f t="shared" si="128"/>
        <v>#N/A</v>
      </c>
      <c r="EO133" s="58" t="e">
        <f ca="1">AVERAGE(OFFSET($EN$3,0,0,'Données projet'!$E$15+1,1))-AVERAGE(OFFSET($H$3,0,0,'Données projet'!$E$15+1,1))</f>
        <v>#N/A</v>
      </c>
      <c r="EP133" s="58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58" t="e">
        <f t="shared" si="131"/>
        <v>#N/A</v>
      </c>
      <c r="FJ133" s="58" t="e">
        <f ca="1">AVERAGE(OFFSET($FI$3,0,0,'Données projet'!$E$16+1,1))-AVERAGE(OFFSET($H$3,0,0,'Données projet'!$E$16+1,1))</f>
        <v>#N/A</v>
      </c>
      <c r="FK133" s="58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58" t="e">
        <f t="shared" si="134"/>
        <v>#N/A</v>
      </c>
      <c r="GE133" s="58" t="e">
        <f ca="1">AVERAGE(OFFSET($GD$3,0,0,'Données projet'!$E$17+1,1))-AVERAGE(OFFSET($H$3,0,0,'Données projet'!$E$17+1,1))</f>
        <v>#N/A</v>
      </c>
      <c r="GF133" s="58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58" t="e">
        <f t="shared" si="137"/>
        <v>#N/A</v>
      </c>
      <c r="GZ133" s="58" t="e">
        <f ca="1">AVERAGE(OFFSET($GY$3,0,0,'Données projet'!$E$18+1,1))-AVERAGE(OFFSET($H$3,0,0,'Données projet'!$E$18+1,1))</f>
        <v>#N/A</v>
      </c>
      <c r="HA133" s="58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0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3">
        <f t="shared" si="110"/>
        <v>183.33333333333334</v>
      </c>
      <c r="I134" s="6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4.0666666666666664</v>
      </c>
      <c r="N134" s="14">
        <f>IF('Données projet'!$A$36&gt;35,N133+M134-V133,IF(A134&lt;'Données projet'!$A$36,$K$205^A134,IF(A134='Données projet'!$A$36,'Données projet'!$B$36,N133+M134-V133)))</f>
        <v>349.73333333333403</v>
      </c>
      <c r="O134" s="14">
        <f>N134*VLOOKUP('Données projet'!$B$9,Paramètres!$A$1:$I$89,3,0)*VLOOKUP('Données projet'!$B$9,Paramètres!$A$1:$I$89,5,0)</f>
        <v>294.61536000000063</v>
      </c>
      <c r="P134" s="14">
        <f t="shared" si="141"/>
        <v>70.046448957652615</v>
      </c>
      <c r="Q134" s="22">
        <f t="shared" si="108"/>
        <v>635.11931726791272</v>
      </c>
      <c r="R134" s="58">
        <f t="shared" si="109"/>
        <v>919.19306951101839</v>
      </c>
      <c r="S134" s="58">
        <f ca="1">AVERAGE(OFFSET($R$3,0,0,'Données projet'!$E$9+1,1))-AVERAGE(OFFSET($H$3,0,0,'Données projet'!$E$9+1,1))</f>
        <v>527.70171871461309</v>
      </c>
      <c r="T134" s="58">
        <f t="shared" si="142"/>
        <v>281.06176764290592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7.4487616075202823E-14</v>
      </c>
      <c r="AK134" s="14">
        <f t="shared" si="143"/>
        <v>1.1580453144473142E-12</v>
      </c>
      <c r="AL134" s="22">
        <f t="shared" si="112"/>
        <v>2.1466615206600508E-12</v>
      </c>
      <c r="AM134" s="58">
        <f t="shared" si="113"/>
        <v>284.07375224310789</v>
      </c>
      <c r="AN134" s="58">
        <f ca="1">AVERAGE(OFFSET($AM$3,0,0,'Données projet'!$E$10+1,1))-AVERAGE(OFFSET($H$3,0,0,'Données projet'!$E$10+1,1))</f>
        <v>302.53318056366777</v>
      </c>
      <c r="AO134" s="58">
        <f t="shared" si="144"/>
        <v>318.32262615164541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0.16595776836872653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0.16595776836872653</v>
      </c>
      <c r="AY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9.1000000000003638</v>
      </c>
      <c r="BE134" s="14">
        <f>BD134*VLOOKUP('Données projet'!$B$11,Paramètres!$A$1:$I$89,3,0)*VLOOKUP('Données projet'!$B$11,Paramètres!$A$1:$I$89,5,0)</f>
        <v>7.2399600000002895</v>
      </c>
      <c r="BF134" s="14">
        <f t="shared" si="145"/>
        <v>2.6498112636338633</v>
      </c>
      <c r="BG134" s="22">
        <f t="shared" si="115"/>
        <v>17.224684950829481</v>
      </c>
      <c r="BH134" s="58">
        <f t="shared" si="116"/>
        <v>301.29843719393523</v>
      </c>
      <c r="BI134" s="58">
        <f ca="1">AVERAGE(OFFSET($BH$3,0,0,'Données projet'!$E$11+1,1))-AVERAGE(OFFSET($H$3,0,0,'Données projet'!$E$11+1,1))</f>
        <v>336.25341821407534</v>
      </c>
      <c r="BJ134" s="58">
        <f t="shared" si="146"/>
        <v>360.3246221345039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0.31612674270660207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0.31612674270660207</v>
      </c>
      <c r="BT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projet'!$B$12,Paramètres!$A$1:$I$89,3,0)*VLOOKUP('Données projet'!$B$12,Paramètres!$A$1:$I$89,5,0)</f>
        <v>4.6111381379887463E-14</v>
      </c>
      <c r="CA134" s="14">
        <f t="shared" si="147"/>
        <v>7.5804141040779151E-13</v>
      </c>
      <c r="CB134" s="22">
        <f t="shared" si="118"/>
        <v>1.4005661123635408E-12</v>
      </c>
      <c r="CC134" s="58">
        <f t="shared" si="119"/>
        <v>284.07375224310715</v>
      </c>
      <c r="CD134" s="58">
        <f ca="1">AVERAGE(OFFSET($CC$3,0,0,'Données projet'!$E$12+1,1))-AVERAGE(OFFSET($H$3,0,0,'Données projet'!$E$12+1,1))</f>
        <v>308.58270639204238</v>
      </c>
      <c r="CE134" s="58">
        <f t="shared" si="148"/>
        <v>258.90832875500325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5.4092197387944907E-14</v>
      </c>
      <c r="CV134" s="14">
        <f t="shared" si="149"/>
        <v>8.7287050538073676E-13</v>
      </c>
      <c r="CW134" s="22">
        <f t="shared" si="121"/>
        <v>1.6144600406554537E-12</v>
      </c>
      <c r="CX134" s="58">
        <f t="shared" si="122"/>
        <v>284.07375224310732</v>
      </c>
      <c r="CY134" s="58">
        <f ca="1">AVERAGE(OFFSET($CX$3,0,0,'Données projet'!$E$13+1,1))-AVERAGE(OFFSET($H$3,0,0,'Données projet'!$E$13+1,1))</f>
        <v>397.61813291201469</v>
      </c>
      <c r="CZ134" s="58">
        <f t="shared" si="150"/>
        <v>320.30651625485064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0.19313613916537567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0.19313613916537567</v>
      </c>
      <c r="DJ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58" t="e">
        <f t="shared" si="125"/>
        <v>#N/A</v>
      </c>
      <c r="DT134" s="58" t="e">
        <f ca="1">AVERAGE(OFFSET($DS$3,0,0,'Données projet'!$E$14+1,1))-AVERAGE(OFFSET($H$3,0,0,'Données projet'!$E$14+1,1))</f>
        <v>#N/A</v>
      </c>
      <c r="DU134" s="58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58" t="e">
        <f t="shared" si="128"/>
        <v>#N/A</v>
      </c>
      <c r="EO134" s="58" t="e">
        <f ca="1">AVERAGE(OFFSET($EN$3,0,0,'Données projet'!$E$15+1,1))-AVERAGE(OFFSET($H$3,0,0,'Données projet'!$E$15+1,1))</f>
        <v>#N/A</v>
      </c>
      <c r="EP134" s="58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58" t="e">
        <f t="shared" si="131"/>
        <v>#N/A</v>
      </c>
      <c r="FJ134" s="58" t="e">
        <f ca="1">AVERAGE(OFFSET($FI$3,0,0,'Données projet'!$E$16+1,1))-AVERAGE(OFFSET($H$3,0,0,'Données projet'!$E$16+1,1))</f>
        <v>#N/A</v>
      </c>
      <c r="FK134" s="58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58" t="e">
        <f t="shared" si="134"/>
        <v>#N/A</v>
      </c>
      <c r="GE134" s="58" t="e">
        <f ca="1">AVERAGE(OFFSET($GD$3,0,0,'Données projet'!$E$17+1,1))-AVERAGE(OFFSET($H$3,0,0,'Données projet'!$E$17+1,1))</f>
        <v>#N/A</v>
      </c>
      <c r="GF134" s="58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58" t="e">
        <f t="shared" si="137"/>
        <v>#N/A</v>
      </c>
      <c r="GZ134" s="58" t="e">
        <f ca="1">AVERAGE(OFFSET($GY$3,0,0,'Données projet'!$E$18+1,1))-AVERAGE(OFFSET($H$3,0,0,'Données projet'!$E$18+1,1))</f>
        <v>#N/A</v>
      </c>
      <c r="HA134" s="58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0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3">
        <f t="shared" si="110"/>
        <v>183.33333333333334</v>
      </c>
      <c r="I135" s="6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4.0666666666666664</v>
      </c>
      <c r="N135" s="14">
        <f>IF('Données projet'!$A$36&gt;35,N134+M135-V134,IF(A135&lt;'Données projet'!$A$36,$K$205^A135,IF(A135='Données projet'!$A$36,'Données projet'!$B$36,N134+M135-V134)))</f>
        <v>353.80000000000069</v>
      </c>
      <c r="O135" s="14">
        <f>N135*VLOOKUP('Données projet'!$B$9,Paramètres!$A$1:$I$89,3,0)*VLOOKUP('Données projet'!$B$9,Paramètres!$A$1:$I$89,5,0)</f>
        <v>298.0411200000006</v>
      </c>
      <c r="P135" s="14">
        <f t="shared" si="141"/>
        <v>70.765650546961581</v>
      </c>
      <c r="Q135" s="22">
        <f t="shared" si="108"/>
        <v>642.33845870262587</v>
      </c>
      <c r="R135" s="58">
        <f t="shared" si="109"/>
        <v>926.57284397632498</v>
      </c>
      <c r="S135" s="58">
        <f ca="1">AVERAGE(OFFSET($R$3,0,0,'Données projet'!$E$9+1,1))-AVERAGE(OFFSET($H$3,0,0,'Données projet'!$E$9+1,1))</f>
        <v>527.70171871461309</v>
      </c>
      <c r="T135" s="58">
        <f t="shared" si="142"/>
        <v>281.06176764290592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7.4487616075202823E-14</v>
      </c>
      <c r="AK135" s="14">
        <f t="shared" si="143"/>
        <v>1.1580453144473142E-12</v>
      </c>
      <c r="AL135" s="22">
        <f t="shared" si="112"/>
        <v>2.1466615206600508E-12</v>
      </c>
      <c r="AM135" s="58">
        <f t="shared" si="113"/>
        <v>284.23438527370132</v>
      </c>
      <c r="AN135" s="58">
        <f ca="1">AVERAGE(OFFSET($AM$3,0,0,'Données projet'!$E$10+1,1))-AVERAGE(OFFSET($H$3,0,0,'Données projet'!$E$10+1,1))</f>
        <v>302.53318056366777</v>
      </c>
      <c r="AO135" s="58">
        <f t="shared" si="144"/>
        <v>318.32262615164541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0.16141964446534396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0.16141964446534396</v>
      </c>
      <c r="AY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9.1000000000003638</v>
      </c>
      <c r="BE135" s="14">
        <f>BD135*VLOOKUP('Données projet'!$B$11,Paramètres!$A$1:$I$89,3,0)*VLOOKUP('Données projet'!$B$11,Paramètres!$A$1:$I$89,5,0)</f>
        <v>7.2399600000002895</v>
      </c>
      <c r="BF135" s="14">
        <f t="shared" si="145"/>
        <v>2.6498112636338633</v>
      </c>
      <c r="BG135" s="22">
        <f t="shared" si="115"/>
        <v>17.224684950829481</v>
      </c>
      <c r="BH135" s="58">
        <f t="shared" si="116"/>
        <v>301.45907022452866</v>
      </c>
      <c r="BI135" s="58">
        <f ca="1">AVERAGE(OFFSET($BH$3,0,0,'Données projet'!$E$11+1,1))-AVERAGE(OFFSET($H$3,0,0,'Données projet'!$E$11+1,1))</f>
        <v>336.25341821407534</v>
      </c>
      <c r="BJ135" s="58">
        <f t="shared" si="146"/>
        <v>360.3246221345039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0.30748224030290716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0.30748224030290716</v>
      </c>
      <c r="BT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projet'!$B$12,Paramètres!$A$1:$I$89,3,0)*VLOOKUP('Données projet'!$B$12,Paramètres!$A$1:$I$89,5,0)</f>
        <v>4.6111381379887463E-14</v>
      </c>
      <c r="CA135" s="14">
        <f t="shared" si="147"/>
        <v>7.5804141040779151E-13</v>
      </c>
      <c r="CB135" s="22">
        <f t="shared" si="118"/>
        <v>1.4005661123635408E-12</v>
      </c>
      <c r="CC135" s="58">
        <f t="shared" si="119"/>
        <v>284.23438527370058</v>
      </c>
      <c r="CD135" s="58">
        <f ca="1">AVERAGE(OFFSET($CC$3,0,0,'Données projet'!$E$12+1,1))-AVERAGE(OFFSET($H$3,0,0,'Données projet'!$E$12+1,1))</f>
        <v>308.58270639204238</v>
      </c>
      <c r="CE135" s="58">
        <f t="shared" si="148"/>
        <v>258.90832875500325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5.4092197387944907E-14</v>
      </c>
      <c r="CV135" s="14">
        <f t="shared" si="149"/>
        <v>8.7287050538073676E-13</v>
      </c>
      <c r="CW135" s="22">
        <f t="shared" si="121"/>
        <v>1.6144600406554537E-12</v>
      </c>
      <c r="CX135" s="58">
        <f t="shared" si="122"/>
        <v>284.23438527370075</v>
      </c>
      <c r="CY135" s="58">
        <f ca="1">AVERAGE(OFFSET($CX$3,0,0,'Données projet'!$E$13+1,1))-AVERAGE(OFFSET($H$3,0,0,'Données projet'!$E$13+1,1))</f>
        <v>397.61813291201469</v>
      </c>
      <c r="CZ135" s="58">
        <f t="shared" si="150"/>
        <v>320.30651625485064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0.18785482128331032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0.18785482128331032</v>
      </c>
      <c r="DJ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58" t="e">
        <f t="shared" si="125"/>
        <v>#N/A</v>
      </c>
      <c r="DT135" s="58" t="e">
        <f ca="1">AVERAGE(OFFSET($DS$3,0,0,'Données projet'!$E$14+1,1))-AVERAGE(OFFSET($H$3,0,0,'Données projet'!$E$14+1,1))</f>
        <v>#N/A</v>
      </c>
      <c r="DU135" s="58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58" t="e">
        <f t="shared" si="128"/>
        <v>#N/A</v>
      </c>
      <c r="EO135" s="58" t="e">
        <f ca="1">AVERAGE(OFFSET($EN$3,0,0,'Données projet'!$E$15+1,1))-AVERAGE(OFFSET($H$3,0,0,'Données projet'!$E$15+1,1))</f>
        <v>#N/A</v>
      </c>
      <c r="EP135" s="58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58" t="e">
        <f t="shared" si="131"/>
        <v>#N/A</v>
      </c>
      <c r="FJ135" s="58" t="e">
        <f ca="1">AVERAGE(OFFSET($FI$3,0,0,'Données projet'!$E$16+1,1))-AVERAGE(OFFSET($H$3,0,0,'Données projet'!$E$16+1,1))</f>
        <v>#N/A</v>
      </c>
      <c r="FK135" s="58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58" t="e">
        <f t="shared" si="134"/>
        <v>#N/A</v>
      </c>
      <c r="GE135" s="58" t="e">
        <f ca="1">AVERAGE(OFFSET($GD$3,0,0,'Données projet'!$E$17+1,1))-AVERAGE(OFFSET($H$3,0,0,'Données projet'!$E$17+1,1))</f>
        <v>#N/A</v>
      </c>
      <c r="GF135" s="58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58" t="e">
        <f t="shared" si="137"/>
        <v>#N/A</v>
      </c>
      <c r="GZ135" s="58" t="e">
        <f ca="1">AVERAGE(OFFSET($GY$3,0,0,'Données projet'!$E$18+1,1))-AVERAGE(OFFSET($H$3,0,0,'Données projet'!$E$18+1,1))</f>
        <v>#N/A</v>
      </c>
      <c r="HA135" s="58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0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3">
        <f t="shared" si="110"/>
        <v>183.33333333333334</v>
      </c>
      <c r="I136" s="6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4.0666666666666664</v>
      </c>
      <c r="N136" s="14">
        <f>IF('Données projet'!$A$36&gt;35,N135+M136-V135,IF(A136&lt;'Données projet'!$A$36,$K$205^A136,IF(A136='Données projet'!$A$36,'Données projet'!$B$36,N135+M136-V135)))</f>
        <v>357.86666666666736</v>
      </c>
      <c r="O136" s="14">
        <f>N136*VLOOKUP('Données projet'!$B$9,Paramètres!$A$1:$I$89,3,0)*VLOOKUP('Données projet'!$B$9,Paramètres!$A$1:$I$89,5,0)</f>
        <v>301.46688000000063</v>
      </c>
      <c r="P136" s="14">
        <f t="shared" si="141"/>
        <v>71.483890515171453</v>
      </c>
      <c r="Q136" s="22">
        <f t="shared" si="108"/>
        <v>649.5559253139246</v>
      </c>
      <c r="R136" s="58">
        <f t="shared" si="109"/>
        <v>933.94815699425794</v>
      </c>
      <c r="S136" s="58">
        <f ca="1">AVERAGE(OFFSET($R$3,0,0,'Données projet'!$E$9+1,1))-AVERAGE(OFFSET($H$3,0,0,'Données projet'!$E$9+1,1))</f>
        <v>527.70171871461309</v>
      </c>
      <c r="T136" s="58">
        <f t="shared" si="142"/>
        <v>281.06176764290592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7.4487616075202823E-14</v>
      </c>
      <c r="AK136" s="14">
        <f t="shared" si="143"/>
        <v>1.1580453144473142E-12</v>
      </c>
      <c r="AL136" s="22">
        <f t="shared" si="112"/>
        <v>2.1466615206600508E-12</v>
      </c>
      <c r="AM136" s="58">
        <f t="shared" si="113"/>
        <v>284.39223168033556</v>
      </c>
      <c r="AN136" s="58">
        <f ca="1">AVERAGE(OFFSET($AM$3,0,0,'Données projet'!$E$10+1,1))-AVERAGE(OFFSET($H$3,0,0,'Données projet'!$E$10+1,1))</f>
        <v>302.53318056366777</v>
      </c>
      <c r="AO136" s="58">
        <f t="shared" si="144"/>
        <v>318.32262615164541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0.15700561579874894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0.15700561579874894</v>
      </c>
      <c r="AY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9.1000000000003638</v>
      </c>
      <c r="BE136" s="14">
        <f>BD136*VLOOKUP('Données projet'!$B$11,Paramètres!$A$1:$I$89,3,0)*VLOOKUP('Données projet'!$B$11,Paramètres!$A$1:$I$89,5,0)</f>
        <v>7.2399600000002895</v>
      </c>
      <c r="BF136" s="14">
        <f t="shared" si="145"/>
        <v>2.6498112636338633</v>
      </c>
      <c r="BG136" s="22">
        <f t="shared" si="115"/>
        <v>17.224684950829481</v>
      </c>
      <c r="BH136" s="58">
        <f t="shared" si="116"/>
        <v>301.61691663116289</v>
      </c>
      <c r="BI136" s="58">
        <f ca="1">AVERAGE(OFFSET($BH$3,0,0,'Données projet'!$E$11+1,1))-AVERAGE(OFFSET($H$3,0,0,'Données projet'!$E$11+1,1))</f>
        <v>336.25341821407534</v>
      </c>
      <c r="BJ136" s="58">
        <f t="shared" si="146"/>
        <v>360.3246221345039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0.29907412227203589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0.29907412227203589</v>
      </c>
      <c r="BT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projet'!$B$12,Paramètres!$A$1:$I$89,3,0)*VLOOKUP('Données projet'!$B$12,Paramètres!$A$1:$I$89,5,0)</f>
        <v>4.6111381379887463E-14</v>
      </c>
      <c r="CA136" s="14">
        <f t="shared" si="147"/>
        <v>7.5804141040779151E-13</v>
      </c>
      <c r="CB136" s="22">
        <f t="shared" si="118"/>
        <v>1.4005661123635408E-12</v>
      </c>
      <c r="CC136" s="58">
        <f t="shared" si="119"/>
        <v>284.39223168033482</v>
      </c>
      <c r="CD136" s="58">
        <f ca="1">AVERAGE(OFFSET($CC$3,0,0,'Données projet'!$E$12+1,1))-AVERAGE(OFFSET($H$3,0,0,'Données projet'!$E$12+1,1))</f>
        <v>308.58270639204238</v>
      </c>
      <c r="CE136" s="58">
        <f t="shared" si="148"/>
        <v>258.90832875500325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5.4092197387944907E-14</v>
      </c>
      <c r="CV136" s="14">
        <f t="shared" si="149"/>
        <v>8.7287050538073676E-13</v>
      </c>
      <c r="CW136" s="22">
        <f t="shared" si="121"/>
        <v>1.6144600406554537E-12</v>
      </c>
      <c r="CX136" s="58">
        <f t="shared" si="122"/>
        <v>284.39223168033499</v>
      </c>
      <c r="CY136" s="58">
        <f ca="1">AVERAGE(OFFSET($CX$3,0,0,'Données projet'!$E$13+1,1))-AVERAGE(OFFSET($H$3,0,0,'Données projet'!$E$13+1,1))</f>
        <v>397.61813291201469</v>
      </c>
      <c r="CZ136" s="58">
        <f t="shared" si="150"/>
        <v>320.30651625485064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0.1827179213164625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0.1827179213164625</v>
      </c>
      <c r="DJ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58" t="e">
        <f t="shared" si="125"/>
        <v>#N/A</v>
      </c>
      <c r="DT136" s="58" t="e">
        <f ca="1">AVERAGE(OFFSET($DS$3,0,0,'Données projet'!$E$14+1,1))-AVERAGE(OFFSET($H$3,0,0,'Données projet'!$E$14+1,1))</f>
        <v>#N/A</v>
      </c>
      <c r="DU136" s="58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58" t="e">
        <f t="shared" si="128"/>
        <v>#N/A</v>
      </c>
      <c r="EO136" s="58" t="e">
        <f ca="1">AVERAGE(OFFSET($EN$3,0,0,'Données projet'!$E$15+1,1))-AVERAGE(OFFSET($H$3,0,0,'Données projet'!$E$15+1,1))</f>
        <v>#N/A</v>
      </c>
      <c r="EP136" s="58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58" t="e">
        <f t="shared" si="131"/>
        <v>#N/A</v>
      </c>
      <c r="FJ136" s="58" t="e">
        <f ca="1">AVERAGE(OFFSET($FI$3,0,0,'Données projet'!$E$16+1,1))-AVERAGE(OFFSET($H$3,0,0,'Données projet'!$E$16+1,1))</f>
        <v>#N/A</v>
      </c>
      <c r="FK136" s="58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58" t="e">
        <f t="shared" si="134"/>
        <v>#N/A</v>
      </c>
      <c r="GE136" s="58" t="e">
        <f ca="1">AVERAGE(OFFSET($GD$3,0,0,'Données projet'!$E$17+1,1))-AVERAGE(OFFSET($H$3,0,0,'Données projet'!$E$17+1,1))</f>
        <v>#N/A</v>
      </c>
      <c r="GF136" s="58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58" t="e">
        <f t="shared" si="137"/>
        <v>#N/A</v>
      </c>
      <c r="GZ136" s="58" t="e">
        <f ca="1">AVERAGE(OFFSET($GY$3,0,0,'Données projet'!$E$18+1,1))-AVERAGE(OFFSET($H$3,0,0,'Données projet'!$E$18+1,1))</f>
        <v>#N/A</v>
      </c>
      <c r="HA136" s="58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0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3">
        <f t="shared" si="110"/>
        <v>183.33333333333334</v>
      </c>
      <c r="I137" s="6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4.0666666666666664</v>
      </c>
      <c r="N137" s="14">
        <f>IF('Données projet'!$A$36&gt;35,N136+M137-V136,IF(A137&lt;'Données projet'!$A$36,$K$205^A137,IF(A137='Données projet'!$A$36,'Données projet'!$B$36,N136+M137-V136)))</f>
        <v>361.93333333333402</v>
      </c>
      <c r="O137" s="14">
        <f>N137*VLOOKUP('Données projet'!$B$9,Paramètres!$A$1:$I$89,3,0)*VLOOKUP('Données projet'!$B$9,Paramètres!$A$1:$I$89,5,0)</f>
        <v>304.8926400000006</v>
      </c>
      <c r="P137" s="14">
        <f t="shared" si="141"/>
        <v>72.201181054219759</v>
      </c>
      <c r="Q137" s="22">
        <f t="shared" si="108"/>
        <v>656.7717383361005</v>
      </c>
      <c r="R137" s="58">
        <f t="shared" si="109"/>
        <v>941.31907814080478</v>
      </c>
      <c r="S137" s="58">
        <f ca="1">AVERAGE(OFFSET($R$3,0,0,'Données projet'!$E$9+1,1))-AVERAGE(OFFSET($H$3,0,0,'Données projet'!$E$9+1,1))</f>
        <v>527.70171871461309</v>
      </c>
      <c r="T137" s="58">
        <f t="shared" si="142"/>
        <v>281.06176764290592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7.4487616075202823E-14</v>
      </c>
      <c r="AK137" s="14">
        <f t="shared" si="143"/>
        <v>1.1580453144473142E-12</v>
      </c>
      <c r="AL137" s="22">
        <f t="shared" si="112"/>
        <v>2.1466615206600508E-12</v>
      </c>
      <c r="AM137" s="58">
        <f t="shared" si="113"/>
        <v>284.54733980470644</v>
      </c>
      <c r="AN137" s="58">
        <f ca="1">AVERAGE(OFFSET($AM$3,0,0,'Données projet'!$E$10+1,1))-AVERAGE(OFFSET($H$3,0,0,'Données projet'!$E$10+1,1))</f>
        <v>302.53318056366777</v>
      </c>
      <c r="AO137" s="58">
        <f t="shared" si="144"/>
        <v>318.32262615164541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0.15271228897816566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0.15271228897816566</v>
      </c>
      <c r="AY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9.1000000000003638</v>
      </c>
      <c r="BE137" s="14">
        <f>BD137*VLOOKUP('Données projet'!$B$11,Paramètres!$A$1:$I$89,3,0)*VLOOKUP('Données projet'!$B$11,Paramètres!$A$1:$I$89,5,0)</f>
        <v>7.2399600000002895</v>
      </c>
      <c r="BF137" s="14">
        <f t="shared" si="145"/>
        <v>2.6498112636338633</v>
      </c>
      <c r="BG137" s="22">
        <f t="shared" si="115"/>
        <v>17.224684950829481</v>
      </c>
      <c r="BH137" s="58">
        <f t="shared" si="116"/>
        <v>301.77202475553378</v>
      </c>
      <c r="BI137" s="58">
        <f ca="1">AVERAGE(OFFSET($BH$3,0,0,'Données projet'!$E$11+1,1))-AVERAGE(OFFSET($H$3,0,0,'Données projet'!$E$11+1,1))</f>
        <v>336.25341821407534</v>
      </c>
      <c r="BJ137" s="58">
        <f t="shared" si="146"/>
        <v>360.3246221345039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0.29089592467088254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0.29089592467088254</v>
      </c>
      <c r="BT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projet'!$B$12,Paramètres!$A$1:$I$89,3,0)*VLOOKUP('Données projet'!$B$12,Paramètres!$A$1:$I$89,5,0)</f>
        <v>4.6111381379887463E-14</v>
      </c>
      <c r="CA137" s="14">
        <f t="shared" si="147"/>
        <v>7.5804141040779151E-13</v>
      </c>
      <c r="CB137" s="22">
        <f t="shared" si="118"/>
        <v>1.4005661123635408E-12</v>
      </c>
      <c r="CC137" s="58">
        <f t="shared" si="119"/>
        <v>284.5473398047057</v>
      </c>
      <c r="CD137" s="58">
        <f ca="1">AVERAGE(OFFSET($CC$3,0,0,'Données projet'!$E$12+1,1))-AVERAGE(OFFSET($H$3,0,0,'Données projet'!$E$12+1,1))</f>
        <v>308.58270639204238</v>
      </c>
      <c r="CE137" s="58">
        <f t="shared" si="148"/>
        <v>258.90832875500325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5.4092197387944907E-14</v>
      </c>
      <c r="CV137" s="14">
        <f t="shared" si="149"/>
        <v>8.7287050538073676E-13</v>
      </c>
      <c r="CW137" s="22">
        <f t="shared" si="121"/>
        <v>1.6144600406554537E-12</v>
      </c>
      <c r="CX137" s="58">
        <f t="shared" si="122"/>
        <v>284.54733980470587</v>
      </c>
      <c r="CY137" s="58">
        <f ca="1">AVERAGE(OFFSET($CX$3,0,0,'Données projet'!$E$13+1,1))-AVERAGE(OFFSET($H$3,0,0,'Données projet'!$E$13+1,1))</f>
        <v>397.61813291201469</v>
      </c>
      <c r="CZ137" s="58">
        <f t="shared" si="150"/>
        <v>320.30651625485064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0.17772149014934596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0.17772149014934596</v>
      </c>
      <c r="DJ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58" t="e">
        <f t="shared" si="125"/>
        <v>#N/A</v>
      </c>
      <c r="DT137" s="58" t="e">
        <f ca="1">AVERAGE(OFFSET($DS$3,0,0,'Données projet'!$E$14+1,1))-AVERAGE(OFFSET($H$3,0,0,'Données projet'!$E$14+1,1))</f>
        <v>#N/A</v>
      </c>
      <c r="DU137" s="58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58" t="e">
        <f t="shared" si="128"/>
        <v>#N/A</v>
      </c>
      <c r="EO137" s="58" t="e">
        <f ca="1">AVERAGE(OFFSET($EN$3,0,0,'Données projet'!$E$15+1,1))-AVERAGE(OFFSET($H$3,0,0,'Données projet'!$E$15+1,1))</f>
        <v>#N/A</v>
      </c>
      <c r="EP137" s="58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58" t="e">
        <f t="shared" si="131"/>
        <v>#N/A</v>
      </c>
      <c r="FJ137" s="58" t="e">
        <f ca="1">AVERAGE(OFFSET($FI$3,0,0,'Données projet'!$E$16+1,1))-AVERAGE(OFFSET($H$3,0,0,'Données projet'!$E$16+1,1))</f>
        <v>#N/A</v>
      </c>
      <c r="FK137" s="58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58" t="e">
        <f t="shared" si="134"/>
        <v>#N/A</v>
      </c>
      <c r="GE137" s="58" t="e">
        <f ca="1">AVERAGE(OFFSET($GD$3,0,0,'Données projet'!$E$17+1,1))-AVERAGE(OFFSET($H$3,0,0,'Données projet'!$E$17+1,1))</f>
        <v>#N/A</v>
      </c>
      <c r="GF137" s="58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58" t="e">
        <f t="shared" si="137"/>
        <v>#N/A</v>
      </c>
      <c r="GZ137" s="58" t="e">
        <f ca="1">AVERAGE(OFFSET($GY$3,0,0,'Données projet'!$E$18+1,1))-AVERAGE(OFFSET($H$3,0,0,'Données projet'!$E$18+1,1))</f>
        <v>#N/A</v>
      </c>
      <c r="HA137" s="58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0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3">
        <f t="shared" si="110"/>
        <v>183.33333333333334</v>
      </c>
      <c r="I138" s="6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366</v>
      </c>
      <c r="L138" s="13">
        <f>VLOOKUP(A138,'Données projet'!$A$35:$I$55,9,0)</f>
        <v>4.0666666666666664</v>
      </c>
      <c r="M138" s="13">
        <f t="array" ref="M138">INDEX(L:L,MIN(IF(ISNUMBER(L138:L334),ROW(L138:L334),"")))</f>
        <v>4.0666666666666664</v>
      </c>
      <c r="N138" s="14">
        <f>IF('Données projet'!$A$36&gt;35,N137+M138-V137,IF(A138&lt;'Données projet'!$A$36,$K$205^A138,IF(A138='Données projet'!$A$36,'Données projet'!$B$36,N137+M138-V137)))</f>
        <v>366.00000000000068</v>
      </c>
      <c r="O138" s="14">
        <f>N138*VLOOKUP('Données projet'!$B$9,Paramètres!$A$1:$I$89,3,0)*VLOOKUP('Données projet'!$B$9,Paramètres!$A$1:$I$89,5,0)</f>
        <v>308.31840000000062</v>
      </c>
      <c r="P138" s="14">
        <f t="shared" si="141"/>
        <v>72.91753406629401</v>
      </c>
      <c r="Q138" s="22">
        <f t="shared" si="108"/>
        <v>663.98591849879642</v>
      </c>
      <c r="R138" s="58">
        <f t="shared" si="109"/>
        <v>948.68567564868363</v>
      </c>
      <c r="S138" s="58">
        <f ca="1">AVERAGE(OFFSET($R$3,0,0,'Données projet'!$E$9+1,1))-AVERAGE(OFFSET($H$3,0,0,'Données projet'!$E$9+1,1))</f>
        <v>527.70171871461309</v>
      </c>
      <c r="T138" s="58">
        <f t="shared" si="142"/>
        <v>281.06176764290592</v>
      </c>
      <c r="U138" s="16">
        <f>IF(ISNA(VLOOKUP(A138,'Données projet'!$A$35:$I$55,3,0)),0,VLOOKUP(A138,'Données projet'!$A$35:$I$55,3,0))</f>
        <v>10</v>
      </c>
      <c r="V138" s="16">
        <f>IF(ISNA(VLOOKUP(A138,'Données projet'!$A$35:$I$55,4,0)),0,VLOOKUP(A138,'Données projet'!$A$35:$I$55,4,0))</f>
        <v>65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7.4487616075202823E-14</v>
      </c>
      <c r="AK138" s="14">
        <f t="shared" si="143"/>
        <v>1.1580453144473142E-12</v>
      </c>
      <c r="AL138" s="22">
        <f t="shared" si="112"/>
        <v>2.1466615206600508E-12</v>
      </c>
      <c r="AM138" s="58">
        <f t="shared" si="113"/>
        <v>284.69975714988931</v>
      </c>
      <c r="AN138" s="58">
        <f ca="1">AVERAGE(OFFSET($AM$3,0,0,'Données projet'!$E$10+1,1))-AVERAGE(OFFSET($H$3,0,0,'Données projet'!$E$10+1,1))</f>
        <v>302.53318056366777</v>
      </c>
      <c r="AO138" s="58">
        <f t="shared" si="144"/>
        <v>318.32262615164541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0.14853636340526746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0.14853636340526746</v>
      </c>
      <c r="AY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9.1000000000003638</v>
      </c>
      <c r="BE138" s="14">
        <f>BD138*VLOOKUP('Données projet'!$B$11,Paramètres!$A$1:$I$89,3,0)*VLOOKUP('Données projet'!$B$11,Paramètres!$A$1:$I$89,5,0)</f>
        <v>7.2399600000002895</v>
      </c>
      <c r="BF138" s="14">
        <f t="shared" si="145"/>
        <v>2.6498112636338633</v>
      </c>
      <c r="BG138" s="22">
        <f t="shared" si="115"/>
        <v>17.224684950829481</v>
      </c>
      <c r="BH138" s="58">
        <f t="shared" si="116"/>
        <v>301.92444210071665</v>
      </c>
      <c r="BI138" s="58">
        <f ca="1">AVERAGE(OFFSET($BH$3,0,0,'Données projet'!$E$11+1,1))-AVERAGE(OFFSET($H$3,0,0,'Données projet'!$E$11+1,1))</f>
        <v>336.25341821407534</v>
      </c>
      <c r="BJ138" s="58">
        <f t="shared" si="146"/>
        <v>360.3246221345039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0.28294136031320544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0.28294136031320544</v>
      </c>
      <c r="BT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projet'!$B$12,Paramètres!$A$1:$I$89,3,0)*VLOOKUP('Données projet'!$B$12,Paramètres!$A$1:$I$89,5,0)</f>
        <v>4.6111381379887463E-14</v>
      </c>
      <c r="CA138" s="14">
        <f t="shared" si="147"/>
        <v>7.5804141040779151E-13</v>
      </c>
      <c r="CB138" s="22">
        <f t="shared" si="118"/>
        <v>1.4005661123635408E-12</v>
      </c>
      <c r="CC138" s="58">
        <f t="shared" si="119"/>
        <v>284.69975714988857</v>
      </c>
      <c r="CD138" s="58">
        <f ca="1">AVERAGE(OFFSET($CC$3,0,0,'Données projet'!$E$12+1,1))-AVERAGE(OFFSET($H$3,0,0,'Données projet'!$E$12+1,1))</f>
        <v>308.58270639204238</v>
      </c>
      <c r="CE138" s="58">
        <f t="shared" si="148"/>
        <v>258.90832875500325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5.4092197387944907E-14</v>
      </c>
      <c r="CV138" s="14">
        <f t="shared" si="149"/>
        <v>8.7287050538073676E-13</v>
      </c>
      <c r="CW138" s="22">
        <f t="shared" si="121"/>
        <v>1.6144600406554537E-12</v>
      </c>
      <c r="CX138" s="58">
        <f t="shared" si="122"/>
        <v>284.69975714988874</v>
      </c>
      <c r="CY138" s="58">
        <f ca="1">AVERAGE(OFFSET($CX$3,0,0,'Données projet'!$E$13+1,1))-AVERAGE(OFFSET($H$3,0,0,'Données projet'!$E$13+1,1))</f>
        <v>397.61813291201469</v>
      </c>
      <c r="CZ138" s="58">
        <f t="shared" si="150"/>
        <v>320.30651625485064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0.17286168665524512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0.17286168665524512</v>
      </c>
      <c r="DJ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58" t="e">
        <f t="shared" si="125"/>
        <v>#N/A</v>
      </c>
      <c r="DT138" s="58" t="e">
        <f ca="1">AVERAGE(OFFSET($DS$3,0,0,'Données projet'!$E$14+1,1))-AVERAGE(OFFSET($H$3,0,0,'Données projet'!$E$14+1,1))</f>
        <v>#N/A</v>
      </c>
      <c r="DU138" s="58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58" t="e">
        <f t="shared" si="128"/>
        <v>#N/A</v>
      </c>
      <c r="EO138" s="58" t="e">
        <f ca="1">AVERAGE(OFFSET($EN$3,0,0,'Données projet'!$E$15+1,1))-AVERAGE(OFFSET($H$3,0,0,'Données projet'!$E$15+1,1))</f>
        <v>#N/A</v>
      </c>
      <c r="EP138" s="58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58" t="e">
        <f t="shared" si="131"/>
        <v>#N/A</v>
      </c>
      <c r="FJ138" s="58" t="e">
        <f ca="1">AVERAGE(OFFSET($FI$3,0,0,'Données projet'!$E$16+1,1))-AVERAGE(OFFSET($H$3,0,0,'Données projet'!$E$16+1,1))</f>
        <v>#N/A</v>
      </c>
      <c r="FK138" s="58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58" t="e">
        <f t="shared" si="134"/>
        <v>#N/A</v>
      </c>
      <c r="GE138" s="58" t="e">
        <f ca="1">AVERAGE(OFFSET($GD$3,0,0,'Données projet'!$E$17+1,1))-AVERAGE(OFFSET($H$3,0,0,'Données projet'!$E$17+1,1))</f>
        <v>#N/A</v>
      </c>
      <c r="GF138" s="58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58" t="e">
        <f t="shared" si="137"/>
        <v>#N/A</v>
      </c>
      <c r="GZ138" s="58" t="e">
        <f ca="1">AVERAGE(OFFSET($GY$3,0,0,'Données projet'!$E$18+1,1))-AVERAGE(OFFSET($H$3,0,0,'Données projet'!$E$18+1,1))</f>
        <v>#N/A</v>
      </c>
      <c r="HA138" s="58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0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3">
        <f t="shared" si="110"/>
        <v>183.33333333333334</v>
      </c>
      <c r="I139" s="6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3.6</v>
      </c>
      <c r="N139" s="14">
        <f>IF('Données projet'!$A$36&gt;35,N138+M139-V138,IF(A139&lt;'Données projet'!$A$36,$K$205^A139,IF(A139='Données projet'!$A$36,'Données projet'!$B$36,N138+M139-V138)))</f>
        <v>304.6000000000007</v>
      </c>
      <c r="O139" s="14">
        <f>N139*VLOOKUP('Données projet'!$B$9,Paramètres!$A$1:$I$89,3,0)*VLOOKUP('Données projet'!$B$9,Paramètres!$A$1:$I$89,5,0)</f>
        <v>256.59504000000061</v>
      </c>
      <c r="P139" s="14">
        <f t="shared" si="141"/>
        <v>61.99602217152929</v>
      </c>
      <c r="Q139" s="22">
        <f t="shared" si="108"/>
        <v>554.87943328208121</v>
      </c>
      <c r="R139" s="58">
        <f t="shared" si="109"/>
        <v>839.72896367696649</v>
      </c>
      <c r="S139" s="58">
        <f ca="1">AVERAGE(OFFSET($R$3,0,0,'Données projet'!$E$9+1,1))-AVERAGE(OFFSET($H$3,0,0,'Données projet'!$E$9+1,1))</f>
        <v>527.70171871461309</v>
      </c>
      <c r="T139" s="58">
        <f t="shared" si="142"/>
        <v>281.06176764290592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7.4487616075202823E-14</v>
      </c>
      <c r="AK139" s="14">
        <f t="shared" si="143"/>
        <v>1.1580453144473142E-12</v>
      </c>
      <c r="AL139" s="22">
        <f t="shared" si="112"/>
        <v>2.1466615206600508E-12</v>
      </c>
      <c r="AM139" s="58">
        <f t="shared" si="113"/>
        <v>284.84953039488738</v>
      </c>
      <c r="AN139" s="58">
        <f ca="1">AVERAGE(OFFSET($AM$3,0,0,'Données projet'!$E$10+1,1))-AVERAGE(OFFSET($H$3,0,0,'Données projet'!$E$10+1,1))</f>
        <v>302.53318056366777</v>
      </c>
      <c r="AO139" s="58">
        <f t="shared" si="144"/>
        <v>318.32262615164541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0.14447462873676256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0.14447462873676256</v>
      </c>
      <c r="AY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9.1000000000003638</v>
      </c>
      <c r="BE139" s="14">
        <f>BD139*VLOOKUP('Données projet'!$B$11,Paramètres!$A$1:$I$89,3,0)*VLOOKUP('Données projet'!$B$11,Paramètres!$A$1:$I$89,5,0)</f>
        <v>7.2399600000002895</v>
      </c>
      <c r="BF139" s="14">
        <f t="shared" si="145"/>
        <v>2.6498112636338633</v>
      </c>
      <c r="BG139" s="22">
        <f t="shared" si="115"/>
        <v>17.224684950829481</v>
      </c>
      <c r="BH139" s="58">
        <f t="shared" si="116"/>
        <v>302.07421534571472</v>
      </c>
      <c r="BI139" s="58">
        <f ca="1">AVERAGE(OFFSET($BH$3,0,0,'Données projet'!$E$11+1,1))-AVERAGE(OFFSET($H$3,0,0,'Données projet'!$E$11+1,1))</f>
        <v>336.25341821407534</v>
      </c>
      <c r="BJ139" s="58">
        <f t="shared" si="146"/>
        <v>360.3246221345039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0.27520431393620137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0.27520431393620137</v>
      </c>
      <c r="BT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projet'!$B$12,Paramètres!$A$1:$I$89,3,0)*VLOOKUP('Données projet'!$B$12,Paramètres!$A$1:$I$89,5,0)</f>
        <v>4.6111381379887463E-14</v>
      </c>
      <c r="CA139" s="14">
        <f t="shared" si="147"/>
        <v>7.5804141040779151E-13</v>
      </c>
      <c r="CB139" s="22">
        <f t="shared" si="118"/>
        <v>1.4005661123635408E-12</v>
      </c>
      <c r="CC139" s="58">
        <f t="shared" si="119"/>
        <v>284.84953039488664</v>
      </c>
      <c r="CD139" s="58">
        <f ca="1">AVERAGE(OFFSET($CC$3,0,0,'Données projet'!$E$12+1,1))-AVERAGE(OFFSET($H$3,0,0,'Données projet'!$E$12+1,1))</f>
        <v>308.58270639204238</v>
      </c>
      <c r="CE139" s="58">
        <f t="shared" si="148"/>
        <v>258.90832875500325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5.4092197387944907E-14</v>
      </c>
      <c r="CV139" s="14">
        <f t="shared" si="149"/>
        <v>8.7287050538073676E-13</v>
      </c>
      <c r="CW139" s="22">
        <f t="shared" si="121"/>
        <v>1.6144600406554537E-12</v>
      </c>
      <c r="CX139" s="58">
        <f t="shared" si="122"/>
        <v>284.84953039488681</v>
      </c>
      <c r="CY139" s="58">
        <f ca="1">AVERAGE(OFFSET($CX$3,0,0,'Données projet'!$E$13+1,1))-AVERAGE(OFFSET($H$3,0,0,'Données projet'!$E$13+1,1))</f>
        <v>397.61813291201469</v>
      </c>
      <c r="CZ139" s="58">
        <f t="shared" si="150"/>
        <v>320.30651625485064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0.16813477474325642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0.16813477474325642</v>
      </c>
      <c r="DJ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58" t="e">
        <f t="shared" si="125"/>
        <v>#N/A</v>
      </c>
      <c r="DT139" s="58" t="e">
        <f ca="1">AVERAGE(OFFSET($DS$3,0,0,'Données projet'!$E$14+1,1))-AVERAGE(OFFSET($H$3,0,0,'Données projet'!$E$14+1,1))</f>
        <v>#N/A</v>
      </c>
      <c r="DU139" s="58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58" t="e">
        <f t="shared" si="128"/>
        <v>#N/A</v>
      </c>
      <c r="EO139" s="58" t="e">
        <f ca="1">AVERAGE(OFFSET($EN$3,0,0,'Données projet'!$E$15+1,1))-AVERAGE(OFFSET($H$3,0,0,'Données projet'!$E$15+1,1))</f>
        <v>#N/A</v>
      </c>
      <c r="EP139" s="58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58" t="e">
        <f t="shared" si="131"/>
        <v>#N/A</v>
      </c>
      <c r="FJ139" s="58" t="e">
        <f ca="1">AVERAGE(OFFSET($FI$3,0,0,'Données projet'!$E$16+1,1))-AVERAGE(OFFSET($H$3,0,0,'Données projet'!$E$16+1,1))</f>
        <v>#N/A</v>
      </c>
      <c r="FK139" s="58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58" t="e">
        <f t="shared" si="134"/>
        <v>#N/A</v>
      </c>
      <c r="GE139" s="58" t="e">
        <f ca="1">AVERAGE(OFFSET($GD$3,0,0,'Données projet'!$E$17+1,1))-AVERAGE(OFFSET($H$3,0,0,'Données projet'!$E$17+1,1))</f>
        <v>#N/A</v>
      </c>
      <c r="GF139" s="58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58" t="e">
        <f t="shared" si="137"/>
        <v>#N/A</v>
      </c>
      <c r="GZ139" s="58" t="e">
        <f ca="1">AVERAGE(OFFSET($GY$3,0,0,'Données projet'!$E$18+1,1))-AVERAGE(OFFSET($H$3,0,0,'Données projet'!$E$18+1,1))</f>
        <v>#N/A</v>
      </c>
      <c r="HA139" s="58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0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3">
        <f t="shared" si="110"/>
        <v>183.33333333333334</v>
      </c>
      <c r="I140" s="6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3.6</v>
      </c>
      <c r="N140" s="14">
        <f>IF('Données projet'!$A$36&gt;35,N139+M140-V139,IF(A140&lt;'Données projet'!$A$36,$K$205^A140,IF(A140='Données projet'!$A$36,'Données projet'!$B$36,N139+M140-V139)))</f>
        <v>308.20000000000073</v>
      </c>
      <c r="O140" s="14">
        <f>N140*VLOOKUP('Données projet'!$B$9,Paramètres!$A$1:$I$89,3,0)*VLOOKUP('Données projet'!$B$9,Paramètres!$A$1:$I$89,5,0)</f>
        <v>259.62768000000062</v>
      </c>
      <c r="P140" s="14">
        <f t="shared" si="141"/>
        <v>62.643007760076209</v>
      </c>
      <c r="Q140" s="22">
        <f t="shared" si="108"/>
        <v>561.2881145154671</v>
      </c>
      <c r="R140" s="58">
        <f t="shared" si="109"/>
        <v>846.28481992439242</v>
      </c>
      <c r="S140" s="58">
        <f ca="1">AVERAGE(OFFSET($R$3,0,0,'Données projet'!$E$9+1,1))-AVERAGE(OFFSET($H$3,0,0,'Données projet'!$E$9+1,1))</f>
        <v>527.70171871461309</v>
      </c>
      <c r="T140" s="58">
        <f t="shared" si="142"/>
        <v>281.06176764290592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7.4487616075202823E-14</v>
      </c>
      <c r="AK140" s="14">
        <f t="shared" si="143"/>
        <v>1.1580453144473142E-12</v>
      </c>
      <c r="AL140" s="22">
        <f t="shared" si="112"/>
        <v>2.1466615206600508E-12</v>
      </c>
      <c r="AM140" s="58">
        <f t="shared" si="113"/>
        <v>284.99670540892754</v>
      </c>
      <c r="AN140" s="58">
        <f ca="1">AVERAGE(OFFSET($AM$3,0,0,'Données projet'!$E$10+1,1))-AVERAGE(OFFSET($H$3,0,0,'Données projet'!$E$10+1,1))</f>
        <v>302.53318056366777</v>
      </c>
      <c r="AO140" s="58">
        <f t="shared" si="144"/>
        <v>318.32262615164541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0.14052396241636528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0.14052396241636528</v>
      </c>
      <c r="AY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9.1000000000003638</v>
      </c>
      <c r="BE140" s="14">
        <f>BD140*VLOOKUP('Données projet'!$B$11,Paramètres!$A$1:$I$89,3,0)*VLOOKUP('Données projet'!$B$11,Paramètres!$A$1:$I$89,5,0)</f>
        <v>7.2399600000002895</v>
      </c>
      <c r="BF140" s="14">
        <f t="shared" si="145"/>
        <v>2.6498112636338633</v>
      </c>
      <c r="BG140" s="22">
        <f t="shared" si="115"/>
        <v>17.224684950829481</v>
      </c>
      <c r="BH140" s="58">
        <f t="shared" si="116"/>
        <v>302.22139035975488</v>
      </c>
      <c r="BI140" s="58">
        <f ca="1">AVERAGE(OFFSET($BH$3,0,0,'Données projet'!$E$11+1,1))-AVERAGE(OFFSET($H$3,0,0,'Données projet'!$E$11+1,1))</f>
        <v>336.25341821407534</v>
      </c>
      <c r="BJ140" s="58">
        <f t="shared" si="146"/>
        <v>360.3246221345039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0.26767883749925009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0.26767883749925009</v>
      </c>
      <c r="BT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projet'!$B$12,Paramètres!$A$1:$I$89,3,0)*VLOOKUP('Données projet'!$B$12,Paramètres!$A$1:$I$89,5,0)</f>
        <v>4.6111381379887463E-14</v>
      </c>
      <c r="CA140" s="14">
        <f t="shared" si="147"/>
        <v>7.5804141040779151E-13</v>
      </c>
      <c r="CB140" s="22">
        <f t="shared" si="118"/>
        <v>1.4005661123635408E-12</v>
      </c>
      <c r="CC140" s="58">
        <f t="shared" si="119"/>
        <v>284.9967054089268</v>
      </c>
      <c r="CD140" s="58">
        <f ca="1">AVERAGE(OFFSET($CC$3,0,0,'Données projet'!$E$12+1,1))-AVERAGE(OFFSET($H$3,0,0,'Données projet'!$E$12+1,1))</f>
        <v>308.58270639204238</v>
      </c>
      <c r="CE140" s="58">
        <f t="shared" si="148"/>
        <v>258.90832875500325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5.4092197387944907E-14</v>
      </c>
      <c r="CV140" s="14">
        <f t="shared" si="149"/>
        <v>8.7287050538073676E-13</v>
      </c>
      <c r="CW140" s="22">
        <f t="shared" si="121"/>
        <v>1.6144600406554537E-12</v>
      </c>
      <c r="CX140" s="58">
        <f t="shared" si="122"/>
        <v>284.99670540892697</v>
      </c>
      <c r="CY140" s="58">
        <f ca="1">AVERAGE(OFFSET($CX$3,0,0,'Données projet'!$E$13+1,1))-AVERAGE(OFFSET($H$3,0,0,'Données projet'!$E$13+1,1))</f>
        <v>397.61813291201469</v>
      </c>
      <c r="CZ140" s="58">
        <f t="shared" si="150"/>
        <v>320.30651625485064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0.16353712048607855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0.16353712048607855</v>
      </c>
      <c r="DJ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58" t="e">
        <f t="shared" si="125"/>
        <v>#N/A</v>
      </c>
      <c r="DT140" s="58" t="e">
        <f ca="1">AVERAGE(OFFSET($DS$3,0,0,'Données projet'!$E$14+1,1))-AVERAGE(OFFSET($H$3,0,0,'Données projet'!$E$14+1,1))</f>
        <v>#N/A</v>
      </c>
      <c r="DU140" s="58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58" t="e">
        <f t="shared" si="128"/>
        <v>#N/A</v>
      </c>
      <c r="EO140" s="58" t="e">
        <f ca="1">AVERAGE(OFFSET($EN$3,0,0,'Données projet'!$E$15+1,1))-AVERAGE(OFFSET($H$3,0,0,'Données projet'!$E$15+1,1))</f>
        <v>#N/A</v>
      </c>
      <c r="EP140" s="58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58" t="e">
        <f t="shared" si="131"/>
        <v>#N/A</v>
      </c>
      <c r="FJ140" s="58" t="e">
        <f ca="1">AVERAGE(OFFSET($FI$3,0,0,'Données projet'!$E$16+1,1))-AVERAGE(OFFSET($H$3,0,0,'Données projet'!$E$16+1,1))</f>
        <v>#N/A</v>
      </c>
      <c r="FK140" s="58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58" t="e">
        <f t="shared" si="134"/>
        <v>#N/A</v>
      </c>
      <c r="GE140" s="58" t="e">
        <f ca="1">AVERAGE(OFFSET($GD$3,0,0,'Données projet'!$E$17+1,1))-AVERAGE(OFFSET($H$3,0,0,'Données projet'!$E$17+1,1))</f>
        <v>#N/A</v>
      </c>
      <c r="GF140" s="58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58" t="e">
        <f t="shared" si="137"/>
        <v>#N/A</v>
      </c>
      <c r="GZ140" s="58" t="e">
        <f ca="1">AVERAGE(OFFSET($GY$3,0,0,'Données projet'!$E$18+1,1))-AVERAGE(OFFSET($H$3,0,0,'Données projet'!$E$18+1,1))</f>
        <v>#N/A</v>
      </c>
      <c r="HA140" s="58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0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3">
        <f t="shared" si="110"/>
        <v>183.33333333333334</v>
      </c>
      <c r="I141" s="6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3.6</v>
      </c>
      <c r="N141" s="14">
        <f>IF('Données projet'!$A$36&gt;35,N140+M141-V140,IF(A141&lt;'Données projet'!$A$36,$K$205^A141,IF(A141='Données projet'!$A$36,'Données projet'!$B$36,N140+M141-V140)))</f>
        <v>311.80000000000075</v>
      </c>
      <c r="O141" s="14">
        <f>N141*VLOOKUP('Données projet'!$B$9,Paramètres!$A$1:$I$89,3,0)*VLOOKUP('Données projet'!$B$9,Paramètres!$A$1:$I$89,5,0)</f>
        <v>262.66032000000064</v>
      </c>
      <c r="P141" s="14">
        <f t="shared" si="141"/>
        <v>63.289114259939005</v>
      </c>
      <c r="Q141" s="22">
        <f t="shared" si="108"/>
        <v>567.69526466939499</v>
      </c>
      <c r="R141" s="58">
        <f t="shared" si="109"/>
        <v>852.83659193490098</v>
      </c>
      <c r="S141" s="58">
        <f ca="1">AVERAGE(OFFSET($R$3,0,0,'Données projet'!$E$9+1,1))-AVERAGE(OFFSET($H$3,0,0,'Données projet'!$E$9+1,1))</f>
        <v>527.70171871461309</v>
      </c>
      <c r="T141" s="58">
        <f t="shared" si="142"/>
        <v>281.06176764290592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7.4487616075202823E-14</v>
      </c>
      <c r="AK141" s="14">
        <f t="shared" si="143"/>
        <v>1.1580453144473142E-12</v>
      </c>
      <c r="AL141" s="22">
        <f t="shared" si="112"/>
        <v>2.1466615206600508E-12</v>
      </c>
      <c r="AM141" s="58">
        <f t="shared" si="113"/>
        <v>285.1413272655081</v>
      </c>
      <c r="AN141" s="58">
        <f ca="1">AVERAGE(OFFSET($AM$3,0,0,'Données projet'!$E$10+1,1))-AVERAGE(OFFSET($H$3,0,0,'Données projet'!$E$10+1,1))</f>
        <v>302.53318056366777</v>
      </c>
      <c r="AO141" s="58">
        <f t="shared" si="144"/>
        <v>318.32262615164541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0.13668132727425575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0.13668132727425575</v>
      </c>
      <c r="AY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9.1000000000003638</v>
      </c>
      <c r="BE141" s="14">
        <f>BD141*VLOOKUP('Données projet'!$B$11,Paramètres!$A$1:$I$89,3,0)*VLOOKUP('Données projet'!$B$11,Paramètres!$A$1:$I$89,5,0)</f>
        <v>7.2399600000002895</v>
      </c>
      <c r="BF141" s="14">
        <f t="shared" si="145"/>
        <v>2.6498112636338633</v>
      </c>
      <c r="BG141" s="22">
        <f t="shared" si="115"/>
        <v>17.224684950829481</v>
      </c>
      <c r="BH141" s="58">
        <f t="shared" si="116"/>
        <v>302.36601221633543</v>
      </c>
      <c r="BI141" s="58">
        <f ca="1">AVERAGE(OFFSET($BH$3,0,0,'Données projet'!$E$11+1,1))-AVERAGE(OFFSET($H$3,0,0,'Données projet'!$E$11+1,1))</f>
        <v>336.25341821407534</v>
      </c>
      <c r="BJ141" s="58">
        <f t="shared" si="146"/>
        <v>360.3246221345039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0.26035914561121482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0.26035914561121482</v>
      </c>
      <c r="BT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projet'!$B$12,Paramètres!$A$1:$I$89,3,0)*VLOOKUP('Données projet'!$B$12,Paramètres!$A$1:$I$89,5,0)</f>
        <v>4.6111381379887463E-14</v>
      </c>
      <c r="CA141" s="14">
        <f t="shared" si="147"/>
        <v>7.5804141040779151E-13</v>
      </c>
      <c r="CB141" s="22">
        <f t="shared" si="118"/>
        <v>1.4005661123635408E-12</v>
      </c>
      <c r="CC141" s="58">
        <f t="shared" si="119"/>
        <v>285.14132726550736</v>
      </c>
      <c r="CD141" s="58">
        <f ca="1">AVERAGE(OFFSET($CC$3,0,0,'Données projet'!$E$12+1,1))-AVERAGE(OFFSET($H$3,0,0,'Données projet'!$E$12+1,1))</f>
        <v>308.58270639204238</v>
      </c>
      <c r="CE141" s="58">
        <f t="shared" si="148"/>
        <v>258.90832875500325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5.4092197387944907E-14</v>
      </c>
      <c r="CV141" s="14">
        <f t="shared" si="149"/>
        <v>8.7287050538073676E-13</v>
      </c>
      <c r="CW141" s="22">
        <f t="shared" si="121"/>
        <v>1.6144600406554537E-12</v>
      </c>
      <c r="CX141" s="58">
        <f t="shared" si="122"/>
        <v>285.14132726550753</v>
      </c>
      <c r="CY141" s="58">
        <f ca="1">AVERAGE(OFFSET($CX$3,0,0,'Données projet'!$E$13+1,1))-AVERAGE(OFFSET($H$3,0,0,'Données projet'!$E$13+1,1))</f>
        <v>397.61813291201469</v>
      </c>
      <c r="CZ141" s="58">
        <f t="shared" si="150"/>
        <v>320.30651625485064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0.15906518932634334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0.15906518932634334</v>
      </c>
      <c r="DJ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58" t="e">
        <f t="shared" si="125"/>
        <v>#N/A</v>
      </c>
      <c r="DT141" s="58" t="e">
        <f ca="1">AVERAGE(OFFSET($DS$3,0,0,'Données projet'!$E$14+1,1))-AVERAGE(OFFSET($H$3,0,0,'Données projet'!$E$14+1,1))</f>
        <v>#N/A</v>
      </c>
      <c r="DU141" s="58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58" t="e">
        <f t="shared" si="128"/>
        <v>#N/A</v>
      </c>
      <c r="EO141" s="58" t="e">
        <f ca="1">AVERAGE(OFFSET($EN$3,0,0,'Données projet'!$E$15+1,1))-AVERAGE(OFFSET($H$3,0,0,'Données projet'!$E$15+1,1))</f>
        <v>#N/A</v>
      </c>
      <c r="EP141" s="58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58" t="e">
        <f t="shared" si="131"/>
        <v>#N/A</v>
      </c>
      <c r="FJ141" s="58" t="e">
        <f ca="1">AVERAGE(OFFSET($FI$3,0,0,'Données projet'!$E$16+1,1))-AVERAGE(OFFSET($H$3,0,0,'Données projet'!$E$16+1,1))</f>
        <v>#N/A</v>
      </c>
      <c r="FK141" s="58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58" t="e">
        <f t="shared" si="134"/>
        <v>#N/A</v>
      </c>
      <c r="GE141" s="58" t="e">
        <f ca="1">AVERAGE(OFFSET($GD$3,0,0,'Données projet'!$E$17+1,1))-AVERAGE(OFFSET($H$3,0,0,'Données projet'!$E$17+1,1))</f>
        <v>#N/A</v>
      </c>
      <c r="GF141" s="58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58" t="e">
        <f t="shared" si="137"/>
        <v>#N/A</v>
      </c>
      <c r="GZ141" s="58" t="e">
        <f ca="1">AVERAGE(OFFSET($GY$3,0,0,'Données projet'!$E$18+1,1))-AVERAGE(OFFSET($H$3,0,0,'Données projet'!$E$18+1,1))</f>
        <v>#N/A</v>
      </c>
      <c r="HA141" s="58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0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3">
        <f t="shared" si="110"/>
        <v>183.33333333333334</v>
      </c>
      <c r="I142" s="6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3.6</v>
      </c>
      <c r="N142" s="14">
        <f>IF('Données projet'!$A$36&gt;35,N141+M142-V141,IF(A142&lt;'Données projet'!$A$36,$K$205^A142,IF(A142='Données projet'!$A$36,'Données projet'!$B$36,N141+M142-V141)))</f>
        <v>315.40000000000077</v>
      </c>
      <c r="O142" s="14">
        <f>N142*VLOOKUP('Données projet'!$B$9,Paramètres!$A$1:$I$89,3,0)*VLOOKUP('Données projet'!$B$9,Paramètres!$A$1:$I$89,5,0)</f>
        <v>265.69296000000065</v>
      </c>
      <c r="P142" s="14">
        <f t="shared" si="141"/>
        <v>63.934352995290951</v>
      </c>
      <c r="Q142" s="22">
        <f t="shared" si="108"/>
        <v>574.10090346679954</v>
      </c>
      <c r="R142" s="58">
        <f t="shared" si="109"/>
        <v>859.38434372300048</v>
      </c>
      <c r="S142" s="58">
        <f ca="1">AVERAGE(OFFSET($R$3,0,0,'Données projet'!$E$9+1,1))-AVERAGE(OFFSET($H$3,0,0,'Données projet'!$E$9+1,1))</f>
        <v>527.70171871461309</v>
      </c>
      <c r="T142" s="58">
        <f t="shared" si="142"/>
        <v>281.06176764290592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7.4487616075202823E-14</v>
      </c>
      <c r="AK142" s="14">
        <f t="shared" si="143"/>
        <v>1.1580453144473142E-12</v>
      </c>
      <c r="AL142" s="22">
        <f t="shared" si="112"/>
        <v>2.1466615206600508E-12</v>
      </c>
      <c r="AM142" s="58">
        <f t="shared" si="113"/>
        <v>285.28344025620305</v>
      </c>
      <c r="AN142" s="58">
        <f ca="1">AVERAGE(OFFSET($AM$3,0,0,'Données projet'!$E$10+1,1))-AVERAGE(OFFSET($H$3,0,0,'Données projet'!$E$10+1,1))</f>
        <v>302.53318056366777</v>
      </c>
      <c r="AO142" s="58">
        <f t="shared" si="144"/>
        <v>318.32262615164541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0.13294376919218262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0.13294376919218262</v>
      </c>
      <c r="AY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9.1000000000003638</v>
      </c>
      <c r="BE142" s="14">
        <f>BD142*VLOOKUP('Données projet'!$B$11,Paramètres!$A$1:$I$89,3,0)*VLOOKUP('Données projet'!$B$11,Paramètres!$A$1:$I$89,5,0)</f>
        <v>7.2399600000002895</v>
      </c>
      <c r="BF142" s="14">
        <f t="shared" si="145"/>
        <v>2.6498112636338633</v>
      </c>
      <c r="BG142" s="22">
        <f t="shared" si="115"/>
        <v>17.224684950829481</v>
      </c>
      <c r="BH142" s="58">
        <f t="shared" si="116"/>
        <v>302.50812520703039</v>
      </c>
      <c r="BI142" s="58">
        <f ca="1">AVERAGE(OFFSET($BH$3,0,0,'Données projet'!$E$11+1,1))-AVERAGE(OFFSET($H$3,0,0,'Données projet'!$E$11+1,1))</f>
        <v>336.25341821407534</v>
      </c>
      <c r="BJ142" s="58">
        <f t="shared" si="146"/>
        <v>360.3246221345039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0.25323961108278376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0.25323961108278376</v>
      </c>
      <c r="BT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projet'!$B$12,Paramètres!$A$1:$I$89,3,0)*VLOOKUP('Données projet'!$B$12,Paramètres!$A$1:$I$89,5,0)</f>
        <v>4.6111381379887463E-14</v>
      </c>
      <c r="CA142" s="14">
        <f t="shared" si="147"/>
        <v>7.5804141040779151E-13</v>
      </c>
      <c r="CB142" s="22">
        <f t="shared" si="118"/>
        <v>1.4005661123635408E-12</v>
      </c>
      <c r="CC142" s="58">
        <f t="shared" si="119"/>
        <v>285.28344025620231</v>
      </c>
      <c r="CD142" s="58">
        <f ca="1">AVERAGE(OFFSET($CC$3,0,0,'Données projet'!$E$12+1,1))-AVERAGE(OFFSET($H$3,0,0,'Données projet'!$E$12+1,1))</f>
        <v>308.58270639204238</v>
      </c>
      <c r="CE142" s="58">
        <f t="shared" si="148"/>
        <v>258.90832875500325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5.4092197387944907E-14</v>
      </c>
      <c r="CV142" s="14">
        <f t="shared" si="149"/>
        <v>8.7287050538073676E-13</v>
      </c>
      <c r="CW142" s="22">
        <f t="shared" si="121"/>
        <v>1.6144600406554537E-12</v>
      </c>
      <c r="CX142" s="58">
        <f t="shared" si="122"/>
        <v>285.28344025620248</v>
      </c>
      <c r="CY142" s="58">
        <f ca="1">AVERAGE(OFFSET($CX$3,0,0,'Données projet'!$E$13+1,1))-AVERAGE(OFFSET($H$3,0,0,'Données projet'!$E$13+1,1))</f>
        <v>397.61813291201469</v>
      </c>
      <c r="CZ142" s="58">
        <f t="shared" si="150"/>
        <v>320.30651625485064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0.15471554335933971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0.15471554335933971</v>
      </c>
      <c r="DJ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58" t="e">
        <f t="shared" si="125"/>
        <v>#N/A</v>
      </c>
      <c r="DT142" s="58" t="e">
        <f ca="1">AVERAGE(OFFSET($DS$3,0,0,'Données projet'!$E$14+1,1))-AVERAGE(OFFSET($H$3,0,0,'Données projet'!$E$14+1,1))</f>
        <v>#N/A</v>
      </c>
      <c r="DU142" s="58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58" t="e">
        <f t="shared" si="128"/>
        <v>#N/A</v>
      </c>
      <c r="EO142" s="58" t="e">
        <f ca="1">AVERAGE(OFFSET($EN$3,0,0,'Données projet'!$E$15+1,1))-AVERAGE(OFFSET($H$3,0,0,'Données projet'!$E$15+1,1))</f>
        <v>#N/A</v>
      </c>
      <c r="EP142" s="58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58" t="e">
        <f t="shared" si="131"/>
        <v>#N/A</v>
      </c>
      <c r="FJ142" s="58" t="e">
        <f ca="1">AVERAGE(OFFSET($FI$3,0,0,'Données projet'!$E$16+1,1))-AVERAGE(OFFSET($H$3,0,0,'Données projet'!$E$16+1,1))</f>
        <v>#N/A</v>
      </c>
      <c r="FK142" s="58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58" t="e">
        <f t="shared" si="134"/>
        <v>#N/A</v>
      </c>
      <c r="GE142" s="58" t="e">
        <f ca="1">AVERAGE(OFFSET($GD$3,0,0,'Données projet'!$E$17+1,1))-AVERAGE(OFFSET($H$3,0,0,'Données projet'!$E$17+1,1))</f>
        <v>#N/A</v>
      </c>
      <c r="GF142" s="58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58" t="e">
        <f t="shared" si="137"/>
        <v>#N/A</v>
      </c>
      <c r="GZ142" s="58" t="e">
        <f ca="1">AVERAGE(OFFSET($GY$3,0,0,'Données projet'!$E$18+1,1))-AVERAGE(OFFSET($H$3,0,0,'Données projet'!$E$18+1,1))</f>
        <v>#N/A</v>
      </c>
      <c r="HA142" s="58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0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3">
        <f t="shared" si="110"/>
        <v>183.33333333333334</v>
      </c>
      <c r="I143" s="6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3.6</v>
      </c>
      <c r="N143" s="14">
        <f>IF('Données projet'!$A$36&gt;35,N142+M143-V142,IF(A143&lt;'Données projet'!$A$36,$K$205^A143,IF(A143='Données projet'!$A$36,'Données projet'!$B$36,N142+M143-V142)))</f>
        <v>319.0000000000008</v>
      </c>
      <c r="O143" s="14">
        <f>N143*VLOOKUP('Données projet'!$B$9,Paramètres!$A$1:$I$89,3,0)*VLOOKUP('Données projet'!$B$9,Paramètres!$A$1:$I$89,5,0)</f>
        <v>268.72560000000072</v>
      </c>
      <c r="P143" s="14">
        <f t="shared" si="141"/>
        <v>64.578735016914052</v>
      </c>
      <c r="Q143" s="22">
        <f t="shared" si="108"/>
        <v>580.50505015445992</v>
      </c>
      <c r="R143" s="58">
        <f t="shared" si="109"/>
        <v>865.92813805868423</v>
      </c>
      <c r="S143" s="58">
        <f ca="1">AVERAGE(OFFSET($R$3,0,0,'Données projet'!$E$9+1,1))-AVERAGE(OFFSET($H$3,0,0,'Données projet'!$E$9+1,1))</f>
        <v>527.70171871461309</v>
      </c>
      <c r="T143" s="58">
        <f t="shared" si="142"/>
        <v>281.06176764290592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7.4487616075202823E-14</v>
      </c>
      <c r="AK143" s="14">
        <f t="shared" si="143"/>
        <v>1.1580453144473142E-12</v>
      </c>
      <c r="AL143" s="22">
        <f t="shared" si="112"/>
        <v>2.1466615206600508E-12</v>
      </c>
      <c r="AM143" s="58">
        <f t="shared" si="113"/>
        <v>285.42308790422652</v>
      </c>
      <c r="AN143" s="58">
        <f ca="1">AVERAGE(OFFSET($AM$3,0,0,'Données projet'!$E$10+1,1))-AVERAGE(OFFSET($H$3,0,0,'Données projet'!$E$10+1,1))</f>
        <v>302.53318056366777</v>
      </c>
      <c r="AO143" s="58">
        <f t="shared" si="144"/>
        <v>318.32262615164541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0.1293084148324134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0.1293084148324134</v>
      </c>
      <c r="AY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9.1000000000003638</v>
      </c>
      <c r="BE143" s="14">
        <f>BD143*VLOOKUP('Données projet'!$B$11,Paramètres!$A$1:$I$89,3,0)*VLOOKUP('Données projet'!$B$11,Paramètres!$A$1:$I$89,5,0)</f>
        <v>7.2399600000002895</v>
      </c>
      <c r="BF143" s="14">
        <f t="shared" si="145"/>
        <v>2.6498112636338633</v>
      </c>
      <c r="BG143" s="22">
        <f t="shared" si="115"/>
        <v>17.224684950829481</v>
      </c>
      <c r="BH143" s="58">
        <f t="shared" si="116"/>
        <v>302.64777285505386</v>
      </c>
      <c r="BI143" s="58">
        <f ca="1">AVERAGE(OFFSET($BH$3,0,0,'Données projet'!$E$11+1,1))-AVERAGE(OFFSET($H$3,0,0,'Données projet'!$E$11+1,1))</f>
        <v>336.25341821407534</v>
      </c>
      <c r="BJ143" s="58">
        <f t="shared" si="146"/>
        <v>360.3246221345039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0.24631476060043267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0.24631476060043267</v>
      </c>
      <c r="BT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projet'!$B$12,Paramètres!$A$1:$I$89,3,0)*VLOOKUP('Données projet'!$B$12,Paramètres!$A$1:$I$89,5,0)</f>
        <v>4.6111381379887463E-14</v>
      </c>
      <c r="CA143" s="14">
        <f t="shared" si="147"/>
        <v>7.5804141040779151E-13</v>
      </c>
      <c r="CB143" s="22">
        <f t="shared" si="118"/>
        <v>1.4005661123635408E-12</v>
      </c>
      <c r="CC143" s="58">
        <f t="shared" si="119"/>
        <v>285.42308790422578</v>
      </c>
      <c r="CD143" s="58">
        <f ca="1">AVERAGE(OFFSET($CC$3,0,0,'Données projet'!$E$12+1,1))-AVERAGE(OFFSET($H$3,0,0,'Données projet'!$E$12+1,1))</f>
        <v>308.58270639204238</v>
      </c>
      <c r="CE143" s="58">
        <f t="shared" si="148"/>
        <v>258.90832875500325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5.4092197387944907E-14</v>
      </c>
      <c r="CV143" s="14">
        <f t="shared" si="149"/>
        <v>8.7287050538073676E-13</v>
      </c>
      <c r="CW143" s="22">
        <f t="shared" si="121"/>
        <v>1.6144600406554537E-12</v>
      </c>
      <c r="CX143" s="58">
        <f t="shared" si="122"/>
        <v>285.42308790422595</v>
      </c>
      <c r="CY143" s="58">
        <f ca="1">AVERAGE(OFFSET($CX$3,0,0,'Données projet'!$E$13+1,1))-AVERAGE(OFFSET($H$3,0,0,'Données projet'!$E$13+1,1))</f>
        <v>397.61813291201469</v>
      </c>
      <c r="CZ143" s="58">
        <f t="shared" si="150"/>
        <v>320.30651625485064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0.15048483869004176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0.15048483869004176</v>
      </c>
      <c r="DJ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58" t="e">
        <f t="shared" si="125"/>
        <v>#N/A</v>
      </c>
      <c r="DT143" s="58" t="e">
        <f ca="1">AVERAGE(OFFSET($DS$3,0,0,'Données projet'!$E$14+1,1))-AVERAGE(OFFSET($H$3,0,0,'Données projet'!$E$14+1,1))</f>
        <v>#N/A</v>
      </c>
      <c r="DU143" s="58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58" t="e">
        <f t="shared" si="128"/>
        <v>#N/A</v>
      </c>
      <c r="EO143" s="58" t="e">
        <f ca="1">AVERAGE(OFFSET($EN$3,0,0,'Données projet'!$E$15+1,1))-AVERAGE(OFFSET($H$3,0,0,'Données projet'!$E$15+1,1))</f>
        <v>#N/A</v>
      </c>
      <c r="EP143" s="58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58" t="e">
        <f t="shared" si="131"/>
        <v>#N/A</v>
      </c>
      <c r="FJ143" s="58" t="e">
        <f ca="1">AVERAGE(OFFSET($FI$3,0,0,'Données projet'!$E$16+1,1))-AVERAGE(OFFSET($H$3,0,0,'Données projet'!$E$16+1,1))</f>
        <v>#N/A</v>
      </c>
      <c r="FK143" s="58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58" t="e">
        <f t="shared" si="134"/>
        <v>#N/A</v>
      </c>
      <c r="GE143" s="58" t="e">
        <f ca="1">AVERAGE(OFFSET($GD$3,0,0,'Données projet'!$E$17+1,1))-AVERAGE(OFFSET($H$3,0,0,'Données projet'!$E$17+1,1))</f>
        <v>#N/A</v>
      </c>
      <c r="GF143" s="58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58" t="e">
        <f t="shared" si="137"/>
        <v>#N/A</v>
      </c>
      <c r="GZ143" s="58" t="e">
        <f ca="1">AVERAGE(OFFSET($GY$3,0,0,'Données projet'!$E$18+1,1))-AVERAGE(OFFSET($H$3,0,0,'Données projet'!$E$18+1,1))</f>
        <v>#N/A</v>
      </c>
      <c r="HA143" s="58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0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3">
        <f t="shared" si="110"/>
        <v>183.33333333333334</v>
      </c>
      <c r="I144" s="6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3.6</v>
      </c>
      <c r="N144" s="14">
        <f>IF('Données projet'!$A$36&gt;35,N143+M144-V143,IF(A144&lt;'Données projet'!$A$36,$K$205^A144,IF(A144='Données projet'!$A$36,'Données projet'!$B$36,N143+M144-V143)))</f>
        <v>322.60000000000082</v>
      </c>
      <c r="O144" s="14">
        <f>N144*VLOOKUP('Données projet'!$B$9,Paramètres!$A$1:$I$89,3,0)*VLOOKUP('Données projet'!$B$9,Paramètres!$A$1:$I$89,5,0)</f>
        <v>271.75824000000074</v>
      </c>
      <c r="P144" s="14">
        <f t="shared" si="141"/>
        <v>65.222271111808539</v>
      </c>
      <c r="Q144" s="22">
        <f t="shared" si="108"/>
        <v>586.90772351973453</v>
      </c>
      <c r="R144" s="58">
        <f t="shared" si="109"/>
        <v>872.4680364974945</v>
      </c>
      <c r="S144" s="58">
        <f ca="1">AVERAGE(OFFSET($R$3,0,0,'Données projet'!$E$9+1,1))-AVERAGE(OFFSET($H$3,0,0,'Données projet'!$E$9+1,1))</f>
        <v>527.70171871461309</v>
      </c>
      <c r="T144" s="58">
        <f t="shared" si="142"/>
        <v>281.06176764290592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7.4487616075202823E-14</v>
      </c>
      <c r="AK144" s="14">
        <f t="shared" si="143"/>
        <v>1.1580453144473142E-12</v>
      </c>
      <c r="AL144" s="22">
        <f t="shared" si="112"/>
        <v>2.1466615206600508E-12</v>
      </c>
      <c r="AM144" s="58">
        <f t="shared" si="113"/>
        <v>285.56031297776218</v>
      </c>
      <c r="AN144" s="58">
        <f ca="1">AVERAGE(OFFSET($AM$3,0,0,'Données projet'!$E$10+1,1))-AVERAGE(OFFSET($H$3,0,0,'Données projet'!$E$10+1,1))</f>
        <v>302.53318056366777</v>
      </c>
      <c r="AO144" s="58">
        <f t="shared" si="144"/>
        <v>318.32262615164541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0.12577246942878706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0.12577246942878706</v>
      </c>
      <c r="AY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9.1000000000003638</v>
      </c>
      <c r="BE144" s="14">
        <f>BD144*VLOOKUP('Données projet'!$B$11,Paramètres!$A$1:$I$89,3,0)*VLOOKUP('Données projet'!$B$11,Paramètres!$A$1:$I$89,5,0)</f>
        <v>7.2399600000002895</v>
      </c>
      <c r="BF144" s="14">
        <f t="shared" si="145"/>
        <v>2.6498112636338633</v>
      </c>
      <c r="BG144" s="22">
        <f t="shared" si="115"/>
        <v>17.224684950829481</v>
      </c>
      <c r="BH144" s="58">
        <f t="shared" si="116"/>
        <v>302.78499792858952</v>
      </c>
      <c r="BI144" s="58">
        <f ca="1">AVERAGE(OFFSET($BH$3,0,0,'Données projet'!$E$11+1,1))-AVERAGE(OFFSET($H$3,0,0,'Données projet'!$E$11+1,1))</f>
        <v>336.25341821407534</v>
      </c>
      <c r="BJ144" s="58">
        <f t="shared" si="146"/>
        <v>360.3246221345039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0.23957927051868355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0.23957927051868355</v>
      </c>
      <c r="BT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projet'!$B$12,Paramètres!$A$1:$I$89,3,0)*VLOOKUP('Données projet'!$B$12,Paramètres!$A$1:$I$89,5,0)</f>
        <v>4.6111381379887463E-14</v>
      </c>
      <c r="CA144" s="14">
        <f t="shared" si="147"/>
        <v>7.5804141040779151E-13</v>
      </c>
      <c r="CB144" s="22">
        <f t="shared" si="118"/>
        <v>1.4005661123635408E-12</v>
      </c>
      <c r="CC144" s="58">
        <f t="shared" si="119"/>
        <v>285.56031297776144</v>
      </c>
      <c r="CD144" s="58">
        <f ca="1">AVERAGE(OFFSET($CC$3,0,0,'Données projet'!$E$12+1,1))-AVERAGE(OFFSET($H$3,0,0,'Données projet'!$E$12+1,1))</f>
        <v>308.58270639204238</v>
      </c>
      <c r="CE144" s="58">
        <f t="shared" si="148"/>
        <v>258.90832875500325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5.4092197387944907E-14</v>
      </c>
      <c r="CV144" s="14">
        <f t="shared" si="149"/>
        <v>8.7287050538073676E-13</v>
      </c>
      <c r="CW144" s="22">
        <f t="shared" si="121"/>
        <v>1.6144600406554537E-12</v>
      </c>
      <c r="CX144" s="58">
        <f t="shared" si="122"/>
        <v>285.56031297776161</v>
      </c>
      <c r="CY144" s="58">
        <f ca="1">AVERAGE(OFFSET($CX$3,0,0,'Données projet'!$E$13+1,1))-AVERAGE(OFFSET($H$3,0,0,'Données projet'!$E$13+1,1))</f>
        <v>397.61813291201469</v>
      </c>
      <c r="CZ144" s="58">
        <f t="shared" si="150"/>
        <v>320.30651625485064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0.14636982286240882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0.14636982286240882</v>
      </c>
      <c r="DJ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58" t="e">
        <f t="shared" si="125"/>
        <v>#N/A</v>
      </c>
      <c r="DT144" s="58" t="e">
        <f ca="1">AVERAGE(OFFSET($DS$3,0,0,'Données projet'!$E$14+1,1))-AVERAGE(OFFSET($H$3,0,0,'Données projet'!$E$14+1,1))</f>
        <v>#N/A</v>
      </c>
      <c r="DU144" s="58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58" t="e">
        <f t="shared" si="128"/>
        <v>#N/A</v>
      </c>
      <c r="EO144" s="58" t="e">
        <f ca="1">AVERAGE(OFFSET($EN$3,0,0,'Données projet'!$E$15+1,1))-AVERAGE(OFFSET($H$3,0,0,'Données projet'!$E$15+1,1))</f>
        <v>#N/A</v>
      </c>
      <c r="EP144" s="58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58" t="e">
        <f t="shared" si="131"/>
        <v>#N/A</v>
      </c>
      <c r="FJ144" s="58" t="e">
        <f ca="1">AVERAGE(OFFSET($FI$3,0,0,'Données projet'!$E$16+1,1))-AVERAGE(OFFSET($H$3,0,0,'Données projet'!$E$16+1,1))</f>
        <v>#N/A</v>
      </c>
      <c r="FK144" s="58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58" t="e">
        <f t="shared" si="134"/>
        <v>#N/A</v>
      </c>
      <c r="GE144" s="58" t="e">
        <f ca="1">AVERAGE(OFFSET($GD$3,0,0,'Données projet'!$E$17+1,1))-AVERAGE(OFFSET($H$3,0,0,'Données projet'!$E$17+1,1))</f>
        <v>#N/A</v>
      </c>
      <c r="GF144" s="58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58" t="e">
        <f t="shared" si="137"/>
        <v>#N/A</v>
      </c>
      <c r="GZ144" s="58" t="e">
        <f ca="1">AVERAGE(OFFSET($GY$3,0,0,'Données projet'!$E$18+1,1))-AVERAGE(OFFSET($H$3,0,0,'Données projet'!$E$18+1,1))</f>
        <v>#N/A</v>
      </c>
      <c r="HA144" s="58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0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3">
        <f t="shared" si="110"/>
        <v>183.33333333333334</v>
      </c>
      <c r="I145" s="6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3.6</v>
      </c>
      <c r="N145" s="14">
        <f>IF('Données projet'!$A$36&gt;35,N144+M145-V144,IF(A145&lt;'Données projet'!$A$36,$K$205^A145,IF(A145='Données projet'!$A$36,'Données projet'!$B$36,N144+M145-V144)))</f>
        <v>326.20000000000084</v>
      </c>
      <c r="O145" s="14">
        <f>N145*VLOOKUP('Données projet'!$B$9,Paramètres!$A$1:$I$89,3,0)*VLOOKUP('Données projet'!$B$9,Paramètres!$A$1:$I$89,5,0)</f>
        <v>274.79088000000075</v>
      </c>
      <c r="P145" s="14">
        <f t="shared" si="141"/>
        <v>65.864971812361205</v>
      </c>
      <c r="Q145" s="22">
        <f t="shared" si="108"/>
        <v>593.30894190653044</v>
      </c>
      <c r="R145" s="58">
        <f t="shared" si="109"/>
        <v>879.00409940958957</v>
      </c>
      <c r="S145" s="58">
        <f ca="1">AVERAGE(OFFSET($R$3,0,0,'Données projet'!$E$9+1,1))-AVERAGE(OFFSET($H$3,0,0,'Données projet'!$E$9+1,1))</f>
        <v>527.70171871461309</v>
      </c>
      <c r="T145" s="58">
        <f t="shared" si="142"/>
        <v>281.06176764290592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7.4487616075202823E-14</v>
      </c>
      <c r="AK145" s="14">
        <f t="shared" si="143"/>
        <v>1.1580453144473142E-12</v>
      </c>
      <c r="AL145" s="22">
        <f t="shared" si="112"/>
        <v>2.1466615206600508E-12</v>
      </c>
      <c r="AM145" s="58">
        <f t="shared" si="113"/>
        <v>285.69515750306124</v>
      </c>
      <c r="AN145" s="58">
        <f ca="1">AVERAGE(OFFSET($AM$3,0,0,'Données projet'!$E$10+1,1))-AVERAGE(OFFSET($H$3,0,0,'Données projet'!$E$10+1,1))</f>
        <v>302.53318056366777</v>
      </c>
      <c r="AO145" s="58">
        <f t="shared" si="144"/>
        <v>318.32262615164541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0.12233321463817017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0.12233321463817017</v>
      </c>
      <c r="AY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9.1000000000003638</v>
      </c>
      <c r="BE145" s="14">
        <f>BD145*VLOOKUP('Données projet'!$B$11,Paramètres!$A$1:$I$89,3,0)*VLOOKUP('Données projet'!$B$11,Paramètres!$A$1:$I$89,5,0)</f>
        <v>7.2399600000002895</v>
      </c>
      <c r="BF145" s="14">
        <f t="shared" si="145"/>
        <v>2.6498112636338633</v>
      </c>
      <c r="BG145" s="22">
        <f t="shared" si="115"/>
        <v>17.224684950829481</v>
      </c>
      <c r="BH145" s="58">
        <f t="shared" si="116"/>
        <v>302.91984245388858</v>
      </c>
      <c r="BI145" s="58">
        <f ca="1">AVERAGE(OFFSET($BH$3,0,0,'Données projet'!$E$11+1,1))-AVERAGE(OFFSET($H$3,0,0,'Données projet'!$E$11+1,1))</f>
        <v>336.25341821407534</v>
      </c>
      <c r="BJ145" s="58">
        <f t="shared" si="146"/>
        <v>360.3246221345039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0.23302796276742388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0.23302796276742388</v>
      </c>
      <c r="BT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projet'!$B$12,Paramètres!$A$1:$I$89,3,0)*VLOOKUP('Données projet'!$B$12,Paramètres!$A$1:$I$89,5,0)</f>
        <v>4.6111381379887463E-14</v>
      </c>
      <c r="CA145" s="14">
        <f t="shared" si="147"/>
        <v>7.5804141040779151E-13</v>
      </c>
      <c r="CB145" s="22">
        <f t="shared" si="118"/>
        <v>1.4005661123635408E-12</v>
      </c>
      <c r="CC145" s="58">
        <f t="shared" si="119"/>
        <v>285.6951575030605</v>
      </c>
      <c r="CD145" s="58">
        <f ca="1">AVERAGE(OFFSET($CC$3,0,0,'Données projet'!$E$12+1,1))-AVERAGE(OFFSET($H$3,0,0,'Données projet'!$E$12+1,1))</f>
        <v>308.58270639204238</v>
      </c>
      <c r="CE145" s="58">
        <f t="shared" si="148"/>
        <v>258.90832875500325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5.4092197387944907E-14</v>
      </c>
      <c r="CV145" s="14">
        <f t="shared" si="149"/>
        <v>8.7287050538073676E-13</v>
      </c>
      <c r="CW145" s="22">
        <f t="shared" si="121"/>
        <v>1.6144600406554537E-12</v>
      </c>
      <c r="CX145" s="58">
        <f t="shared" si="122"/>
        <v>285.69515750306067</v>
      </c>
      <c r="CY145" s="58">
        <f ca="1">AVERAGE(OFFSET($CX$3,0,0,'Données projet'!$E$13+1,1))-AVERAGE(OFFSET($H$3,0,0,'Données projet'!$E$13+1,1))</f>
        <v>397.61813291201469</v>
      </c>
      <c r="CZ145" s="58">
        <f t="shared" si="150"/>
        <v>320.30651625485064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0.1423673323589818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0.1423673323589818</v>
      </c>
      <c r="DJ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58" t="e">
        <f t="shared" si="125"/>
        <v>#N/A</v>
      </c>
      <c r="DT145" s="58" t="e">
        <f ca="1">AVERAGE(OFFSET($DS$3,0,0,'Données projet'!$E$14+1,1))-AVERAGE(OFFSET($H$3,0,0,'Données projet'!$E$14+1,1))</f>
        <v>#N/A</v>
      </c>
      <c r="DU145" s="58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58" t="e">
        <f t="shared" si="128"/>
        <v>#N/A</v>
      </c>
      <c r="EO145" s="58" t="e">
        <f ca="1">AVERAGE(OFFSET($EN$3,0,0,'Données projet'!$E$15+1,1))-AVERAGE(OFFSET($H$3,0,0,'Données projet'!$E$15+1,1))</f>
        <v>#N/A</v>
      </c>
      <c r="EP145" s="58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58" t="e">
        <f t="shared" si="131"/>
        <v>#N/A</v>
      </c>
      <c r="FJ145" s="58" t="e">
        <f ca="1">AVERAGE(OFFSET($FI$3,0,0,'Données projet'!$E$16+1,1))-AVERAGE(OFFSET($H$3,0,0,'Données projet'!$E$16+1,1))</f>
        <v>#N/A</v>
      </c>
      <c r="FK145" s="58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58" t="e">
        <f t="shared" si="134"/>
        <v>#N/A</v>
      </c>
      <c r="GE145" s="58" t="e">
        <f ca="1">AVERAGE(OFFSET($GD$3,0,0,'Données projet'!$E$17+1,1))-AVERAGE(OFFSET($H$3,0,0,'Données projet'!$E$17+1,1))</f>
        <v>#N/A</v>
      </c>
      <c r="GF145" s="58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58" t="e">
        <f t="shared" si="137"/>
        <v>#N/A</v>
      </c>
      <c r="GZ145" s="58" t="e">
        <f ca="1">AVERAGE(OFFSET($GY$3,0,0,'Données projet'!$E$18+1,1))-AVERAGE(OFFSET($H$3,0,0,'Données projet'!$E$18+1,1))</f>
        <v>#N/A</v>
      </c>
      <c r="HA145" s="58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0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3">
        <f t="shared" si="110"/>
        <v>183.33333333333334</v>
      </c>
      <c r="I146" s="6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3.6</v>
      </c>
      <c r="N146" s="14">
        <f>IF('Données projet'!$A$36&gt;35,N145+M146-V145,IF(A146&lt;'Données projet'!$A$36,$K$205^A146,IF(A146='Données projet'!$A$36,'Données projet'!$B$36,N145+M146-V145)))</f>
        <v>329.80000000000086</v>
      </c>
      <c r="O146" s="14">
        <f>N146*VLOOKUP('Données projet'!$B$9,Paramètres!$A$1:$I$89,3,0)*VLOOKUP('Données projet'!$B$9,Paramètres!$A$1:$I$89,5,0)</f>
        <v>277.82352000000071</v>
      </c>
      <c r="P146" s="14">
        <f t="shared" si="141"/>
        <v>66.506847405097432</v>
      </c>
      <c r="Q146" s="22">
        <f t="shared" si="108"/>
        <v>599.70872323054607</v>
      </c>
      <c r="R146" s="58">
        <f t="shared" si="109"/>
        <v>885.53638600785757</v>
      </c>
      <c r="S146" s="58">
        <f ca="1">AVERAGE(OFFSET($R$3,0,0,'Données projet'!$E$9+1,1))-AVERAGE(OFFSET($H$3,0,0,'Données projet'!$E$9+1,1))</f>
        <v>527.70171871461309</v>
      </c>
      <c r="T146" s="58">
        <f t="shared" si="142"/>
        <v>281.06176764290592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7.4487616075202823E-14</v>
      </c>
      <c r="AK146" s="14">
        <f t="shared" si="143"/>
        <v>1.1580453144473142E-12</v>
      </c>
      <c r="AL146" s="22">
        <f t="shared" si="112"/>
        <v>2.1466615206600508E-12</v>
      </c>
      <c r="AM146" s="58">
        <f t="shared" si="113"/>
        <v>285.82766277731361</v>
      </c>
      <c r="AN146" s="58">
        <f ca="1">AVERAGE(OFFSET($AM$3,0,0,'Données projet'!$E$10+1,1))-AVERAGE(OFFSET($H$3,0,0,'Données projet'!$E$10+1,1))</f>
        <v>302.53318056366777</v>
      </c>
      <c r="AO146" s="58">
        <f t="shared" si="144"/>
        <v>318.32262615164541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0.11898800645066523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0.11898800645066523</v>
      </c>
      <c r="AY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9.1000000000003638</v>
      </c>
      <c r="BE146" s="14">
        <f>BD146*VLOOKUP('Données projet'!$B$11,Paramètres!$A$1:$I$89,3,0)*VLOOKUP('Données projet'!$B$11,Paramètres!$A$1:$I$89,5,0)</f>
        <v>7.2399600000002895</v>
      </c>
      <c r="BF146" s="14">
        <f t="shared" si="145"/>
        <v>2.6498112636338633</v>
      </c>
      <c r="BG146" s="22">
        <f t="shared" si="115"/>
        <v>17.224684950829481</v>
      </c>
      <c r="BH146" s="58">
        <f t="shared" si="116"/>
        <v>303.05234772814094</v>
      </c>
      <c r="BI146" s="58">
        <f ca="1">AVERAGE(OFFSET($BH$3,0,0,'Données projet'!$E$11+1,1))-AVERAGE(OFFSET($H$3,0,0,'Données projet'!$E$11+1,1))</f>
        <v>336.25341821407534</v>
      </c>
      <c r="BJ146" s="58">
        <f t="shared" si="146"/>
        <v>360.3246221345039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0.22665580087114071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0.22665580087114071</v>
      </c>
      <c r="BT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projet'!$B$12,Paramètres!$A$1:$I$89,3,0)*VLOOKUP('Données projet'!$B$12,Paramètres!$A$1:$I$89,5,0)</f>
        <v>4.6111381379887463E-14</v>
      </c>
      <c r="CA146" s="14">
        <f t="shared" si="147"/>
        <v>7.5804141040779151E-13</v>
      </c>
      <c r="CB146" s="22">
        <f t="shared" si="118"/>
        <v>1.4005661123635408E-12</v>
      </c>
      <c r="CC146" s="58">
        <f t="shared" si="119"/>
        <v>285.82766277731287</v>
      </c>
      <c r="CD146" s="58">
        <f ca="1">AVERAGE(OFFSET($CC$3,0,0,'Données projet'!$E$12+1,1))-AVERAGE(OFFSET($H$3,0,0,'Données projet'!$E$12+1,1))</f>
        <v>308.58270639204238</v>
      </c>
      <c r="CE146" s="58">
        <f t="shared" si="148"/>
        <v>258.90832875500325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5.4092197387944907E-14</v>
      </c>
      <c r="CV146" s="14">
        <f t="shared" si="149"/>
        <v>8.7287050538073676E-13</v>
      </c>
      <c r="CW146" s="22">
        <f t="shared" si="121"/>
        <v>1.6144600406554537E-12</v>
      </c>
      <c r="CX146" s="58">
        <f t="shared" si="122"/>
        <v>285.82766277731304</v>
      </c>
      <c r="CY146" s="58">
        <f ca="1">AVERAGE(OFFSET($CX$3,0,0,'Données projet'!$E$13+1,1))-AVERAGE(OFFSET($H$3,0,0,'Données projet'!$E$13+1,1))</f>
        <v>397.61813291201469</v>
      </c>
      <c r="CZ146" s="58">
        <f t="shared" si="150"/>
        <v>320.30651625485064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0.13847429016885282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0.13847429016885282</v>
      </c>
      <c r="DJ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58" t="e">
        <f t="shared" si="125"/>
        <v>#N/A</v>
      </c>
      <c r="DT146" s="58" t="e">
        <f ca="1">AVERAGE(OFFSET($DS$3,0,0,'Données projet'!$E$14+1,1))-AVERAGE(OFFSET($H$3,0,0,'Données projet'!$E$14+1,1))</f>
        <v>#N/A</v>
      </c>
      <c r="DU146" s="58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58" t="e">
        <f t="shared" si="128"/>
        <v>#N/A</v>
      </c>
      <c r="EO146" s="58" t="e">
        <f ca="1">AVERAGE(OFFSET($EN$3,0,0,'Données projet'!$E$15+1,1))-AVERAGE(OFFSET($H$3,0,0,'Données projet'!$E$15+1,1))</f>
        <v>#N/A</v>
      </c>
      <c r="EP146" s="58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58" t="e">
        <f t="shared" si="131"/>
        <v>#N/A</v>
      </c>
      <c r="FJ146" s="58" t="e">
        <f ca="1">AVERAGE(OFFSET($FI$3,0,0,'Données projet'!$E$16+1,1))-AVERAGE(OFFSET($H$3,0,0,'Données projet'!$E$16+1,1))</f>
        <v>#N/A</v>
      </c>
      <c r="FK146" s="58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58" t="e">
        <f t="shared" si="134"/>
        <v>#N/A</v>
      </c>
      <c r="GE146" s="58" t="e">
        <f ca="1">AVERAGE(OFFSET($GD$3,0,0,'Données projet'!$E$17+1,1))-AVERAGE(OFFSET($H$3,0,0,'Données projet'!$E$17+1,1))</f>
        <v>#N/A</v>
      </c>
      <c r="GF146" s="58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58" t="e">
        <f t="shared" si="137"/>
        <v>#N/A</v>
      </c>
      <c r="GZ146" s="58" t="e">
        <f ca="1">AVERAGE(OFFSET($GY$3,0,0,'Données projet'!$E$18+1,1))-AVERAGE(OFFSET($H$3,0,0,'Données projet'!$E$18+1,1))</f>
        <v>#N/A</v>
      </c>
      <c r="HA146" s="58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0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3">
        <f t="shared" si="110"/>
        <v>183.33333333333334</v>
      </c>
      <c r="I147" s="6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3.6</v>
      </c>
      <c r="N147" s="14">
        <f>IF('Données projet'!$A$36&gt;35,N146+M147-V146,IF(A147&lt;'Données projet'!$A$36,$K$205^A147,IF(A147='Données projet'!$A$36,'Données projet'!$B$36,N146+M147-V146)))</f>
        <v>333.40000000000089</v>
      </c>
      <c r="O147" s="14">
        <f>N147*VLOOKUP('Données projet'!$B$9,Paramètres!$A$1:$I$89,3,0)*VLOOKUP('Données projet'!$B$9,Paramètres!$A$1:$I$89,5,0)</f>
        <v>280.85616000000078</v>
      </c>
      <c r="P147" s="14">
        <f t="shared" si="141"/>
        <v>67.147907939040053</v>
      </c>
      <c r="Q147" s="22">
        <f t="shared" si="108"/>
        <v>606.10708499382952</v>
      </c>
      <c r="R147" s="58">
        <f t="shared" si="109"/>
        <v>892.0649543751224</v>
      </c>
      <c r="S147" s="58">
        <f ca="1">AVERAGE(OFFSET($R$3,0,0,'Données projet'!$E$9+1,1))-AVERAGE(OFFSET($H$3,0,0,'Données projet'!$E$9+1,1))</f>
        <v>527.70171871461309</v>
      </c>
      <c r="T147" s="58">
        <f t="shared" si="142"/>
        <v>281.06176764290592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7.4487616075202823E-14</v>
      </c>
      <c r="AK147" s="14">
        <f t="shared" si="143"/>
        <v>1.1580453144473142E-12</v>
      </c>
      <c r="AL147" s="22">
        <f t="shared" si="112"/>
        <v>2.1466615206600508E-12</v>
      </c>
      <c r="AM147" s="58">
        <f t="shared" si="113"/>
        <v>285.95786938129504</v>
      </c>
      <c r="AN147" s="58">
        <f ca="1">AVERAGE(OFFSET($AM$3,0,0,'Données projet'!$E$10+1,1))-AVERAGE(OFFSET($H$3,0,0,'Données projet'!$E$10+1,1))</f>
        <v>302.53318056366777</v>
      </c>
      <c r="AO147" s="58">
        <f t="shared" si="144"/>
        <v>318.32262615164541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0.11573427315696448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0.11573427315696448</v>
      </c>
      <c r="AY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9.1000000000003638</v>
      </c>
      <c r="BE147" s="14">
        <f>BD147*VLOOKUP('Données projet'!$B$11,Paramètres!$A$1:$I$89,3,0)*VLOOKUP('Données projet'!$B$11,Paramètres!$A$1:$I$89,5,0)</f>
        <v>7.2399600000002895</v>
      </c>
      <c r="BF147" s="14">
        <f t="shared" si="145"/>
        <v>2.6498112636338633</v>
      </c>
      <c r="BG147" s="22">
        <f t="shared" si="115"/>
        <v>17.224684950829481</v>
      </c>
      <c r="BH147" s="58">
        <f t="shared" si="116"/>
        <v>303.18255433212238</v>
      </c>
      <c r="BI147" s="58">
        <f ca="1">AVERAGE(OFFSET($BH$3,0,0,'Données projet'!$E$11+1,1))-AVERAGE(OFFSET($H$3,0,0,'Données projet'!$E$11+1,1))</f>
        <v>336.25341821407534</v>
      </c>
      <c r="BJ147" s="58">
        <f t="shared" si="146"/>
        <v>360.3246221345039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0.22045788607700884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0.22045788607700884</v>
      </c>
      <c r="BT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projet'!$B$12,Paramètres!$A$1:$I$89,3,0)*VLOOKUP('Données projet'!$B$12,Paramètres!$A$1:$I$89,5,0)</f>
        <v>4.6111381379887463E-14</v>
      </c>
      <c r="CA147" s="14">
        <f t="shared" si="147"/>
        <v>7.5804141040779151E-13</v>
      </c>
      <c r="CB147" s="22">
        <f t="shared" si="118"/>
        <v>1.4005661123635408E-12</v>
      </c>
      <c r="CC147" s="58">
        <f t="shared" si="119"/>
        <v>285.9578693812943</v>
      </c>
      <c r="CD147" s="58">
        <f ca="1">AVERAGE(OFFSET($CC$3,0,0,'Données projet'!$E$12+1,1))-AVERAGE(OFFSET($H$3,0,0,'Données projet'!$E$12+1,1))</f>
        <v>308.58270639204238</v>
      </c>
      <c r="CE147" s="58">
        <f t="shared" si="148"/>
        <v>258.90832875500325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5.4092197387944907E-14</v>
      </c>
      <c r="CV147" s="14">
        <f t="shared" si="149"/>
        <v>8.7287050538073676E-13</v>
      </c>
      <c r="CW147" s="22">
        <f t="shared" si="121"/>
        <v>1.6144600406554537E-12</v>
      </c>
      <c r="CX147" s="58">
        <f t="shared" si="122"/>
        <v>285.95786938129447</v>
      </c>
      <c r="CY147" s="58">
        <f ca="1">AVERAGE(OFFSET($CX$3,0,0,'Données projet'!$E$13+1,1))-AVERAGE(OFFSET($H$3,0,0,'Données projet'!$E$13+1,1))</f>
        <v>397.61813291201469</v>
      </c>
      <c r="CZ147" s="58">
        <f t="shared" si="150"/>
        <v>320.30651625485064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0.13468770342213912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0.13468770342213912</v>
      </c>
      <c r="DJ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58" t="e">
        <f t="shared" si="125"/>
        <v>#N/A</v>
      </c>
      <c r="DT147" s="58" t="e">
        <f ca="1">AVERAGE(OFFSET($DS$3,0,0,'Données projet'!$E$14+1,1))-AVERAGE(OFFSET($H$3,0,0,'Données projet'!$E$14+1,1))</f>
        <v>#N/A</v>
      </c>
      <c r="DU147" s="58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58" t="e">
        <f t="shared" si="128"/>
        <v>#N/A</v>
      </c>
      <c r="EO147" s="58" t="e">
        <f ca="1">AVERAGE(OFFSET($EN$3,0,0,'Données projet'!$E$15+1,1))-AVERAGE(OFFSET($H$3,0,0,'Données projet'!$E$15+1,1))</f>
        <v>#N/A</v>
      </c>
      <c r="EP147" s="58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58" t="e">
        <f t="shared" si="131"/>
        <v>#N/A</v>
      </c>
      <c r="FJ147" s="58" t="e">
        <f ca="1">AVERAGE(OFFSET($FI$3,0,0,'Données projet'!$E$16+1,1))-AVERAGE(OFFSET($H$3,0,0,'Données projet'!$E$16+1,1))</f>
        <v>#N/A</v>
      </c>
      <c r="FK147" s="58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58" t="e">
        <f t="shared" si="134"/>
        <v>#N/A</v>
      </c>
      <c r="GE147" s="58" t="e">
        <f ca="1">AVERAGE(OFFSET($GD$3,0,0,'Données projet'!$E$17+1,1))-AVERAGE(OFFSET($H$3,0,0,'Données projet'!$E$17+1,1))</f>
        <v>#N/A</v>
      </c>
      <c r="GF147" s="58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58" t="e">
        <f t="shared" si="137"/>
        <v>#N/A</v>
      </c>
      <c r="GZ147" s="58" t="e">
        <f ca="1">AVERAGE(OFFSET($GY$3,0,0,'Données projet'!$E$18+1,1))-AVERAGE(OFFSET($H$3,0,0,'Données projet'!$E$18+1,1))</f>
        <v>#N/A</v>
      </c>
      <c r="HA147" s="58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0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3">
        <f t="shared" si="110"/>
        <v>183.33333333333334</v>
      </c>
      <c r="I148" s="6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3.6</v>
      </c>
      <c r="N148" s="14">
        <f>IF('Données projet'!$A$36&gt;35,N147+M148-V147,IF(A148&lt;'Données projet'!$A$36,$K$205^A148,IF(A148='Données projet'!$A$36,'Données projet'!$B$36,N147+M148-V147)))</f>
        <v>337.00000000000091</v>
      </c>
      <c r="O148" s="14">
        <f>N148*VLOOKUP('Données projet'!$B$9,Paramètres!$A$1:$I$89,3,0)*VLOOKUP('Données projet'!$B$9,Paramètres!$A$1:$I$89,5,0)</f>
        <v>283.8888000000008</v>
      </c>
      <c r="P148" s="14">
        <f t="shared" si="141"/>
        <v>67.788163233697318</v>
      </c>
      <c r="Q148" s="22">
        <f t="shared" si="108"/>
        <v>612.50404429869093</v>
      </c>
      <c r="R148" s="58">
        <f t="shared" si="109"/>
        <v>898.58986149048451</v>
      </c>
      <c r="S148" s="58">
        <f ca="1">AVERAGE(OFFSET($R$3,0,0,'Données projet'!$E$9+1,1))-AVERAGE(OFFSET($H$3,0,0,'Données projet'!$E$9+1,1))</f>
        <v>527.70171871461309</v>
      </c>
      <c r="T148" s="58">
        <f t="shared" si="142"/>
        <v>281.06176764290592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7.4487616075202823E-14</v>
      </c>
      <c r="AK148" s="14">
        <f t="shared" si="143"/>
        <v>1.1580453144473142E-12</v>
      </c>
      <c r="AL148" s="22">
        <f t="shared" si="112"/>
        <v>2.1466615206600508E-12</v>
      </c>
      <c r="AM148" s="58">
        <f t="shared" si="113"/>
        <v>286.08581719179574</v>
      </c>
      <c r="AN148" s="58">
        <f ca="1">AVERAGE(OFFSET($AM$3,0,0,'Données projet'!$E$10+1,1))-AVERAGE(OFFSET($H$3,0,0,'Données projet'!$E$10+1,1))</f>
        <v>302.53318056366777</v>
      </c>
      <c r="AO148" s="58">
        <f t="shared" si="144"/>
        <v>318.32262615164541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0.11256951337128637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0.11256951337128637</v>
      </c>
      <c r="AY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9.1000000000003638</v>
      </c>
      <c r="BE148" s="14">
        <f>BD148*VLOOKUP('Données projet'!$B$11,Paramètres!$A$1:$I$89,3,0)*VLOOKUP('Données projet'!$B$11,Paramètres!$A$1:$I$89,5,0)</f>
        <v>7.2399600000002895</v>
      </c>
      <c r="BF148" s="14">
        <f t="shared" si="145"/>
        <v>2.6498112636338633</v>
      </c>
      <c r="BG148" s="22">
        <f t="shared" si="115"/>
        <v>17.224684950829481</v>
      </c>
      <c r="BH148" s="58">
        <f t="shared" si="116"/>
        <v>303.31050214262308</v>
      </c>
      <c r="BI148" s="58">
        <f ca="1">AVERAGE(OFFSET($BH$3,0,0,'Données projet'!$E$11+1,1))-AVERAGE(OFFSET($H$3,0,0,'Données projet'!$E$11+1,1))</f>
        <v>336.25341821407534</v>
      </c>
      <c r="BJ148" s="58">
        <f t="shared" si="146"/>
        <v>360.3246221345039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0.21442945358885665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0.21442945358885665</v>
      </c>
      <c r="BT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projet'!$B$12,Paramètres!$A$1:$I$89,3,0)*VLOOKUP('Données projet'!$B$12,Paramètres!$A$1:$I$89,5,0)</f>
        <v>4.6111381379887463E-14</v>
      </c>
      <c r="CA148" s="14">
        <f t="shared" si="147"/>
        <v>7.5804141040779151E-13</v>
      </c>
      <c r="CB148" s="22">
        <f t="shared" si="118"/>
        <v>1.4005661123635408E-12</v>
      </c>
      <c r="CC148" s="58">
        <f t="shared" si="119"/>
        <v>286.085817191795</v>
      </c>
      <c r="CD148" s="58">
        <f ca="1">AVERAGE(OFFSET($CC$3,0,0,'Données projet'!$E$12+1,1))-AVERAGE(OFFSET($H$3,0,0,'Données projet'!$E$12+1,1))</f>
        <v>308.58270639204238</v>
      </c>
      <c r="CE148" s="58">
        <f t="shared" si="148"/>
        <v>258.90832875500325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5.4092197387944907E-14</v>
      </c>
      <c r="CV148" s="14">
        <f t="shared" si="149"/>
        <v>8.7287050538073676E-13</v>
      </c>
      <c r="CW148" s="22">
        <f t="shared" si="121"/>
        <v>1.6144600406554537E-12</v>
      </c>
      <c r="CX148" s="58">
        <f t="shared" si="122"/>
        <v>286.08581719179517</v>
      </c>
      <c r="CY148" s="58">
        <f ca="1">AVERAGE(OFFSET($CX$3,0,0,'Données projet'!$E$13+1,1))-AVERAGE(OFFSET($H$3,0,0,'Données projet'!$E$13+1,1))</f>
        <v>397.61813291201469</v>
      </c>
      <c r="CZ148" s="58">
        <f t="shared" si="150"/>
        <v>320.30651625485064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0.13100466108914224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0.13100466108914224</v>
      </c>
      <c r="DJ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58" t="e">
        <f t="shared" si="125"/>
        <v>#N/A</v>
      </c>
      <c r="DT148" s="58" t="e">
        <f ca="1">AVERAGE(OFFSET($DS$3,0,0,'Données projet'!$E$14+1,1))-AVERAGE(OFFSET($H$3,0,0,'Données projet'!$E$14+1,1))</f>
        <v>#N/A</v>
      </c>
      <c r="DU148" s="58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58" t="e">
        <f t="shared" si="128"/>
        <v>#N/A</v>
      </c>
      <c r="EO148" s="58" t="e">
        <f ca="1">AVERAGE(OFFSET($EN$3,0,0,'Données projet'!$E$15+1,1))-AVERAGE(OFFSET($H$3,0,0,'Données projet'!$E$15+1,1))</f>
        <v>#N/A</v>
      </c>
      <c r="EP148" s="58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58" t="e">
        <f t="shared" si="131"/>
        <v>#N/A</v>
      </c>
      <c r="FJ148" s="58" t="e">
        <f ca="1">AVERAGE(OFFSET($FI$3,0,0,'Données projet'!$E$16+1,1))-AVERAGE(OFFSET($H$3,0,0,'Données projet'!$E$16+1,1))</f>
        <v>#N/A</v>
      </c>
      <c r="FK148" s="58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58" t="e">
        <f t="shared" si="134"/>
        <v>#N/A</v>
      </c>
      <c r="GE148" s="58" t="e">
        <f ca="1">AVERAGE(OFFSET($GD$3,0,0,'Données projet'!$E$17+1,1))-AVERAGE(OFFSET($H$3,0,0,'Données projet'!$E$17+1,1))</f>
        <v>#N/A</v>
      </c>
      <c r="GF148" s="58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58" t="e">
        <f t="shared" si="137"/>
        <v>#N/A</v>
      </c>
      <c r="GZ148" s="58" t="e">
        <f ca="1">AVERAGE(OFFSET($GY$3,0,0,'Données projet'!$E$18+1,1))-AVERAGE(OFFSET($H$3,0,0,'Données projet'!$E$18+1,1))</f>
        <v>#N/A</v>
      </c>
      <c r="HA148" s="58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0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3">
        <f t="shared" si="110"/>
        <v>183.33333333333334</v>
      </c>
      <c r="I149" s="6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3.6</v>
      </c>
      <c r="N149" s="14">
        <f>IF('Données projet'!$A$36&gt;35,N148+M149-V148,IF(A149&lt;'Données projet'!$A$36,$K$205^A149,IF(A149='Données projet'!$A$36,'Données projet'!$B$36,N148+M149-V148)))</f>
        <v>340.60000000000093</v>
      </c>
      <c r="O149" s="14">
        <f>N149*VLOOKUP('Données projet'!$B$9,Paramètres!$A$1:$I$89,3,0)*VLOOKUP('Données projet'!$B$9,Paramètres!$A$1:$I$89,5,0)</f>
        <v>286.92144000000081</v>
      </c>
      <c r="P149" s="14">
        <f t="shared" si="141"/>
        <v>68.427622886699126</v>
      </c>
      <c r="Q149" s="22">
        <f t="shared" si="108"/>
        <v>618.8996178610023</v>
      </c>
      <c r="R149" s="58">
        <f t="shared" si="109"/>
        <v>905.11116325483295</v>
      </c>
      <c r="S149" s="58">
        <f ca="1">AVERAGE(OFFSET($R$3,0,0,'Données projet'!$E$9+1,1))-AVERAGE(OFFSET($H$3,0,0,'Données projet'!$E$9+1,1))</f>
        <v>527.70171871461309</v>
      </c>
      <c r="T149" s="58">
        <f t="shared" si="142"/>
        <v>281.06176764290592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7.4487616075202823E-14</v>
      </c>
      <c r="AK149" s="14">
        <f t="shared" si="143"/>
        <v>1.1580453144473142E-12</v>
      </c>
      <c r="AL149" s="22">
        <f t="shared" si="112"/>
        <v>2.1466615206600508E-12</v>
      </c>
      <c r="AM149" s="58">
        <f t="shared" si="113"/>
        <v>286.21154539383281</v>
      </c>
      <c r="AN149" s="58">
        <f ca="1">AVERAGE(OFFSET($AM$3,0,0,'Données projet'!$E$10+1,1))-AVERAGE(OFFSET($H$3,0,0,'Données projet'!$E$10+1,1))</f>
        <v>302.53318056366777</v>
      </c>
      <c r="AO149" s="58">
        <f t="shared" si="144"/>
        <v>318.32262615164541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0.10949129410837512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0.10949129410837512</v>
      </c>
      <c r="AY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9.1000000000003638</v>
      </c>
      <c r="BE149" s="14">
        <f>BD149*VLOOKUP('Données projet'!$B$11,Paramètres!$A$1:$I$89,3,0)*VLOOKUP('Données projet'!$B$11,Paramètres!$A$1:$I$89,5,0)</f>
        <v>7.2399600000002895</v>
      </c>
      <c r="BF149" s="14">
        <f t="shared" si="145"/>
        <v>2.6498112636338633</v>
      </c>
      <c r="BG149" s="22">
        <f t="shared" si="115"/>
        <v>17.224684950829481</v>
      </c>
      <c r="BH149" s="58">
        <f t="shared" si="116"/>
        <v>303.43623034466015</v>
      </c>
      <c r="BI149" s="58">
        <f ca="1">AVERAGE(OFFSET($BH$3,0,0,'Données projet'!$E$11+1,1))-AVERAGE(OFFSET($H$3,0,0,'Données projet'!$E$11+1,1))</f>
        <v>336.25341821407534</v>
      </c>
      <c r="BJ149" s="58">
        <f t="shared" si="146"/>
        <v>360.3246221345039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0.20856586890411449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0.20856586890411449</v>
      </c>
      <c r="BT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projet'!$B$12,Paramètres!$A$1:$I$89,3,0)*VLOOKUP('Données projet'!$B$12,Paramètres!$A$1:$I$89,5,0)</f>
        <v>4.6111381379887463E-14</v>
      </c>
      <c r="CA149" s="14">
        <f t="shared" si="147"/>
        <v>7.5804141040779151E-13</v>
      </c>
      <c r="CB149" s="22">
        <f t="shared" si="118"/>
        <v>1.4005661123635408E-12</v>
      </c>
      <c r="CC149" s="58">
        <f t="shared" si="119"/>
        <v>286.21154539383207</v>
      </c>
      <c r="CD149" s="58">
        <f ca="1">AVERAGE(OFFSET($CC$3,0,0,'Données projet'!$E$12+1,1))-AVERAGE(OFFSET($H$3,0,0,'Données projet'!$E$12+1,1))</f>
        <v>308.58270639204238</v>
      </c>
      <c r="CE149" s="58">
        <f t="shared" si="148"/>
        <v>258.90832875500325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5.4092197387944907E-14</v>
      </c>
      <c r="CV149" s="14">
        <f t="shared" si="149"/>
        <v>8.7287050538073676E-13</v>
      </c>
      <c r="CW149" s="22">
        <f t="shared" si="121"/>
        <v>1.6144600406554537E-12</v>
      </c>
      <c r="CX149" s="58">
        <f t="shared" si="122"/>
        <v>286.21154539383224</v>
      </c>
      <c r="CY149" s="58">
        <f ca="1">AVERAGE(OFFSET($CX$3,0,0,'Données projet'!$E$13+1,1))-AVERAGE(OFFSET($H$3,0,0,'Données projet'!$E$13+1,1))</f>
        <v>397.61813291201469</v>
      </c>
      <c r="CZ149" s="58">
        <f t="shared" si="150"/>
        <v>320.30651625485064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0.12742233174242393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0.12742233174242393</v>
      </c>
      <c r="DJ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58" t="e">
        <f t="shared" si="125"/>
        <v>#N/A</v>
      </c>
      <c r="DT149" s="58" t="e">
        <f ca="1">AVERAGE(OFFSET($DS$3,0,0,'Données projet'!$E$14+1,1))-AVERAGE(OFFSET($H$3,0,0,'Données projet'!$E$14+1,1))</f>
        <v>#N/A</v>
      </c>
      <c r="DU149" s="58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58" t="e">
        <f t="shared" si="128"/>
        <v>#N/A</v>
      </c>
      <c r="EO149" s="58" t="e">
        <f ca="1">AVERAGE(OFFSET($EN$3,0,0,'Données projet'!$E$15+1,1))-AVERAGE(OFFSET($H$3,0,0,'Données projet'!$E$15+1,1))</f>
        <v>#N/A</v>
      </c>
      <c r="EP149" s="58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58" t="e">
        <f t="shared" si="131"/>
        <v>#N/A</v>
      </c>
      <c r="FJ149" s="58" t="e">
        <f ca="1">AVERAGE(OFFSET($FI$3,0,0,'Données projet'!$E$16+1,1))-AVERAGE(OFFSET($H$3,0,0,'Données projet'!$E$16+1,1))</f>
        <v>#N/A</v>
      </c>
      <c r="FK149" s="58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58" t="e">
        <f t="shared" si="134"/>
        <v>#N/A</v>
      </c>
      <c r="GE149" s="58" t="e">
        <f ca="1">AVERAGE(OFFSET($GD$3,0,0,'Données projet'!$E$17+1,1))-AVERAGE(OFFSET($H$3,0,0,'Données projet'!$E$17+1,1))</f>
        <v>#N/A</v>
      </c>
      <c r="GF149" s="58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58" t="e">
        <f t="shared" si="137"/>
        <v>#N/A</v>
      </c>
      <c r="GZ149" s="58" t="e">
        <f ca="1">AVERAGE(OFFSET($GY$3,0,0,'Données projet'!$E$18+1,1))-AVERAGE(OFFSET($H$3,0,0,'Données projet'!$E$18+1,1))</f>
        <v>#N/A</v>
      </c>
      <c r="HA149" s="58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0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3">
        <f t="shared" si="110"/>
        <v>183.33333333333334</v>
      </c>
      <c r="I150" s="6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3.6</v>
      </c>
      <c r="N150" s="14">
        <f>IF('Données projet'!$A$36&gt;35,N149+M150-V149,IF(A150&lt;'Données projet'!$A$36,$K$205^A150,IF(A150='Données projet'!$A$36,'Données projet'!$B$36,N149+M150-V149)))</f>
        <v>344.20000000000095</v>
      </c>
      <c r="O150" s="14">
        <f>N150*VLOOKUP('Données projet'!$B$9,Paramètres!$A$1:$I$89,3,0)*VLOOKUP('Données projet'!$B$9,Paramètres!$A$1:$I$89,5,0)</f>
        <v>289.95408000000083</v>
      </c>
      <c r="P150" s="14">
        <f t="shared" si="141"/>
        <v>69.066296281101643</v>
      </c>
      <c r="Q150" s="22">
        <f t="shared" si="108"/>
        <v>625.29382202292015</v>
      </c>
      <c r="R150" s="58">
        <f t="shared" si="109"/>
        <v>911.62891451556857</v>
      </c>
      <c r="S150" s="58">
        <f ca="1">AVERAGE(OFFSET($R$3,0,0,'Données projet'!$E$9+1,1))-AVERAGE(OFFSET($H$3,0,0,'Données projet'!$E$9+1,1))</f>
        <v>527.70171871461309</v>
      </c>
      <c r="T150" s="58">
        <f t="shared" si="142"/>
        <v>281.06176764290592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7.4487616075202823E-14</v>
      </c>
      <c r="AK150" s="14">
        <f t="shared" si="143"/>
        <v>1.1580453144473142E-12</v>
      </c>
      <c r="AL150" s="22">
        <f t="shared" si="112"/>
        <v>2.1466615206600508E-12</v>
      </c>
      <c r="AM150" s="58">
        <f t="shared" si="113"/>
        <v>286.33509249265057</v>
      </c>
      <c r="AN150" s="58">
        <f ca="1">AVERAGE(OFFSET($AM$3,0,0,'Données projet'!$E$10+1,1))-AVERAGE(OFFSET($H$3,0,0,'Données projet'!$E$10+1,1))</f>
        <v>302.53318056366777</v>
      </c>
      <c r="AO150" s="58">
        <f t="shared" si="144"/>
        <v>318.32262615164541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0.10649724891308469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0.10649724891308469</v>
      </c>
      <c r="AY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9.1000000000003638</v>
      </c>
      <c r="BE150" s="14">
        <f>BD150*VLOOKUP('Données projet'!$B$11,Paramètres!$A$1:$I$89,3,0)*VLOOKUP('Données projet'!$B$11,Paramètres!$A$1:$I$89,5,0)</f>
        <v>7.2399600000002895</v>
      </c>
      <c r="BF150" s="14">
        <f t="shared" si="145"/>
        <v>2.6498112636338633</v>
      </c>
      <c r="BG150" s="22">
        <f t="shared" si="115"/>
        <v>17.224684950829481</v>
      </c>
      <c r="BH150" s="58">
        <f t="shared" si="116"/>
        <v>303.55977744347791</v>
      </c>
      <c r="BI150" s="58">
        <f ca="1">AVERAGE(OFFSET($BH$3,0,0,'Données projet'!$E$11+1,1))-AVERAGE(OFFSET($H$3,0,0,'Données projet'!$E$11+1,1))</f>
        <v>336.25341821407534</v>
      </c>
      <c r="BJ150" s="58">
        <f t="shared" si="146"/>
        <v>360.3246221345039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0.20286262425092913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0.20286262425092913</v>
      </c>
      <c r="BT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projet'!$B$12,Paramètres!$A$1:$I$89,3,0)*VLOOKUP('Données projet'!$B$12,Paramètres!$A$1:$I$89,5,0)</f>
        <v>4.6111381379887463E-14</v>
      </c>
      <c r="CA150" s="14">
        <f t="shared" si="147"/>
        <v>7.5804141040779151E-13</v>
      </c>
      <c r="CB150" s="22">
        <f t="shared" si="118"/>
        <v>1.4005661123635408E-12</v>
      </c>
      <c r="CC150" s="58">
        <f t="shared" si="119"/>
        <v>286.33509249264984</v>
      </c>
      <c r="CD150" s="58">
        <f ca="1">AVERAGE(OFFSET($CC$3,0,0,'Données projet'!$E$12+1,1))-AVERAGE(OFFSET($H$3,0,0,'Données projet'!$E$12+1,1))</f>
        <v>308.58270639204238</v>
      </c>
      <c r="CE150" s="58">
        <f t="shared" si="148"/>
        <v>258.90832875500325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5.4092197387944907E-14</v>
      </c>
      <c r="CV150" s="14">
        <f t="shared" si="149"/>
        <v>8.7287050538073676E-13</v>
      </c>
      <c r="CW150" s="22">
        <f t="shared" si="121"/>
        <v>1.6144600406554537E-12</v>
      </c>
      <c r="CX150" s="58">
        <f t="shared" si="122"/>
        <v>286.33509249265001</v>
      </c>
      <c r="CY150" s="58">
        <f ca="1">AVERAGE(OFFSET($CX$3,0,0,'Données projet'!$E$13+1,1))-AVERAGE(OFFSET($H$3,0,0,'Données projet'!$E$13+1,1))</f>
        <v>397.61813291201469</v>
      </c>
      <c r="CZ150" s="58">
        <f t="shared" si="150"/>
        <v>320.30651625485064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0.12393796138007815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0.12393796138007815</v>
      </c>
      <c r="DJ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58" t="e">
        <f t="shared" si="125"/>
        <v>#N/A</v>
      </c>
      <c r="DT150" s="58" t="e">
        <f ca="1">AVERAGE(OFFSET($DS$3,0,0,'Données projet'!$E$14+1,1))-AVERAGE(OFFSET($H$3,0,0,'Données projet'!$E$14+1,1))</f>
        <v>#N/A</v>
      </c>
      <c r="DU150" s="58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58" t="e">
        <f t="shared" si="128"/>
        <v>#N/A</v>
      </c>
      <c r="EO150" s="58" t="e">
        <f ca="1">AVERAGE(OFFSET($EN$3,0,0,'Données projet'!$E$15+1,1))-AVERAGE(OFFSET($H$3,0,0,'Données projet'!$E$15+1,1))</f>
        <v>#N/A</v>
      </c>
      <c r="EP150" s="58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58" t="e">
        <f t="shared" si="131"/>
        <v>#N/A</v>
      </c>
      <c r="FJ150" s="58" t="e">
        <f ca="1">AVERAGE(OFFSET($FI$3,0,0,'Données projet'!$E$16+1,1))-AVERAGE(OFFSET($H$3,0,0,'Données projet'!$E$16+1,1))</f>
        <v>#N/A</v>
      </c>
      <c r="FK150" s="58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58" t="e">
        <f t="shared" si="134"/>
        <v>#N/A</v>
      </c>
      <c r="GE150" s="58" t="e">
        <f ca="1">AVERAGE(OFFSET($GD$3,0,0,'Données projet'!$E$17+1,1))-AVERAGE(OFFSET($H$3,0,0,'Données projet'!$E$17+1,1))</f>
        <v>#N/A</v>
      </c>
      <c r="GF150" s="58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58" t="e">
        <f t="shared" si="137"/>
        <v>#N/A</v>
      </c>
      <c r="GZ150" s="58" t="e">
        <f ca="1">AVERAGE(OFFSET($GY$3,0,0,'Données projet'!$E$18+1,1))-AVERAGE(OFFSET($H$3,0,0,'Données projet'!$E$18+1,1))</f>
        <v>#N/A</v>
      </c>
      <c r="HA150" s="58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0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3">
        <f t="shared" si="110"/>
        <v>183.33333333333334</v>
      </c>
      <c r="I151" s="6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3.6</v>
      </c>
      <c r="N151" s="14">
        <f>IF('Données projet'!$A$36&gt;35,N150+M151-V150,IF(A151&lt;'Données projet'!$A$36,$K$205^A151,IF(A151='Données projet'!$A$36,'Données projet'!$B$36,N150+M151-V150)))</f>
        <v>347.80000000000098</v>
      </c>
      <c r="O151" s="14">
        <f>N151*VLOOKUP('Données projet'!$B$9,Paramètres!$A$1:$I$89,3,0)*VLOOKUP('Données projet'!$B$9,Paramètres!$A$1:$I$89,5,0)</f>
        <v>292.98672000000084</v>
      </c>
      <c r="P151" s="14">
        <f t="shared" si="141"/>
        <v>69.704192592377595</v>
      </c>
      <c r="Q151" s="22">
        <f t="shared" si="108"/>
        <v>631.68667276505914</v>
      </c>
      <c r="R151" s="58">
        <f t="shared" si="109"/>
        <v>918.14316909057084</v>
      </c>
      <c r="S151" s="58">
        <f ca="1">AVERAGE(OFFSET($R$3,0,0,'Données projet'!$E$9+1,1))-AVERAGE(OFFSET($H$3,0,0,'Données projet'!$E$9+1,1))</f>
        <v>527.70171871461309</v>
      </c>
      <c r="T151" s="58">
        <f t="shared" si="142"/>
        <v>281.06176764290592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7.4487616075202823E-14</v>
      </c>
      <c r="AK151" s="14">
        <f t="shared" si="143"/>
        <v>1.1580453144473142E-12</v>
      </c>
      <c r="AL151" s="22">
        <f t="shared" si="112"/>
        <v>2.1466615206600508E-12</v>
      </c>
      <c r="AM151" s="58">
        <f t="shared" si="113"/>
        <v>286.45649632551385</v>
      </c>
      <c r="AN151" s="58">
        <f ca="1">AVERAGE(OFFSET($AM$3,0,0,'Données projet'!$E$10+1,1))-AVERAGE(OFFSET($H$3,0,0,'Données projet'!$E$10+1,1))</f>
        <v>302.53318056366777</v>
      </c>
      <c r="AO151" s="58">
        <f t="shared" si="144"/>
        <v>318.32262615164541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0.10358507604110948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0.10358507604110948</v>
      </c>
      <c r="AY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9.1000000000003638</v>
      </c>
      <c r="BE151" s="14">
        <f>BD151*VLOOKUP('Données projet'!$B$11,Paramètres!$A$1:$I$89,3,0)*VLOOKUP('Données projet'!$B$11,Paramètres!$A$1:$I$89,5,0)</f>
        <v>7.2399600000002895</v>
      </c>
      <c r="BF151" s="14">
        <f t="shared" si="145"/>
        <v>2.6498112636338633</v>
      </c>
      <c r="BG151" s="22">
        <f t="shared" si="115"/>
        <v>17.224684950829481</v>
      </c>
      <c r="BH151" s="58">
        <f t="shared" si="116"/>
        <v>303.68118127634119</v>
      </c>
      <c r="BI151" s="58">
        <f ca="1">AVERAGE(OFFSET($BH$3,0,0,'Données projet'!$E$11+1,1))-AVERAGE(OFFSET($H$3,0,0,'Données projet'!$E$11+1,1))</f>
        <v>336.25341821407534</v>
      </c>
      <c r="BJ151" s="58">
        <f t="shared" si="146"/>
        <v>360.3246221345039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0.19731533512270572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0.19731533512270572</v>
      </c>
      <c r="BT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projet'!$B$12,Paramètres!$A$1:$I$89,3,0)*VLOOKUP('Données projet'!$B$12,Paramètres!$A$1:$I$89,5,0)</f>
        <v>4.6111381379887463E-14</v>
      </c>
      <c r="CA151" s="14">
        <f t="shared" si="147"/>
        <v>7.5804141040779151E-13</v>
      </c>
      <c r="CB151" s="22">
        <f t="shared" si="118"/>
        <v>1.4005661123635408E-12</v>
      </c>
      <c r="CC151" s="58">
        <f t="shared" si="119"/>
        <v>286.45649632551311</v>
      </c>
      <c r="CD151" s="58">
        <f ca="1">AVERAGE(OFFSET($CC$3,0,0,'Données projet'!$E$12+1,1))-AVERAGE(OFFSET($H$3,0,0,'Données projet'!$E$12+1,1))</f>
        <v>308.58270639204238</v>
      </c>
      <c r="CE151" s="58">
        <f t="shared" si="148"/>
        <v>258.90832875500325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5.4092197387944907E-14</v>
      </c>
      <c r="CV151" s="14">
        <f t="shared" si="149"/>
        <v>8.7287050538073676E-13</v>
      </c>
      <c r="CW151" s="22">
        <f t="shared" si="121"/>
        <v>1.6144600406554537E-12</v>
      </c>
      <c r="CX151" s="58">
        <f t="shared" si="122"/>
        <v>286.45649632551329</v>
      </c>
      <c r="CY151" s="58">
        <f ca="1">AVERAGE(OFFSET($CX$3,0,0,'Données projet'!$E$13+1,1))-AVERAGE(OFFSET($H$3,0,0,'Données projet'!$E$13+1,1))</f>
        <v>397.61813291201469</v>
      </c>
      <c r="CZ151" s="58">
        <f t="shared" si="150"/>
        <v>320.30651625485064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0.12054887130852579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0.12054887130852579</v>
      </c>
      <c r="DJ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58" t="e">
        <f t="shared" si="125"/>
        <v>#N/A</v>
      </c>
      <c r="DT151" s="58" t="e">
        <f ca="1">AVERAGE(OFFSET($DS$3,0,0,'Données projet'!$E$14+1,1))-AVERAGE(OFFSET($H$3,0,0,'Données projet'!$E$14+1,1))</f>
        <v>#N/A</v>
      </c>
      <c r="DU151" s="58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58" t="e">
        <f t="shared" si="128"/>
        <v>#N/A</v>
      </c>
      <c r="EO151" s="58" t="e">
        <f ca="1">AVERAGE(OFFSET($EN$3,0,0,'Données projet'!$E$15+1,1))-AVERAGE(OFFSET($H$3,0,0,'Données projet'!$E$15+1,1))</f>
        <v>#N/A</v>
      </c>
      <c r="EP151" s="58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58" t="e">
        <f t="shared" si="131"/>
        <v>#N/A</v>
      </c>
      <c r="FJ151" s="58" t="e">
        <f ca="1">AVERAGE(OFFSET($FI$3,0,0,'Données projet'!$E$16+1,1))-AVERAGE(OFFSET($H$3,0,0,'Données projet'!$E$16+1,1))</f>
        <v>#N/A</v>
      </c>
      <c r="FK151" s="58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58" t="e">
        <f t="shared" si="134"/>
        <v>#N/A</v>
      </c>
      <c r="GE151" s="58" t="e">
        <f ca="1">AVERAGE(OFFSET($GD$3,0,0,'Données projet'!$E$17+1,1))-AVERAGE(OFFSET($H$3,0,0,'Données projet'!$E$17+1,1))</f>
        <v>#N/A</v>
      </c>
      <c r="GF151" s="58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58" t="e">
        <f t="shared" si="137"/>
        <v>#N/A</v>
      </c>
      <c r="GZ151" s="58" t="e">
        <f ca="1">AVERAGE(OFFSET($GY$3,0,0,'Données projet'!$E$18+1,1))-AVERAGE(OFFSET($H$3,0,0,'Données projet'!$E$18+1,1))</f>
        <v>#N/A</v>
      </c>
      <c r="HA151" s="58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0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3">
        <f t="shared" si="110"/>
        <v>183.33333333333334</v>
      </c>
      <c r="I152" s="6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3.6</v>
      </c>
      <c r="N152" s="14">
        <f>IF('Données projet'!$A$36&gt;35,N151+M152-V151,IF(A152&lt;'Données projet'!$A$36,$K$205^A152,IF(A152='Données projet'!$A$36,'Données projet'!$B$36,N151+M152-V151)))</f>
        <v>351.400000000001</v>
      </c>
      <c r="O152" s="14">
        <f>N152*VLOOKUP('Données projet'!$B$9,Paramètres!$A$1:$I$89,3,0)*VLOOKUP('Données projet'!$B$9,Paramètres!$A$1:$I$89,5,0)</f>
        <v>296.01936000000086</v>
      </c>
      <c r="P152" s="14">
        <f t="shared" si="141"/>
        <v>70.34132079510853</v>
      </c>
      <c r="Q152" s="22">
        <f t="shared" si="108"/>
        <v>638.0781857181488</v>
      </c>
      <c r="R152" s="58">
        <f t="shared" si="109"/>
        <v>924.65397979144188</v>
      </c>
      <c r="S152" s="58">
        <f ca="1">AVERAGE(OFFSET($R$3,0,0,'Données projet'!$E$9+1,1))-AVERAGE(OFFSET($H$3,0,0,'Données projet'!$E$9+1,1))</f>
        <v>527.70171871461309</v>
      </c>
      <c r="T152" s="58">
        <f t="shared" si="142"/>
        <v>281.06176764290592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7.4487616075202823E-14</v>
      </c>
      <c r="AK152" s="14">
        <f t="shared" si="143"/>
        <v>1.1580453144473142E-12</v>
      </c>
      <c r="AL152" s="22">
        <f t="shared" si="112"/>
        <v>2.1466615206600508E-12</v>
      </c>
      <c r="AM152" s="58">
        <f t="shared" si="113"/>
        <v>286.57579407329524</v>
      </c>
      <c r="AN152" s="58">
        <f ca="1">AVERAGE(OFFSET($AM$3,0,0,'Données projet'!$E$10+1,1))-AVERAGE(OFFSET($H$3,0,0,'Données projet'!$E$10+1,1))</f>
        <v>302.53318056366777</v>
      </c>
      <c r="AO152" s="58">
        <f t="shared" si="144"/>
        <v>318.32262615164541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0.10075253668946293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0.10075253668946293</v>
      </c>
      <c r="AY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9.1000000000003638</v>
      </c>
      <c r="BE152" s="14">
        <f>BD152*VLOOKUP('Données projet'!$B$11,Paramètres!$A$1:$I$89,3,0)*VLOOKUP('Données projet'!$B$11,Paramètres!$A$1:$I$89,5,0)</f>
        <v>7.2399600000002895</v>
      </c>
      <c r="BF152" s="14">
        <f t="shared" si="145"/>
        <v>2.6498112636338633</v>
      </c>
      <c r="BG152" s="22">
        <f t="shared" si="115"/>
        <v>17.224684950829481</v>
      </c>
      <c r="BH152" s="58">
        <f t="shared" si="116"/>
        <v>303.80047902412258</v>
      </c>
      <c r="BI152" s="58">
        <f ca="1">AVERAGE(OFFSET($BH$3,0,0,'Données projet'!$E$11+1,1))-AVERAGE(OFFSET($H$3,0,0,'Données projet'!$E$11+1,1))</f>
        <v>336.25341821407534</v>
      </c>
      <c r="BJ152" s="58">
        <f t="shared" si="146"/>
        <v>360.3246221345039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0.19191973690741282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0.19191973690741282</v>
      </c>
      <c r="BT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projet'!$B$12,Paramètres!$A$1:$I$89,3,0)*VLOOKUP('Données projet'!$B$12,Paramètres!$A$1:$I$89,5,0)</f>
        <v>4.6111381379887463E-14</v>
      </c>
      <c r="CA152" s="14">
        <f t="shared" si="147"/>
        <v>7.5804141040779151E-13</v>
      </c>
      <c r="CB152" s="22">
        <f t="shared" si="118"/>
        <v>1.4005661123635408E-12</v>
      </c>
      <c r="CC152" s="58">
        <f t="shared" si="119"/>
        <v>286.5757940732945</v>
      </c>
      <c r="CD152" s="58">
        <f ca="1">AVERAGE(OFFSET($CC$3,0,0,'Données projet'!$E$12+1,1))-AVERAGE(OFFSET($H$3,0,0,'Données projet'!$E$12+1,1))</f>
        <v>308.58270639204238</v>
      </c>
      <c r="CE152" s="58">
        <f t="shared" si="148"/>
        <v>258.90832875500325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5.4092197387944907E-14</v>
      </c>
      <c r="CV152" s="14">
        <f t="shared" si="149"/>
        <v>8.7287050538073676E-13</v>
      </c>
      <c r="CW152" s="22">
        <f t="shared" si="121"/>
        <v>1.6144600406554537E-12</v>
      </c>
      <c r="CX152" s="58">
        <f t="shared" si="122"/>
        <v>286.57579407329467</v>
      </c>
      <c r="CY152" s="58">
        <f ca="1">AVERAGE(OFFSET($CX$3,0,0,'Données projet'!$E$13+1,1))-AVERAGE(OFFSET($H$3,0,0,'Données projet'!$E$13+1,1))</f>
        <v>397.61813291201469</v>
      </c>
      <c r="CZ152" s="58">
        <f t="shared" si="150"/>
        <v>320.30651625485064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0.11725245608320453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0.11725245608320453</v>
      </c>
      <c r="DJ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58" t="e">
        <f t="shared" si="125"/>
        <v>#N/A</v>
      </c>
      <c r="DT152" s="58" t="e">
        <f ca="1">AVERAGE(OFFSET($DS$3,0,0,'Données projet'!$E$14+1,1))-AVERAGE(OFFSET($H$3,0,0,'Données projet'!$E$14+1,1))</f>
        <v>#N/A</v>
      </c>
      <c r="DU152" s="58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58" t="e">
        <f t="shared" si="128"/>
        <v>#N/A</v>
      </c>
      <c r="EO152" s="58" t="e">
        <f ca="1">AVERAGE(OFFSET($EN$3,0,0,'Données projet'!$E$15+1,1))-AVERAGE(OFFSET($H$3,0,0,'Données projet'!$E$15+1,1))</f>
        <v>#N/A</v>
      </c>
      <c r="EP152" s="58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58" t="e">
        <f t="shared" si="131"/>
        <v>#N/A</v>
      </c>
      <c r="FJ152" s="58" t="e">
        <f ca="1">AVERAGE(OFFSET($FI$3,0,0,'Données projet'!$E$16+1,1))-AVERAGE(OFFSET($H$3,0,0,'Données projet'!$E$16+1,1))</f>
        <v>#N/A</v>
      </c>
      <c r="FK152" s="58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58" t="e">
        <f t="shared" si="134"/>
        <v>#N/A</v>
      </c>
      <c r="GE152" s="58" t="e">
        <f ca="1">AVERAGE(OFFSET($GD$3,0,0,'Données projet'!$E$17+1,1))-AVERAGE(OFFSET($H$3,0,0,'Données projet'!$E$17+1,1))</f>
        <v>#N/A</v>
      </c>
      <c r="GF152" s="58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58" t="e">
        <f t="shared" si="137"/>
        <v>#N/A</v>
      </c>
      <c r="GZ152" s="58" t="e">
        <f ca="1">AVERAGE(OFFSET($GY$3,0,0,'Données projet'!$E$18+1,1))-AVERAGE(OFFSET($H$3,0,0,'Données projet'!$E$18+1,1))</f>
        <v>#N/A</v>
      </c>
      <c r="HA152" s="58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0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3">
        <f t="shared" si="110"/>
        <v>183.33333333333334</v>
      </c>
      <c r="I153" s="6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355</v>
      </c>
      <c r="L153" s="13">
        <f>VLOOKUP(A153,'Données projet'!$A$35:$I$55,9,0)</f>
        <v>3.6</v>
      </c>
      <c r="M153" s="13">
        <f t="array" ref="M153">INDEX(L:L,MIN(IF(ISNUMBER(L153:L349),ROW(L153:L349),"")))</f>
        <v>3.6</v>
      </c>
      <c r="N153" s="14">
        <f>IF('Données projet'!$A$36&gt;35,N152+M153-V152,IF(A153&lt;'Données projet'!$A$36,$K$205^A153,IF(A153='Données projet'!$A$36,'Données projet'!$B$36,N152+M153-V152)))</f>
        <v>355.00000000000102</v>
      </c>
      <c r="O153" s="14">
        <f>N153*VLOOKUP('Données projet'!$B$9,Paramètres!$A$1:$I$89,3,0)*VLOOKUP('Données projet'!$B$9,Paramètres!$A$1:$I$89,5,0)</f>
        <v>299.05200000000087</v>
      </c>
      <c r="P153" s="14">
        <f t="shared" si="141"/>
        <v>70.977689669395588</v>
      </c>
      <c r="Q153" s="22">
        <f t="shared" si="108"/>
        <v>644.46837617419885</v>
      </c>
      <c r="R153" s="58">
        <f t="shared" si="109"/>
        <v>931.16139844605914</v>
      </c>
      <c r="S153" s="58">
        <f ca="1">AVERAGE(OFFSET($R$3,0,0,'Données projet'!$E$9+1,1))-AVERAGE(OFFSET($H$3,0,0,'Données projet'!$E$9+1,1))</f>
        <v>527.70171871461309</v>
      </c>
      <c r="T153" s="58">
        <f t="shared" si="142"/>
        <v>281.06176764290592</v>
      </c>
      <c r="U153" s="16">
        <f>IF(ISNA(VLOOKUP(A153,'Données projet'!$A$35:$I$55,3,0)),0,VLOOKUP(A153,'Données projet'!$A$35:$I$55,3,0))</f>
        <v>11</v>
      </c>
      <c r="V153" s="16">
        <f>IF(ISNA(VLOOKUP(A153,'Données projet'!$A$35:$I$55,4,0)),0,VLOOKUP(A153,'Données projet'!$A$35:$I$55,4,0))</f>
        <v>355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7.4487616075202823E-14</v>
      </c>
      <c r="AK153" s="14">
        <f t="shared" si="143"/>
        <v>1.1580453144473142E-12</v>
      </c>
      <c r="AL153" s="22">
        <f t="shared" si="112"/>
        <v>2.1466615206600508E-12</v>
      </c>
      <c r="AM153" s="58">
        <f t="shared" si="113"/>
        <v>286.6930222718625</v>
      </c>
      <c r="AN153" s="58">
        <f ca="1">AVERAGE(OFFSET($AM$3,0,0,'Données projet'!$E$10+1,1))-AVERAGE(OFFSET($H$3,0,0,'Données projet'!$E$10+1,1))</f>
        <v>302.53318056366777</v>
      </c>
      <c r="AO153" s="58">
        <f t="shared" si="144"/>
        <v>318.32262615164541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9.799745327534394E-2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9.799745327534394E-2</v>
      </c>
      <c r="AY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9.1000000000003638</v>
      </c>
      <c r="BE153" s="14">
        <f>BD153*VLOOKUP('Données projet'!$B$11,Paramètres!$A$1:$I$89,3,0)*VLOOKUP('Données projet'!$B$11,Paramètres!$A$1:$I$89,5,0)</f>
        <v>7.2399600000002895</v>
      </c>
      <c r="BF153" s="14">
        <f t="shared" si="145"/>
        <v>2.6498112636338633</v>
      </c>
      <c r="BG153" s="22">
        <f t="shared" si="115"/>
        <v>17.224684950829481</v>
      </c>
      <c r="BH153" s="58">
        <f t="shared" si="116"/>
        <v>303.91770722268984</v>
      </c>
      <c r="BI153" s="58">
        <f ca="1">AVERAGE(OFFSET($BH$3,0,0,'Données projet'!$E$11+1,1))-AVERAGE(OFFSET($H$3,0,0,'Données projet'!$E$11+1,1))</f>
        <v>336.25341821407534</v>
      </c>
      <c r="BJ153" s="58">
        <f t="shared" si="146"/>
        <v>360.3246221345039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0.18667168160905928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0.18667168160905928</v>
      </c>
      <c r="BT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projet'!$B$12,Paramètres!$A$1:$I$89,3,0)*VLOOKUP('Données projet'!$B$12,Paramètres!$A$1:$I$89,5,0)</f>
        <v>4.6111381379887463E-14</v>
      </c>
      <c r="CA153" s="14">
        <f t="shared" si="147"/>
        <v>7.5804141040779151E-13</v>
      </c>
      <c r="CB153" s="22">
        <f t="shared" si="118"/>
        <v>1.4005661123635408E-12</v>
      </c>
      <c r="CC153" s="58">
        <f t="shared" si="119"/>
        <v>286.69302227186176</v>
      </c>
      <c r="CD153" s="58">
        <f ca="1">AVERAGE(OFFSET($CC$3,0,0,'Données projet'!$E$12+1,1))-AVERAGE(OFFSET($H$3,0,0,'Données projet'!$E$12+1,1))</f>
        <v>308.58270639204238</v>
      </c>
      <c r="CE153" s="58">
        <f t="shared" si="148"/>
        <v>258.90832875500325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5.4092197387944907E-14</v>
      </c>
      <c r="CV153" s="14">
        <f t="shared" si="149"/>
        <v>8.7287050538073676E-13</v>
      </c>
      <c r="CW153" s="22">
        <f t="shared" si="121"/>
        <v>1.6144600406554537E-12</v>
      </c>
      <c r="CX153" s="58">
        <f t="shared" si="122"/>
        <v>286.69302227186193</v>
      </c>
      <c r="CY153" s="58">
        <f ca="1">AVERAGE(OFFSET($CX$3,0,0,'Données projet'!$E$13+1,1))-AVERAGE(OFFSET($H$3,0,0,'Données projet'!$E$13+1,1))</f>
        <v>397.61813291201469</v>
      </c>
      <c r="CZ153" s="58">
        <f t="shared" si="150"/>
        <v>320.30651625485064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0.11404618150557062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0.11404618150557062</v>
      </c>
      <c r="DJ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58" t="e">
        <f t="shared" si="125"/>
        <v>#N/A</v>
      </c>
      <c r="DT153" s="58" t="e">
        <f ca="1">AVERAGE(OFFSET($DS$3,0,0,'Données projet'!$E$14+1,1))-AVERAGE(OFFSET($H$3,0,0,'Données projet'!$E$14+1,1))</f>
        <v>#N/A</v>
      </c>
      <c r="DU153" s="58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58" t="e">
        <f t="shared" si="128"/>
        <v>#N/A</v>
      </c>
      <c r="EO153" s="58" t="e">
        <f ca="1">AVERAGE(OFFSET($EN$3,0,0,'Données projet'!$E$15+1,1))-AVERAGE(OFFSET($H$3,0,0,'Données projet'!$E$15+1,1))</f>
        <v>#N/A</v>
      </c>
      <c r="EP153" s="58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58" t="e">
        <f t="shared" si="131"/>
        <v>#N/A</v>
      </c>
      <c r="FJ153" s="58" t="e">
        <f ca="1">AVERAGE(OFFSET($FI$3,0,0,'Données projet'!$E$16+1,1))-AVERAGE(OFFSET($H$3,0,0,'Données projet'!$E$16+1,1))</f>
        <v>#N/A</v>
      </c>
      <c r="FK153" s="58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58" t="e">
        <f t="shared" si="134"/>
        <v>#N/A</v>
      </c>
      <c r="GE153" s="58" t="e">
        <f ca="1">AVERAGE(OFFSET($GD$3,0,0,'Données projet'!$E$17+1,1))-AVERAGE(OFFSET($H$3,0,0,'Données projet'!$E$17+1,1))</f>
        <v>#N/A</v>
      </c>
      <c r="GF153" s="58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58" t="e">
        <f t="shared" si="137"/>
        <v>#N/A</v>
      </c>
      <c r="GZ153" s="58" t="e">
        <f ca="1">AVERAGE(OFFSET($GY$3,0,0,'Données projet'!$E$18+1,1))-AVERAGE(OFFSET($H$3,0,0,'Données projet'!$E$18+1,1))</f>
        <v>#N/A</v>
      </c>
      <c r="HA153" s="58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0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3">
        <f t="shared" si="110"/>
        <v>183.33333333333334</v>
      </c>
      <c r="I154" s="6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1.0231815394945443E-12</v>
      </c>
      <c r="O154" s="14">
        <f>N154*VLOOKUP('Données projet'!$B$9,Paramètres!$A$1:$I$89,3,0)*VLOOKUP('Données projet'!$B$9,Paramètres!$A$1:$I$89,5,0)</f>
        <v>8.6192812887020418E-13</v>
      </c>
      <c r="P154" s="14">
        <f t="shared" si="141"/>
        <v>1.007707029837753E-11</v>
      </c>
      <c r="Q154" s="22">
        <f t="shared" ref="Q154:Q203" si="162">(O154+P154)*0.475*44/12</f>
        <v>1.9052088927456466E-11</v>
      </c>
      <c r="R154" s="58">
        <f t="shared" si="109"/>
        <v>286.8082168232844</v>
      </c>
      <c r="S154" s="58">
        <f ca="1">AVERAGE(OFFSET($R$3,0,0,'Données projet'!$E$9+1,1))-AVERAGE(OFFSET($H$3,0,0,'Données projet'!$E$9+1,1))</f>
        <v>527.70171871461309</v>
      </c>
      <c r="T154" s="58">
        <f t="shared" si="142"/>
        <v>281.06176764290592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7.4487616075202823E-14</v>
      </c>
      <c r="AK154" s="14">
        <f t="shared" ref="AK154:AK203" si="164">EXP(-1.0587+0.8836*LN(AJ154)+0.284)</f>
        <v>1.1580453144473142E-12</v>
      </c>
      <c r="AL154" s="22">
        <f t="shared" ref="AL154:AL203" si="165">(AJ154+AK154)*0.475*44/12</f>
        <v>2.1466615206600508E-12</v>
      </c>
      <c r="AM154" s="58">
        <f t="shared" si="113"/>
        <v>286.80821682326751</v>
      </c>
      <c r="AN154" s="58">
        <f ca="1">AVERAGE(OFFSET($AM$3,0,0,'Données projet'!$E$10+1,1))-AVERAGE(OFFSET($H$3,0,0,'Données projet'!$E$10+1,1))</f>
        <v>302.53318056366777</v>
      </c>
      <c r="AO154" s="58">
        <f t="shared" si="144"/>
        <v>318.32262615164541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9.5317707762067563E-2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9.5317707762067563E-2</v>
      </c>
      <c r="AY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9.1000000000003638</v>
      </c>
      <c r="BE154" s="14">
        <f>BD154*VLOOKUP('Données projet'!$B$11,Paramètres!$A$1:$I$89,3,0)*VLOOKUP('Données projet'!$B$11,Paramètres!$A$1:$I$89,5,0)</f>
        <v>7.2399600000002895</v>
      </c>
      <c r="BF154" s="14">
        <f t="shared" ref="BF154:BF203" si="167">EXP(-1.0587+0.8836*LN(BE154)+0.284)</f>
        <v>2.6498112636338633</v>
      </c>
      <c r="BG154" s="22">
        <f t="shared" ref="BG154:BG203" si="168">(BE154+BF154)*0.475*44/12</f>
        <v>17.224684950829481</v>
      </c>
      <c r="BH154" s="58">
        <f t="shared" si="116"/>
        <v>304.03290177409485</v>
      </c>
      <c r="BI154" s="58">
        <f ca="1">AVERAGE(OFFSET($BH$3,0,0,'Données projet'!$E$11+1,1))-AVERAGE(OFFSET($H$3,0,0,'Données projet'!$E$11+1,1))</f>
        <v>336.25341821407534</v>
      </c>
      <c r="BJ154" s="58">
        <f t="shared" si="146"/>
        <v>360.3246221345039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0.18156713465882246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0.18156713465882246</v>
      </c>
      <c r="BT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projet'!$B$12,Paramètres!$A$1:$I$89,3,0)*VLOOKUP('Données projet'!$B$12,Paramètres!$A$1:$I$89,5,0)</f>
        <v>4.6111381379887463E-14</v>
      </c>
      <c r="CA154" s="14">
        <f t="shared" ref="CA154:CA203" si="170">EXP(-1.0587+0.8836*LN(BZ154)+0.284)</f>
        <v>7.5804141040779151E-13</v>
      </c>
      <c r="CB154" s="22">
        <f t="shared" ref="CB154:CB203" si="171">(BZ154+CA154)*0.475*44/12</f>
        <v>1.4005661123635408E-12</v>
      </c>
      <c r="CC154" s="58">
        <f t="shared" si="119"/>
        <v>286.80821682326678</v>
      </c>
      <c r="CD154" s="58">
        <f ca="1">AVERAGE(OFFSET($CC$3,0,0,'Données projet'!$E$12+1,1))-AVERAGE(OFFSET($H$3,0,0,'Données projet'!$E$12+1,1))</f>
        <v>308.58270639204238</v>
      </c>
      <c r="CE154" s="58">
        <f t="shared" si="148"/>
        <v>258.90832875500325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5.4092197387944907E-14</v>
      </c>
      <c r="CV154" s="14">
        <f t="shared" ref="CV154:CV203" si="173">EXP(-1.0587+0.8836*LN(CU154)+0.284)</f>
        <v>8.7287050538073676E-13</v>
      </c>
      <c r="CW154" s="22">
        <f t="shared" ref="CW154:CW203" si="174">(CU154+CV154)*0.475*44/12</f>
        <v>1.6144600406554537E-12</v>
      </c>
      <c r="CX154" s="58">
        <f t="shared" si="122"/>
        <v>286.80821682326695</v>
      </c>
      <c r="CY154" s="58">
        <f ca="1">AVERAGE(OFFSET($CX$3,0,0,'Données projet'!$E$13+1,1))-AVERAGE(OFFSET($H$3,0,0,'Données projet'!$E$13+1,1))</f>
        <v>397.61813291201469</v>
      </c>
      <c r="CZ154" s="58">
        <f t="shared" si="150"/>
        <v>320.30651625485064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0.11092758267487277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0.11092758267487277</v>
      </c>
      <c r="DJ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58" t="e">
        <f t="shared" si="125"/>
        <v>#N/A</v>
      </c>
      <c r="DT154" s="58" t="e">
        <f ca="1">AVERAGE(OFFSET($DS$3,0,0,'Données projet'!$E$14+1,1))-AVERAGE(OFFSET($H$3,0,0,'Données projet'!$E$14+1,1))</f>
        <v>#N/A</v>
      </c>
      <c r="DU154" s="58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58" t="e">
        <f t="shared" si="128"/>
        <v>#N/A</v>
      </c>
      <c r="EO154" s="58" t="e">
        <f ca="1">AVERAGE(OFFSET($EN$3,0,0,'Données projet'!$E$15+1,1))-AVERAGE(OFFSET($H$3,0,0,'Données projet'!$E$15+1,1))</f>
        <v>#N/A</v>
      </c>
      <c r="EP154" s="58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58" t="e">
        <f t="shared" si="131"/>
        <v>#N/A</v>
      </c>
      <c r="FJ154" s="58" t="e">
        <f ca="1">AVERAGE(OFFSET($FI$3,0,0,'Données projet'!$E$16+1,1))-AVERAGE(OFFSET($H$3,0,0,'Données projet'!$E$16+1,1))</f>
        <v>#N/A</v>
      </c>
      <c r="FK154" s="58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58" t="e">
        <f t="shared" si="134"/>
        <v>#N/A</v>
      </c>
      <c r="GE154" s="58" t="e">
        <f ca="1">AVERAGE(OFFSET($GD$3,0,0,'Données projet'!$E$17+1,1))-AVERAGE(OFFSET($H$3,0,0,'Données projet'!$E$17+1,1))</f>
        <v>#N/A</v>
      </c>
      <c r="GF154" s="58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58" t="e">
        <f t="shared" si="137"/>
        <v>#N/A</v>
      </c>
      <c r="GZ154" s="58" t="e">
        <f ca="1">AVERAGE(OFFSET($GY$3,0,0,'Données projet'!$E$18+1,1))-AVERAGE(OFFSET($H$3,0,0,'Données projet'!$E$18+1,1))</f>
        <v>#N/A</v>
      </c>
      <c r="HA154" s="58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0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3">
        <f t="shared" si="110"/>
        <v>183.33333333333334</v>
      </c>
      <c r="I155" s="6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1.0231815394945443E-12</v>
      </c>
      <c r="O155" s="14">
        <f>N155*VLOOKUP('Données projet'!$B$9,Paramètres!$A$1:$I$89,3,0)*VLOOKUP('Données projet'!$B$9,Paramètres!$A$1:$I$89,5,0)</f>
        <v>8.6192812887020418E-13</v>
      </c>
      <c r="P155" s="14">
        <f t="shared" si="141"/>
        <v>1.007707029837753E-11</v>
      </c>
      <c r="Q155" s="22">
        <f t="shared" si="162"/>
        <v>1.9052088927456466E-11</v>
      </c>
      <c r="R155" s="58">
        <f t="shared" si="109"/>
        <v>286.92141300675894</v>
      </c>
      <c r="S155" s="58">
        <f ca="1">AVERAGE(OFFSET($R$3,0,0,'Données projet'!$E$9+1,1))-AVERAGE(OFFSET($H$3,0,0,'Données projet'!$E$9+1,1))</f>
        <v>527.70171871461309</v>
      </c>
      <c r="T155" s="58">
        <f t="shared" si="142"/>
        <v>281.06176764290592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7.4487616075202823E-14</v>
      </c>
      <c r="AK155" s="14">
        <f t="shared" si="164"/>
        <v>1.1580453144473142E-12</v>
      </c>
      <c r="AL155" s="22">
        <f t="shared" si="165"/>
        <v>2.1466615206600508E-12</v>
      </c>
      <c r="AM155" s="58">
        <f t="shared" si="113"/>
        <v>286.92141300674206</v>
      </c>
      <c r="AN155" s="58">
        <f ca="1">AVERAGE(OFFSET($AM$3,0,0,'Données projet'!$E$10+1,1))-AVERAGE(OFFSET($H$3,0,0,'Données projet'!$E$10+1,1))</f>
        <v>302.53318056366777</v>
      </c>
      <c r="AO155" s="58">
        <f t="shared" si="144"/>
        <v>318.32262615164541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9.2711240030773426E-2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9.2711240030773426E-2</v>
      </c>
      <c r="AY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9.1000000000003638</v>
      </c>
      <c r="BE155" s="14">
        <f>BD155*VLOOKUP('Données projet'!$B$11,Paramètres!$A$1:$I$89,3,0)*VLOOKUP('Données projet'!$B$11,Paramètres!$A$1:$I$89,5,0)</f>
        <v>7.2399600000002895</v>
      </c>
      <c r="BF155" s="14">
        <f t="shared" si="167"/>
        <v>2.6498112636338633</v>
      </c>
      <c r="BG155" s="22">
        <f t="shared" si="168"/>
        <v>17.224684950829481</v>
      </c>
      <c r="BH155" s="58">
        <f t="shared" si="116"/>
        <v>304.1460979575694</v>
      </c>
      <c r="BI155" s="58">
        <f ca="1">AVERAGE(OFFSET($BH$3,0,0,'Données projet'!$E$11+1,1))-AVERAGE(OFFSET($H$3,0,0,'Données projet'!$E$11+1,1))</f>
        <v>336.25341821407534</v>
      </c>
      <c r="BJ155" s="58">
        <f t="shared" si="146"/>
        <v>360.3246221345039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0.17660217181337631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0.17660217181337631</v>
      </c>
      <c r="BT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projet'!$B$12,Paramètres!$A$1:$I$89,3,0)*VLOOKUP('Données projet'!$B$12,Paramètres!$A$1:$I$89,5,0)</f>
        <v>4.6111381379887463E-14</v>
      </c>
      <c r="CA155" s="14">
        <f t="shared" si="170"/>
        <v>7.5804141040779151E-13</v>
      </c>
      <c r="CB155" s="22">
        <f t="shared" si="171"/>
        <v>1.4005661123635408E-12</v>
      </c>
      <c r="CC155" s="58">
        <f t="shared" si="119"/>
        <v>286.92141300674132</v>
      </c>
      <c r="CD155" s="58">
        <f ca="1">AVERAGE(OFFSET($CC$3,0,0,'Données projet'!$E$12+1,1))-AVERAGE(OFFSET($H$3,0,0,'Données projet'!$E$12+1,1))</f>
        <v>308.58270639204238</v>
      </c>
      <c r="CE155" s="58">
        <f t="shared" si="148"/>
        <v>258.90832875500325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5.4092197387944907E-14</v>
      </c>
      <c r="CV155" s="14">
        <f t="shared" si="173"/>
        <v>8.7287050538073676E-13</v>
      </c>
      <c r="CW155" s="22">
        <f t="shared" si="174"/>
        <v>1.6144600406554537E-12</v>
      </c>
      <c r="CX155" s="58">
        <f t="shared" si="122"/>
        <v>286.92141300674149</v>
      </c>
      <c r="CY155" s="58">
        <f ca="1">AVERAGE(OFFSET($CX$3,0,0,'Données projet'!$E$13+1,1))-AVERAGE(OFFSET($H$3,0,0,'Données projet'!$E$13+1,1))</f>
        <v>397.61813291201469</v>
      </c>
      <c r="CZ155" s="58">
        <f t="shared" si="150"/>
        <v>320.30651625485064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0.10789426209320033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0.10789426209320033</v>
      </c>
      <c r="DJ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58" t="e">
        <f t="shared" si="125"/>
        <v>#N/A</v>
      </c>
      <c r="DT155" s="58" t="e">
        <f ca="1">AVERAGE(OFFSET($DS$3,0,0,'Données projet'!$E$14+1,1))-AVERAGE(OFFSET($H$3,0,0,'Données projet'!$E$14+1,1))</f>
        <v>#N/A</v>
      </c>
      <c r="DU155" s="58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58" t="e">
        <f t="shared" si="128"/>
        <v>#N/A</v>
      </c>
      <c r="EO155" s="58" t="e">
        <f ca="1">AVERAGE(OFFSET($EN$3,0,0,'Données projet'!$E$15+1,1))-AVERAGE(OFFSET($H$3,0,0,'Données projet'!$E$15+1,1))</f>
        <v>#N/A</v>
      </c>
      <c r="EP155" s="58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58" t="e">
        <f t="shared" si="131"/>
        <v>#N/A</v>
      </c>
      <c r="FJ155" s="58" t="e">
        <f ca="1">AVERAGE(OFFSET($FI$3,0,0,'Données projet'!$E$16+1,1))-AVERAGE(OFFSET($H$3,0,0,'Données projet'!$E$16+1,1))</f>
        <v>#N/A</v>
      </c>
      <c r="FK155" s="58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58" t="e">
        <f t="shared" si="134"/>
        <v>#N/A</v>
      </c>
      <c r="GE155" s="58" t="e">
        <f ca="1">AVERAGE(OFFSET($GD$3,0,0,'Données projet'!$E$17+1,1))-AVERAGE(OFFSET($H$3,0,0,'Données projet'!$E$17+1,1))</f>
        <v>#N/A</v>
      </c>
      <c r="GF155" s="58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58" t="e">
        <f t="shared" si="137"/>
        <v>#N/A</v>
      </c>
      <c r="GZ155" s="58" t="e">
        <f ca="1">AVERAGE(OFFSET($GY$3,0,0,'Données projet'!$E$18+1,1))-AVERAGE(OFFSET($H$3,0,0,'Données projet'!$E$18+1,1))</f>
        <v>#N/A</v>
      </c>
      <c r="HA155" s="58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0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3">
        <f t="shared" si="110"/>
        <v>183.33333333333334</v>
      </c>
      <c r="I156" s="6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1.0231815394945443E-12</v>
      </c>
      <c r="O156" s="14">
        <f>N156*VLOOKUP('Données projet'!$B$9,Paramètres!$A$1:$I$89,3,0)*VLOOKUP('Données projet'!$B$9,Paramètres!$A$1:$I$89,5,0)</f>
        <v>8.6192812887020418E-13</v>
      </c>
      <c r="P156" s="14">
        <f t="shared" si="141"/>
        <v>1.007707029837753E-11</v>
      </c>
      <c r="Q156" s="22">
        <f t="shared" si="162"/>
        <v>1.9052088927456466E-11</v>
      </c>
      <c r="R156" s="58">
        <f t="shared" si="109"/>
        <v>287.03264548951904</v>
      </c>
      <c r="S156" s="58">
        <f ca="1">AVERAGE(OFFSET($R$3,0,0,'Données projet'!$E$9+1,1))-AVERAGE(OFFSET($H$3,0,0,'Données projet'!$E$9+1,1))</f>
        <v>527.70171871461309</v>
      </c>
      <c r="T156" s="58">
        <f t="shared" si="142"/>
        <v>281.06176764290592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7.4487616075202823E-14</v>
      </c>
      <c r="AK156" s="14">
        <f t="shared" si="164"/>
        <v>1.1580453144473142E-12</v>
      </c>
      <c r="AL156" s="22">
        <f t="shared" si="165"/>
        <v>2.1466615206600508E-12</v>
      </c>
      <c r="AM156" s="58">
        <f t="shared" si="113"/>
        <v>287.03264548950216</v>
      </c>
      <c r="AN156" s="58">
        <f ca="1">AVERAGE(OFFSET($AM$3,0,0,'Données projet'!$E$10+1,1))-AVERAGE(OFFSET($H$3,0,0,'Données projet'!$E$10+1,1))</f>
        <v>302.53318056366777</v>
      </c>
      <c r="AO156" s="58">
        <f t="shared" si="144"/>
        <v>318.32262615164541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9.0176046296659707E-2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9.0176046296659707E-2</v>
      </c>
      <c r="AY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9.1000000000003638</v>
      </c>
      <c r="BE156" s="14">
        <f>BD156*VLOOKUP('Données projet'!$B$11,Paramètres!$A$1:$I$89,3,0)*VLOOKUP('Données projet'!$B$11,Paramètres!$A$1:$I$89,5,0)</f>
        <v>7.2399600000002895</v>
      </c>
      <c r="BF156" s="14">
        <f t="shared" si="167"/>
        <v>2.6498112636338633</v>
      </c>
      <c r="BG156" s="22">
        <f t="shared" si="168"/>
        <v>17.224684950829481</v>
      </c>
      <c r="BH156" s="58">
        <f t="shared" si="116"/>
        <v>304.2573304403295</v>
      </c>
      <c r="BI156" s="58">
        <f ca="1">AVERAGE(OFFSET($BH$3,0,0,'Données projet'!$E$11+1,1))-AVERAGE(OFFSET($H$3,0,0,'Données projet'!$E$11+1,1))</f>
        <v>336.25341821407534</v>
      </c>
      <c r="BJ156" s="58">
        <f t="shared" si="146"/>
        <v>360.3246221345039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0.17177297613803494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0.17177297613803494</v>
      </c>
      <c r="BT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projet'!$B$12,Paramètres!$A$1:$I$89,3,0)*VLOOKUP('Données projet'!$B$12,Paramètres!$A$1:$I$89,5,0)</f>
        <v>4.6111381379887463E-14</v>
      </c>
      <c r="CA156" s="14">
        <f t="shared" si="170"/>
        <v>7.5804141040779151E-13</v>
      </c>
      <c r="CB156" s="22">
        <f t="shared" si="171"/>
        <v>1.4005661123635408E-12</v>
      </c>
      <c r="CC156" s="58">
        <f t="shared" si="119"/>
        <v>287.03264548950142</v>
      </c>
      <c r="CD156" s="58">
        <f ca="1">AVERAGE(OFFSET($CC$3,0,0,'Données projet'!$E$12+1,1))-AVERAGE(OFFSET($H$3,0,0,'Données projet'!$E$12+1,1))</f>
        <v>308.58270639204238</v>
      </c>
      <c r="CE156" s="58">
        <f t="shared" si="148"/>
        <v>258.90832875500325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5.4092197387944907E-14</v>
      </c>
      <c r="CV156" s="14">
        <f t="shared" si="173"/>
        <v>8.7287050538073676E-13</v>
      </c>
      <c r="CW156" s="22">
        <f t="shared" si="174"/>
        <v>1.6144600406554537E-12</v>
      </c>
      <c r="CX156" s="58">
        <f t="shared" si="122"/>
        <v>287.03264548950159</v>
      </c>
      <c r="CY156" s="58">
        <f ca="1">AVERAGE(OFFSET($CX$3,0,0,'Données projet'!$E$13+1,1))-AVERAGE(OFFSET($H$3,0,0,'Données projet'!$E$13+1,1))</f>
        <v>397.61813291201469</v>
      </c>
      <c r="CZ156" s="58">
        <f t="shared" si="150"/>
        <v>320.30651625485064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0.10494388782234912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0.10494388782234912</v>
      </c>
      <c r="DJ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58" t="e">
        <f t="shared" si="125"/>
        <v>#N/A</v>
      </c>
      <c r="DT156" s="58" t="e">
        <f ca="1">AVERAGE(OFFSET($DS$3,0,0,'Données projet'!$E$14+1,1))-AVERAGE(OFFSET($H$3,0,0,'Données projet'!$E$14+1,1))</f>
        <v>#N/A</v>
      </c>
      <c r="DU156" s="58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58" t="e">
        <f t="shared" si="128"/>
        <v>#N/A</v>
      </c>
      <c r="EO156" s="58" t="e">
        <f ca="1">AVERAGE(OFFSET($EN$3,0,0,'Données projet'!$E$15+1,1))-AVERAGE(OFFSET($H$3,0,0,'Données projet'!$E$15+1,1))</f>
        <v>#N/A</v>
      </c>
      <c r="EP156" s="58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58" t="e">
        <f t="shared" si="131"/>
        <v>#N/A</v>
      </c>
      <c r="FJ156" s="58" t="e">
        <f ca="1">AVERAGE(OFFSET($FI$3,0,0,'Données projet'!$E$16+1,1))-AVERAGE(OFFSET($H$3,0,0,'Données projet'!$E$16+1,1))</f>
        <v>#N/A</v>
      </c>
      <c r="FK156" s="58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58" t="e">
        <f t="shared" si="134"/>
        <v>#N/A</v>
      </c>
      <c r="GE156" s="58" t="e">
        <f ca="1">AVERAGE(OFFSET($GD$3,0,0,'Données projet'!$E$17+1,1))-AVERAGE(OFFSET($H$3,0,0,'Données projet'!$E$17+1,1))</f>
        <v>#N/A</v>
      </c>
      <c r="GF156" s="58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58" t="e">
        <f t="shared" si="137"/>
        <v>#N/A</v>
      </c>
      <c r="GZ156" s="58" t="e">
        <f ca="1">AVERAGE(OFFSET($GY$3,0,0,'Données projet'!$E$18+1,1))-AVERAGE(OFFSET($H$3,0,0,'Données projet'!$E$18+1,1))</f>
        <v>#N/A</v>
      </c>
      <c r="HA156" s="58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0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3">
        <f t="shared" si="110"/>
        <v>183.33333333333334</v>
      </c>
      <c r="I157" s="6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1.0231815394945443E-12</v>
      </c>
      <c r="O157" s="14">
        <f>N157*VLOOKUP('Données projet'!$B$9,Paramètres!$A$1:$I$89,3,0)*VLOOKUP('Données projet'!$B$9,Paramètres!$A$1:$I$89,5,0)</f>
        <v>8.6192812887020418E-13</v>
      </c>
      <c r="P157" s="14">
        <f t="shared" si="141"/>
        <v>1.007707029837753E-11</v>
      </c>
      <c r="Q157" s="22">
        <f t="shared" si="162"/>
        <v>1.9052088927456466E-11</v>
      </c>
      <c r="R157" s="58">
        <f t="shared" si="109"/>
        <v>287.14194833738179</v>
      </c>
      <c r="S157" s="58">
        <f ca="1">AVERAGE(OFFSET($R$3,0,0,'Données projet'!$E$9+1,1))-AVERAGE(OFFSET($H$3,0,0,'Données projet'!$E$9+1,1))</f>
        <v>527.70171871461309</v>
      </c>
      <c r="T157" s="58">
        <f t="shared" si="142"/>
        <v>281.06176764290592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7.4487616075202823E-14</v>
      </c>
      <c r="AK157" s="14">
        <f t="shared" si="164"/>
        <v>1.1580453144473142E-12</v>
      </c>
      <c r="AL157" s="22">
        <f t="shared" si="165"/>
        <v>2.1466615206600508E-12</v>
      </c>
      <c r="AM157" s="58">
        <f t="shared" si="113"/>
        <v>287.14194833736491</v>
      </c>
      <c r="AN157" s="58">
        <f ca="1">AVERAGE(OFFSET($AM$3,0,0,'Données projet'!$E$10+1,1))-AVERAGE(OFFSET($H$3,0,0,'Données projet'!$E$10+1,1))</f>
        <v>302.53318056366777</v>
      </c>
      <c r="AO157" s="58">
        <f t="shared" si="144"/>
        <v>318.32262615164541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8.7710177568525366E-2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8.7710177568525366E-2</v>
      </c>
      <c r="AY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9.1000000000003638</v>
      </c>
      <c r="BE157" s="14">
        <f>BD157*VLOOKUP('Données projet'!$B$11,Paramètres!$A$1:$I$89,3,0)*VLOOKUP('Données projet'!$B$11,Paramètres!$A$1:$I$89,5,0)</f>
        <v>7.2399600000002895</v>
      </c>
      <c r="BF157" s="14">
        <f t="shared" si="167"/>
        <v>2.6498112636338633</v>
      </c>
      <c r="BG157" s="22">
        <f t="shared" si="168"/>
        <v>17.224684950829481</v>
      </c>
      <c r="BH157" s="58">
        <f t="shared" si="116"/>
        <v>304.36663328819225</v>
      </c>
      <c r="BI157" s="58">
        <f ca="1">AVERAGE(OFFSET($BH$3,0,0,'Données projet'!$E$11+1,1))-AVERAGE(OFFSET($H$3,0,0,'Données projet'!$E$11+1,1))</f>
        <v>336.25341821407534</v>
      </c>
      <c r="BJ157" s="58">
        <f t="shared" si="146"/>
        <v>360.3246221345039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0.16707583507239215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0.16707583507239215</v>
      </c>
      <c r="BT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projet'!$B$12,Paramètres!$A$1:$I$89,3,0)*VLOOKUP('Données projet'!$B$12,Paramètres!$A$1:$I$89,5,0)</f>
        <v>4.6111381379887463E-14</v>
      </c>
      <c r="CA157" s="14">
        <f t="shared" si="170"/>
        <v>7.5804141040779151E-13</v>
      </c>
      <c r="CB157" s="22">
        <f t="shared" si="171"/>
        <v>1.4005661123635408E-12</v>
      </c>
      <c r="CC157" s="58">
        <f t="shared" si="119"/>
        <v>287.14194833736417</v>
      </c>
      <c r="CD157" s="58">
        <f ca="1">AVERAGE(OFFSET($CC$3,0,0,'Données projet'!$E$12+1,1))-AVERAGE(OFFSET($H$3,0,0,'Données projet'!$E$12+1,1))</f>
        <v>308.58270639204238</v>
      </c>
      <c r="CE157" s="58">
        <f t="shared" si="148"/>
        <v>258.90832875500325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5.4092197387944907E-14</v>
      </c>
      <c r="CV157" s="14">
        <f t="shared" si="173"/>
        <v>8.7287050538073676E-13</v>
      </c>
      <c r="CW157" s="22">
        <f t="shared" si="174"/>
        <v>1.6144600406554537E-12</v>
      </c>
      <c r="CX157" s="58">
        <f t="shared" si="122"/>
        <v>287.14194833736434</v>
      </c>
      <c r="CY157" s="58">
        <f ca="1">AVERAGE(OFFSET($CX$3,0,0,'Données projet'!$E$13+1,1))-AVERAGE(OFFSET($H$3,0,0,'Données projet'!$E$13+1,1))</f>
        <v>397.61813291201469</v>
      </c>
      <c r="CZ157" s="58">
        <f t="shared" si="150"/>
        <v>320.30651625485064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0.10207419169108778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0.10207419169108778</v>
      </c>
      <c r="DJ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58" t="e">
        <f t="shared" si="125"/>
        <v>#N/A</v>
      </c>
      <c r="DT157" s="58" t="e">
        <f ca="1">AVERAGE(OFFSET($DS$3,0,0,'Données projet'!$E$14+1,1))-AVERAGE(OFFSET($H$3,0,0,'Données projet'!$E$14+1,1))</f>
        <v>#N/A</v>
      </c>
      <c r="DU157" s="58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58" t="e">
        <f t="shared" si="128"/>
        <v>#N/A</v>
      </c>
      <c r="EO157" s="58" t="e">
        <f ca="1">AVERAGE(OFFSET($EN$3,0,0,'Données projet'!$E$15+1,1))-AVERAGE(OFFSET($H$3,0,0,'Données projet'!$E$15+1,1))</f>
        <v>#N/A</v>
      </c>
      <c r="EP157" s="58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58" t="e">
        <f t="shared" si="131"/>
        <v>#N/A</v>
      </c>
      <c r="FJ157" s="58" t="e">
        <f ca="1">AVERAGE(OFFSET($FI$3,0,0,'Données projet'!$E$16+1,1))-AVERAGE(OFFSET($H$3,0,0,'Données projet'!$E$16+1,1))</f>
        <v>#N/A</v>
      </c>
      <c r="FK157" s="58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58" t="e">
        <f t="shared" si="134"/>
        <v>#N/A</v>
      </c>
      <c r="GE157" s="58" t="e">
        <f ca="1">AVERAGE(OFFSET($GD$3,0,0,'Données projet'!$E$17+1,1))-AVERAGE(OFFSET($H$3,0,0,'Données projet'!$E$17+1,1))</f>
        <v>#N/A</v>
      </c>
      <c r="GF157" s="58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58" t="e">
        <f t="shared" si="137"/>
        <v>#N/A</v>
      </c>
      <c r="GZ157" s="58" t="e">
        <f ca="1">AVERAGE(OFFSET($GY$3,0,0,'Données projet'!$E$18+1,1))-AVERAGE(OFFSET($H$3,0,0,'Données projet'!$E$18+1,1))</f>
        <v>#N/A</v>
      </c>
      <c r="HA157" s="58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0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3">
        <f t="shared" si="110"/>
        <v>183.33333333333334</v>
      </c>
      <c r="I158" s="6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1.0231815394945443E-12</v>
      </c>
      <c r="O158" s="14">
        <f>N158*VLOOKUP('Données projet'!$B$9,Paramètres!$A$1:$I$89,3,0)*VLOOKUP('Données projet'!$B$9,Paramètres!$A$1:$I$89,5,0)</f>
        <v>8.6192812887020418E-13</v>
      </c>
      <c r="P158" s="14">
        <f t="shared" si="141"/>
        <v>1.007707029837753E-11</v>
      </c>
      <c r="Q158" s="22">
        <f t="shared" si="162"/>
        <v>1.9052088927456466E-11</v>
      </c>
      <c r="R158" s="58">
        <f t="shared" si="109"/>
        <v>287.24935502519872</v>
      </c>
      <c r="S158" s="58">
        <f ca="1">AVERAGE(OFFSET($R$3,0,0,'Données projet'!$E$9+1,1))-AVERAGE(OFFSET($H$3,0,0,'Données projet'!$E$9+1,1))</f>
        <v>527.70171871461309</v>
      </c>
      <c r="T158" s="58">
        <f t="shared" si="142"/>
        <v>281.06176764290592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7.4487616075202823E-14</v>
      </c>
      <c r="AK158" s="14">
        <f t="shared" si="164"/>
        <v>1.1580453144473142E-12</v>
      </c>
      <c r="AL158" s="22">
        <f t="shared" si="165"/>
        <v>2.1466615206600508E-12</v>
      </c>
      <c r="AM158" s="58">
        <f t="shared" si="113"/>
        <v>287.24935502518184</v>
      </c>
      <c r="AN158" s="58">
        <f ca="1">AVERAGE(OFFSET($AM$3,0,0,'Données projet'!$E$10+1,1))-AVERAGE(OFFSET($H$3,0,0,'Données projet'!$E$10+1,1))</f>
        <v>302.53318056366777</v>
      </c>
      <c r="AO158" s="58">
        <f t="shared" si="144"/>
        <v>318.32262615164541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8.5311738150436273E-2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8.5311738150436273E-2</v>
      </c>
      <c r="AY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9.1000000000003638</v>
      </c>
      <c r="BE158" s="14">
        <f>BD158*VLOOKUP('Données projet'!$B$11,Paramètres!$A$1:$I$89,3,0)*VLOOKUP('Données projet'!$B$11,Paramètres!$A$1:$I$89,5,0)</f>
        <v>7.2399600000002895</v>
      </c>
      <c r="BF158" s="14">
        <f t="shared" si="167"/>
        <v>2.6498112636338633</v>
      </c>
      <c r="BG158" s="22">
        <f t="shared" si="168"/>
        <v>17.224684950829481</v>
      </c>
      <c r="BH158" s="58">
        <f t="shared" si="116"/>
        <v>304.47403997600918</v>
      </c>
      <c r="BI158" s="58">
        <f ca="1">AVERAGE(OFFSET($BH$3,0,0,'Données projet'!$E$11+1,1))-AVERAGE(OFFSET($H$3,0,0,'Données projet'!$E$11+1,1))</f>
        <v>336.25341821407534</v>
      </c>
      <c r="BJ158" s="58">
        <f t="shared" si="146"/>
        <v>360.3246221345039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0.16250713757620128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0.16250713757620128</v>
      </c>
      <c r="BT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projet'!$B$12,Paramètres!$A$1:$I$89,3,0)*VLOOKUP('Données projet'!$B$12,Paramètres!$A$1:$I$89,5,0)</f>
        <v>4.6111381379887463E-14</v>
      </c>
      <c r="CA158" s="14">
        <f t="shared" si="170"/>
        <v>7.5804141040779151E-13</v>
      </c>
      <c r="CB158" s="22">
        <f t="shared" si="171"/>
        <v>1.4005661123635408E-12</v>
      </c>
      <c r="CC158" s="58">
        <f t="shared" si="119"/>
        <v>287.2493550251811</v>
      </c>
      <c r="CD158" s="58">
        <f ca="1">AVERAGE(OFFSET($CC$3,0,0,'Données projet'!$E$12+1,1))-AVERAGE(OFFSET($H$3,0,0,'Données projet'!$E$12+1,1))</f>
        <v>308.58270639204238</v>
      </c>
      <c r="CE158" s="58">
        <f t="shared" si="148"/>
        <v>258.90832875500325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5.4092197387944907E-14</v>
      </c>
      <c r="CV158" s="14">
        <f t="shared" si="173"/>
        <v>8.7287050538073676E-13</v>
      </c>
      <c r="CW158" s="22">
        <f t="shared" si="174"/>
        <v>1.6144600406554537E-12</v>
      </c>
      <c r="CX158" s="58">
        <f t="shared" si="122"/>
        <v>287.24935502518127</v>
      </c>
      <c r="CY158" s="58">
        <f ca="1">AVERAGE(OFFSET($CX$3,0,0,'Données projet'!$E$13+1,1))-AVERAGE(OFFSET($H$3,0,0,'Données projet'!$E$13+1,1))</f>
        <v>397.61813291201469</v>
      </c>
      <c r="CZ158" s="58">
        <f t="shared" si="150"/>
        <v>320.30651625485064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9.9282967551446541E-2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9.9282967551446541E-2</v>
      </c>
      <c r="DJ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58" t="e">
        <f t="shared" si="125"/>
        <v>#N/A</v>
      </c>
      <c r="DT158" s="58" t="e">
        <f ca="1">AVERAGE(OFFSET($DS$3,0,0,'Données projet'!$E$14+1,1))-AVERAGE(OFFSET($H$3,0,0,'Données projet'!$E$14+1,1))</f>
        <v>#N/A</v>
      </c>
      <c r="DU158" s="58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58" t="e">
        <f t="shared" si="128"/>
        <v>#N/A</v>
      </c>
      <c r="EO158" s="58" t="e">
        <f ca="1">AVERAGE(OFFSET($EN$3,0,0,'Données projet'!$E$15+1,1))-AVERAGE(OFFSET($H$3,0,0,'Données projet'!$E$15+1,1))</f>
        <v>#N/A</v>
      </c>
      <c r="EP158" s="58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58" t="e">
        <f t="shared" si="131"/>
        <v>#N/A</v>
      </c>
      <c r="FJ158" s="58" t="e">
        <f ca="1">AVERAGE(OFFSET($FI$3,0,0,'Données projet'!$E$16+1,1))-AVERAGE(OFFSET($H$3,0,0,'Données projet'!$E$16+1,1))</f>
        <v>#N/A</v>
      </c>
      <c r="FK158" s="58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58" t="e">
        <f t="shared" si="134"/>
        <v>#N/A</v>
      </c>
      <c r="GE158" s="58" t="e">
        <f ca="1">AVERAGE(OFFSET($GD$3,0,0,'Données projet'!$E$17+1,1))-AVERAGE(OFFSET($H$3,0,0,'Données projet'!$E$17+1,1))</f>
        <v>#N/A</v>
      </c>
      <c r="GF158" s="58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58" t="e">
        <f t="shared" si="137"/>
        <v>#N/A</v>
      </c>
      <c r="GZ158" s="58" t="e">
        <f ca="1">AVERAGE(OFFSET($GY$3,0,0,'Données projet'!$E$18+1,1))-AVERAGE(OFFSET($H$3,0,0,'Données projet'!$E$18+1,1))</f>
        <v>#N/A</v>
      </c>
      <c r="HA158" s="58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0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3">
        <f t="shared" si="110"/>
        <v>183.33333333333334</v>
      </c>
      <c r="I159" s="6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1.0231815394945443E-12</v>
      </c>
      <c r="O159" s="14">
        <f>N159*VLOOKUP('Données projet'!$B$9,Paramètres!$A$1:$I$89,3,0)*VLOOKUP('Données projet'!$B$9,Paramètres!$A$1:$I$89,5,0)</f>
        <v>8.6192812887020418E-13</v>
      </c>
      <c r="P159" s="14">
        <f t="shared" si="141"/>
        <v>1.007707029837753E-11</v>
      </c>
      <c r="Q159" s="22">
        <f t="shared" si="162"/>
        <v>1.9052088927456466E-11</v>
      </c>
      <c r="R159" s="58">
        <f t="shared" si="109"/>
        <v>287.35489844710736</v>
      </c>
      <c r="S159" s="58">
        <f ca="1">AVERAGE(OFFSET($R$3,0,0,'Données projet'!$E$9+1,1))-AVERAGE(OFFSET($H$3,0,0,'Données projet'!$E$9+1,1))</f>
        <v>527.70171871461309</v>
      </c>
      <c r="T159" s="58">
        <f t="shared" si="142"/>
        <v>281.06176764290592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7.4487616075202823E-14</v>
      </c>
      <c r="AK159" s="14">
        <f t="shared" si="164"/>
        <v>1.1580453144473142E-12</v>
      </c>
      <c r="AL159" s="22">
        <f t="shared" si="165"/>
        <v>2.1466615206600508E-12</v>
      </c>
      <c r="AM159" s="58">
        <f t="shared" si="113"/>
        <v>287.35489844709048</v>
      </c>
      <c r="AN159" s="58">
        <f ca="1">AVERAGE(OFFSET($AM$3,0,0,'Données projet'!$E$10+1,1))-AVERAGE(OFFSET($H$3,0,0,'Données projet'!$E$10+1,1))</f>
        <v>302.53318056366777</v>
      </c>
      <c r="AO159" s="58">
        <f t="shared" si="144"/>
        <v>318.32262615164541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8.2978884184363264E-2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8.2978884184363264E-2</v>
      </c>
      <c r="AY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9.1000000000003638</v>
      </c>
      <c r="BE159" s="14">
        <f>BD159*VLOOKUP('Données projet'!$B$11,Paramètres!$A$1:$I$89,3,0)*VLOOKUP('Données projet'!$B$11,Paramètres!$A$1:$I$89,5,0)</f>
        <v>7.2399600000002895</v>
      </c>
      <c r="BF159" s="14">
        <f t="shared" si="167"/>
        <v>2.6498112636338633</v>
      </c>
      <c r="BG159" s="22">
        <f t="shared" si="168"/>
        <v>17.224684950829481</v>
      </c>
      <c r="BH159" s="58">
        <f t="shared" si="116"/>
        <v>304.57958339791782</v>
      </c>
      <c r="BI159" s="58">
        <f ca="1">AVERAGE(OFFSET($BH$3,0,0,'Données projet'!$E$11+1,1))-AVERAGE(OFFSET($H$3,0,0,'Données projet'!$E$11+1,1))</f>
        <v>336.25341821407534</v>
      </c>
      <c r="BJ159" s="58">
        <f t="shared" si="146"/>
        <v>360.3246221345039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0.15806337135330109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0.15806337135330109</v>
      </c>
      <c r="BT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projet'!$B$12,Paramètres!$A$1:$I$89,3,0)*VLOOKUP('Données projet'!$B$12,Paramètres!$A$1:$I$89,5,0)</f>
        <v>4.6111381379887463E-14</v>
      </c>
      <c r="CA159" s="14">
        <f t="shared" si="170"/>
        <v>7.5804141040779151E-13</v>
      </c>
      <c r="CB159" s="22">
        <f t="shared" si="171"/>
        <v>1.4005661123635408E-12</v>
      </c>
      <c r="CC159" s="58">
        <f t="shared" si="119"/>
        <v>287.35489844708974</v>
      </c>
      <c r="CD159" s="58">
        <f ca="1">AVERAGE(OFFSET($CC$3,0,0,'Données projet'!$E$12+1,1))-AVERAGE(OFFSET($H$3,0,0,'Données projet'!$E$12+1,1))</f>
        <v>308.58270639204238</v>
      </c>
      <c r="CE159" s="58">
        <f t="shared" si="148"/>
        <v>258.90832875500325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5.4092197387944907E-14</v>
      </c>
      <c r="CV159" s="14">
        <f t="shared" si="173"/>
        <v>8.7287050538073676E-13</v>
      </c>
      <c r="CW159" s="22">
        <f t="shared" si="174"/>
        <v>1.6144600406554537E-12</v>
      </c>
      <c r="CX159" s="58">
        <f t="shared" si="122"/>
        <v>287.35489844708991</v>
      </c>
      <c r="CY159" s="58">
        <f ca="1">AVERAGE(OFFSET($CX$3,0,0,'Données projet'!$E$13+1,1))-AVERAGE(OFFSET($H$3,0,0,'Données projet'!$E$13+1,1))</f>
        <v>397.61813291201469</v>
      </c>
      <c r="CZ159" s="58">
        <f t="shared" si="150"/>
        <v>320.30651625485064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9.656806958268789E-2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9.656806958268789E-2</v>
      </c>
      <c r="DJ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58" t="e">
        <f t="shared" si="125"/>
        <v>#N/A</v>
      </c>
      <c r="DT159" s="58" t="e">
        <f ca="1">AVERAGE(OFFSET($DS$3,0,0,'Données projet'!$E$14+1,1))-AVERAGE(OFFSET($H$3,0,0,'Données projet'!$E$14+1,1))</f>
        <v>#N/A</v>
      </c>
      <c r="DU159" s="58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58" t="e">
        <f t="shared" si="128"/>
        <v>#N/A</v>
      </c>
      <c r="EO159" s="58" t="e">
        <f ca="1">AVERAGE(OFFSET($EN$3,0,0,'Données projet'!$E$15+1,1))-AVERAGE(OFFSET($H$3,0,0,'Données projet'!$E$15+1,1))</f>
        <v>#N/A</v>
      </c>
      <c r="EP159" s="58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58" t="e">
        <f t="shared" si="131"/>
        <v>#N/A</v>
      </c>
      <c r="FJ159" s="58" t="e">
        <f ca="1">AVERAGE(OFFSET($FI$3,0,0,'Données projet'!$E$16+1,1))-AVERAGE(OFFSET($H$3,0,0,'Données projet'!$E$16+1,1))</f>
        <v>#N/A</v>
      </c>
      <c r="FK159" s="58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58" t="e">
        <f t="shared" si="134"/>
        <v>#N/A</v>
      </c>
      <c r="GE159" s="58" t="e">
        <f ca="1">AVERAGE(OFFSET($GD$3,0,0,'Données projet'!$E$17+1,1))-AVERAGE(OFFSET($H$3,0,0,'Données projet'!$E$17+1,1))</f>
        <v>#N/A</v>
      </c>
      <c r="GF159" s="58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58" t="e">
        <f t="shared" si="137"/>
        <v>#N/A</v>
      </c>
      <c r="GZ159" s="58" t="e">
        <f ca="1">AVERAGE(OFFSET($GY$3,0,0,'Données projet'!$E$18+1,1))-AVERAGE(OFFSET($H$3,0,0,'Données projet'!$E$18+1,1))</f>
        <v>#N/A</v>
      </c>
      <c r="HA159" s="58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0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3">
        <f t="shared" si="110"/>
        <v>183.33333333333334</v>
      </c>
      <c r="I160" s="6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1.0231815394945443E-12</v>
      </c>
      <c r="O160" s="14">
        <f>N160*VLOOKUP('Données projet'!$B$9,Paramètres!$A$1:$I$89,3,0)*VLOOKUP('Données projet'!$B$9,Paramètres!$A$1:$I$89,5,0)</f>
        <v>8.6192812887020418E-13</v>
      </c>
      <c r="P160" s="14">
        <f t="shared" si="141"/>
        <v>1.007707029837753E-11</v>
      </c>
      <c r="Q160" s="22">
        <f t="shared" si="162"/>
        <v>1.9052088927456466E-11</v>
      </c>
      <c r="R160" s="58">
        <f t="shared" si="109"/>
        <v>287.45861092660562</v>
      </c>
      <c r="S160" s="58">
        <f ca="1">AVERAGE(OFFSET($R$3,0,0,'Données projet'!$E$9+1,1))-AVERAGE(OFFSET($H$3,0,0,'Données projet'!$E$9+1,1))</f>
        <v>527.70171871461309</v>
      </c>
      <c r="T160" s="58">
        <f t="shared" si="142"/>
        <v>281.06176764290592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7.4487616075202823E-14</v>
      </c>
      <c r="AK160" s="14">
        <f t="shared" si="164"/>
        <v>1.1580453144473142E-12</v>
      </c>
      <c r="AL160" s="22">
        <f t="shared" si="165"/>
        <v>2.1466615206600508E-12</v>
      </c>
      <c r="AM160" s="58">
        <f t="shared" si="113"/>
        <v>287.45861092658873</v>
      </c>
      <c r="AN160" s="58">
        <f ca="1">AVERAGE(OFFSET($AM$3,0,0,'Données projet'!$E$10+1,1))-AVERAGE(OFFSET($H$3,0,0,'Données projet'!$E$10+1,1))</f>
        <v>302.53318056366777</v>
      </c>
      <c r="AO160" s="58">
        <f t="shared" si="144"/>
        <v>318.32262615164541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8.0709822232671979E-2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8.0709822232671979E-2</v>
      </c>
      <c r="AY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9.1000000000003638</v>
      </c>
      <c r="BE160" s="14">
        <f>BD160*VLOOKUP('Données projet'!$B$11,Paramètres!$A$1:$I$89,3,0)*VLOOKUP('Données projet'!$B$11,Paramètres!$A$1:$I$89,5,0)</f>
        <v>7.2399600000002895</v>
      </c>
      <c r="BF160" s="14">
        <f t="shared" si="167"/>
        <v>2.6498112636338633</v>
      </c>
      <c r="BG160" s="22">
        <f t="shared" si="168"/>
        <v>17.224684950829481</v>
      </c>
      <c r="BH160" s="58">
        <f t="shared" si="116"/>
        <v>304.68329587741607</v>
      </c>
      <c r="BI160" s="58">
        <f ca="1">AVERAGE(OFFSET($BH$3,0,0,'Données projet'!$E$11+1,1))-AVERAGE(OFFSET($H$3,0,0,'Données projet'!$E$11+1,1))</f>
        <v>336.25341821407534</v>
      </c>
      <c r="BJ160" s="58">
        <f t="shared" si="146"/>
        <v>360.3246221345039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0.15374112015145364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0.15374112015145364</v>
      </c>
      <c r="BT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projet'!$B$12,Paramètres!$A$1:$I$89,3,0)*VLOOKUP('Données projet'!$B$12,Paramètres!$A$1:$I$89,5,0)</f>
        <v>4.6111381379887463E-14</v>
      </c>
      <c r="CA160" s="14">
        <f t="shared" si="170"/>
        <v>7.5804141040779151E-13</v>
      </c>
      <c r="CB160" s="22">
        <f t="shared" si="171"/>
        <v>1.4005661123635408E-12</v>
      </c>
      <c r="CC160" s="58">
        <f t="shared" si="119"/>
        <v>287.45861092658799</v>
      </c>
      <c r="CD160" s="58">
        <f ca="1">AVERAGE(OFFSET($CC$3,0,0,'Données projet'!$E$12+1,1))-AVERAGE(OFFSET($H$3,0,0,'Données projet'!$E$12+1,1))</f>
        <v>308.58270639204238</v>
      </c>
      <c r="CE160" s="58">
        <f t="shared" si="148"/>
        <v>258.90832875500325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5.4092197387944907E-14</v>
      </c>
      <c r="CV160" s="14">
        <f t="shared" si="173"/>
        <v>8.7287050538073676E-13</v>
      </c>
      <c r="CW160" s="22">
        <f t="shared" si="174"/>
        <v>1.6144600406554537E-12</v>
      </c>
      <c r="CX160" s="58">
        <f t="shared" si="122"/>
        <v>287.45861092658816</v>
      </c>
      <c r="CY160" s="58">
        <f ca="1">AVERAGE(OFFSET($CX$3,0,0,'Données projet'!$E$13+1,1))-AVERAGE(OFFSET($H$3,0,0,'Données projet'!$E$13+1,1))</f>
        <v>397.61813291201469</v>
      </c>
      <c r="CZ160" s="58">
        <f t="shared" si="150"/>
        <v>320.30651625485064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9.3927410641655218E-2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9.3927410641655218E-2</v>
      </c>
      <c r="DJ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58" t="e">
        <f t="shared" si="125"/>
        <v>#N/A</v>
      </c>
      <c r="DT160" s="58" t="e">
        <f ca="1">AVERAGE(OFFSET($DS$3,0,0,'Données projet'!$E$14+1,1))-AVERAGE(OFFSET($H$3,0,0,'Données projet'!$E$14+1,1))</f>
        <v>#N/A</v>
      </c>
      <c r="DU160" s="58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58" t="e">
        <f t="shared" si="128"/>
        <v>#N/A</v>
      </c>
      <c r="EO160" s="58" t="e">
        <f ca="1">AVERAGE(OFFSET($EN$3,0,0,'Données projet'!$E$15+1,1))-AVERAGE(OFFSET($H$3,0,0,'Données projet'!$E$15+1,1))</f>
        <v>#N/A</v>
      </c>
      <c r="EP160" s="58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58" t="e">
        <f t="shared" si="131"/>
        <v>#N/A</v>
      </c>
      <c r="FJ160" s="58" t="e">
        <f ca="1">AVERAGE(OFFSET($FI$3,0,0,'Données projet'!$E$16+1,1))-AVERAGE(OFFSET($H$3,0,0,'Données projet'!$E$16+1,1))</f>
        <v>#N/A</v>
      </c>
      <c r="FK160" s="58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58" t="e">
        <f t="shared" si="134"/>
        <v>#N/A</v>
      </c>
      <c r="GE160" s="58" t="e">
        <f ca="1">AVERAGE(OFFSET($GD$3,0,0,'Données projet'!$E$17+1,1))-AVERAGE(OFFSET($H$3,0,0,'Données projet'!$E$17+1,1))</f>
        <v>#N/A</v>
      </c>
      <c r="GF160" s="58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58" t="e">
        <f t="shared" si="137"/>
        <v>#N/A</v>
      </c>
      <c r="GZ160" s="58" t="e">
        <f ca="1">AVERAGE(OFFSET($GY$3,0,0,'Données projet'!$E$18+1,1))-AVERAGE(OFFSET($H$3,0,0,'Données projet'!$E$18+1,1))</f>
        <v>#N/A</v>
      </c>
      <c r="HA160" s="58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0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3">
        <f t="shared" si="110"/>
        <v>183.33333333333334</v>
      </c>
      <c r="I161" s="6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1.0231815394945443E-12</v>
      </c>
      <c r="O161" s="14">
        <f>N161*VLOOKUP('Données projet'!$B$9,Paramètres!$A$1:$I$89,3,0)*VLOOKUP('Données projet'!$B$9,Paramètres!$A$1:$I$89,5,0)</f>
        <v>8.6192812887020418E-13</v>
      </c>
      <c r="P161" s="14">
        <f t="shared" si="141"/>
        <v>1.007707029837753E-11</v>
      </c>
      <c r="Q161" s="22">
        <f t="shared" si="162"/>
        <v>1.9052088927456466E-11</v>
      </c>
      <c r="R161" s="58">
        <f t="shared" si="109"/>
        <v>287.56052422645104</v>
      </c>
      <c r="S161" s="58">
        <f ca="1">AVERAGE(OFFSET($R$3,0,0,'Données projet'!$E$9+1,1))-AVERAGE(OFFSET($H$3,0,0,'Données projet'!$E$9+1,1))</f>
        <v>527.70171871461309</v>
      </c>
      <c r="T161" s="58">
        <f t="shared" si="142"/>
        <v>281.06176764290592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7.4487616075202823E-14</v>
      </c>
      <c r="AK161" s="14">
        <f t="shared" si="164"/>
        <v>1.1580453144473142E-12</v>
      </c>
      <c r="AL161" s="22">
        <f t="shared" si="165"/>
        <v>2.1466615206600508E-12</v>
      </c>
      <c r="AM161" s="58">
        <f t="shared" si="113"/>
        <v>287.56052422643415</v>
      </c>
      <c r="AN161" s="58">
        <f ca="1">AVERAGE(OFFSET($AM$3,0,0,'Données projet'!$E$10+1,1))-AVERAGE(OFFSET($H$3,0,0,'Données projet'!$E$10+1,1))</f>
        <v>302.53318056366777</v>
      </c>
      <c r="AO161" s="58">
        <f t="shared" si="144"/>
        <v>318.32262615164541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7.8502807899374472E-2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7.8502807899374472E-2</v>
      </c>
      <c r="AY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9.1000000000003638</v>
      </c>
      <c r="BE161" s="14">
        <f>BD161*VLOOKUP('Données projet'!$B$11,Paramètres!$A$1:$I$89,3,0)*VLOOKUP('Données projet'!$B$11,Paramètres!$A$1:$I$89,5,0)</f>
        <v>7.2399600000002895</v>
      </c>
      <c r="BF161" s="14">
        <f t="shared" si="167"/>
        <v>2.6498112636338633</v>
      </c>
      <c r="BG161" s="22">
        <f t="shared" si="168"/>
        <v>17.224684950829481</v>
      </c>
      <c r="BH161" s="58">
        <f t="shared" si="116"/>
        <v>304.78520917726149</v>
      </c>
      <c r="BI161" s="58">
        <f ca="1">AVERAGE(OFFSET($BH$3,0,0,'Données projet'!$E$11+1,1))-AVERAGE(OFFSET($H$3,0,0,'Données projet'!$E$11+1,1))</f>
        <v>336.25341821407534</v>
      </c>
      <c r="BJ161" s="58">
        <f t="shared" si="146"/>
        <v>360.3246221345039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0.149537061136018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0.149537061136018</v>
      </c>
      <c r="BT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projet'!$B$12,Paramètres!$A$1:$I$89,3,0)*VLOOKUP('Données projet'!$B$12,Paramètres!$A$1:$I$89,5,0)</f>
        <v>4.6111381379887463E-14</v>
      </c>
      <c r="CA161" s="14">
        <f t="shared" si="170"/>
        <v>7.5804141040779151E-13</v>
      </c>
      <c r="CB161" s="22">
        <f t="shared" si="171"/>
        <v>1.4005661123635408E-12</v>
      </c>
      <c r="CC161" s="58">
        <f t="shared" si="119"/>
        <v>287.56052422643342</v>
      </c>
      <c r="CD161" s="58">
        <f ca="1">AVERAGE(OFFSET($CC$3,0,0,'Données projet'!$E$12+1,1))-AVERAGE(OFFSET($H$3,0,0,'Données projet'!$E$12+1,1))</f>
        <v>308.58270639204238</v>
      </c>
      <c r="CE161" s="58">
        <f t="shared" si="148"/>
        <v>258.90832875500325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5.4092197387944907E-14</v>
      </c>
      <c r="CV161" s="14">
        <f t="shared" si="173"/>
        <v>8.7287050538073676E-13</v>
      </c>
      <c r="CW161" s="22">
        <f t="shared" si="174"/>
        <v>1.6144600406554537E-12</v>
      </c>
      <c r="CX161" s="58">
        <f t="shared" si="122"/>
        <v>287.56052422643359</v>
      </c>
      <c r="CY161" s="58">
        <f ca="1">AVERAGE(OFFSET($CX$3,0,0,'Données projet'!$E$13+1,1))-AVERAGE(OFFSET($H$3,0,0,'Données projet'!$E$13+1,1))</f>
        <v>397.61813291201469</v>
      </c>
      <c r="CZ161" s="58">
        <f t="shared" si="150"/>
        <v>320.30651625485064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9.1358960658231306E-2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9.1358960658231306E-2</v>
      </c>
      <c r="DJ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58" t="e">
        <f t="shared" si="125"/>
        <v>#N/A</v>
      </c>
      <c r="DT161" s="58" t="e">
        <f ca="1">AVERAGE(OFFSET($DS$3,0,0,'Données projet'!$E$14+1,1))-AVERAGE(OFFSET($H$3,0,0,'Données projet'!$E$14+1,1))</f>
        <v>#N/A</v>
      </c>
      <c r="DU161" s="58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58" t="e">
        <f t="shared" si="128"/>
        <v>#N/A</v>
      </c>
      <c r="EO161" s="58" t="e">
        <f ca="1">AVERAGE(OFFSET($EN$3,0,0,'Données projet'!$E$15+1,1))-AVERAGE(OFFSET($H$3,0,0,'Données projet'!$E$15+1,1))</f>
        <v>#N/A</v>
      </c>
      <c r="EP161" s="58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58" t="e">
        <f t="shared" si="131"/>
        <v>#N/A</v>
      </c>
      <c r="FJ161" s="58" t="e">
        <f ca="1">AVERAGE(OFFSET($FI$3,0,0,'Données projet'!$E$16+1,1))-AVERAGE(OFFSET($H$3,0,0,'Données projet'!$E$16+1,1))</f>
        <v>#N/A</v>
      </c>
      <c r="FK161" s="58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58" t="e">
        <f t="shared" si="134"/>
        <v>#N/A</v>
      </c>
      <c r="GE161" s="58" t="e">
        <f ca="1">AVERAGE(OFFSET($GD$3,0,0,'Données projet'!$E$17+1,1))-AVERAGE(OFFSET($H$3,0,0,'Données projet'!$E$17+1,1))</f>
        <v>#N/A</v>
      </c>
      <c r="GF161" s="58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58" t="e">
        <f t="shared" si="137"/>
        <v>#N/A</v>
      </c>
      <c r="GZ161" s="58" t="e">
        <f ca="1">AVERAGE(OFFSET($GY$3,0,0,'Données projet'!$E$18+1,1))-AVERAGE(OFFSET($H$3,0,0,'Données projet'!$E$18+1,1))</f>
        <v>#N/A</v>
      </c>
      <c r="HA161" s="58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0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3">
        <f t="shared" si="110"/>
        <v>183.33333333333334</v>
      </c>
      <c r="I162" s="6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1.0231815394945443E-12</v>
      </c>
      <c r="O162" s="14">
        <f>N162*VLOOKUP('Données projet'!$B$9,Paramètres!$A$1:$I$89,3,0)*VLOOKUP('Données projet'!$B$9,Paramètres!$A$1:$I$89,5,0)</f>
        <v>8.6192812887020418E-13</v>
      </c>
      <c r="P162" s="14">
        <f t="shared" si="141"/>
        <v>1.007707029837753E-11</v>
      </c>
      <c r="Q162" s="22">
        <f t="shared" si="162"/>
        <v>1.9052088927456466E-11</v>
      </c>
      <c r="R162" s="58">
        <f t="shared" si="109"/>
        <v>287.66066955838801</v>
      </c>
      <c r="S162" s="58">
        <f ca="1">AVERAGE(OFFSET($R$3,0,0,'Données projet'!$E$9+1,1))-AVERAGE(OFFSET($H$3,0,0,'Données projet'!$E$9+1,1))</f>
        <v>527.70171871461309</v>
      </c>
      <c r="T162" s="58">
        <f t="shared" si="142"/>
        <v>281.06176764290592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7.4487616075202823E-14</v>
      </c>
      <c r="AK162" s="14">
        <f t="shared" si="164"/>
        <v>1.1580453144473142E-12</v>
      </c>
      <c r="AL162" s="22">
        <f t="shared" si="165"/>
        <v>2.1466615206600508E-12</v>
      </c>
      <c r="AM162" s="58">
        <f t="shared" si="113"/>
        <v>287.66066955837113</v>
      </c>
      <c r="AN162" s="58">
        <f ca="1">AVERAGE(OFFSET($AM$3,0,0,'Données projet'!$E$10+1,1))-AVERAGE(OFFSET($H$3,0,0,'Données projet'!$E$10+1,1))</f>
        <v>302.53318056366777</v>
      </c>
      <c r="AO162" s="58">
        <f t="shared" si="144"/>
        <v>318.32262615164541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7.6356144489082831E-2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7.6356144489082831E-2</v>
      </c>
      <c r="AY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9.1000000000003638</v>
      </c>
      <c r="BE162" s="14">
        <f>BD162*VLOOKUP('Données projet'!$B$11,Paramètres!$A$1:$I$89,3,0)*VLOOKUP('Données projet'!$B$11,Paramètres!$A$1:$I$89,5,0)</f>
        <v>7.2399600000002895</v>
      </c>
      <c r="BF162" s="14">
        <f t="shared" si="167"/>
        <v>2.6498112636338633</v>
      </c>
      <c r="BG162" s="22">
        <f t="shared" si="168"/>
        <v>17.224684950829481</v>
      </c>
      <c r="BH162" s="58">
        <f t="shared" si="116"/>
        <v>304.88535450919846</v>
      </c>
      <c r="BI162" s="58">
        <f ca="1">AVERAGE(OFFSET($BH$3,0,0,'Données projet'!$E$11+1,1))-AVERAGE(OFFSET($H$3,0,0,'Données projet'!$E$11+1,1))</f>
        <v>336.25341821407534</v>
      </c>
      <c r="BJ162" s="58">
        <f t="shared" si="146"/>
        <v>360.3246221345039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0.14544796233544133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0.14544796233544133</v>
      </c>
      <c r="BT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projet'!$B$12,Paramètres!$A$1:$I$89,3,0)*VLOOKUP('Données projet'!$B$12,Paramètres!$A$1:$I$89,5,0)</f>
        <v>4.6111381379887463E-14</v>
      </c>
      <c r="CA162" s="14">
        <f t="shared" si="170"/>
        <v>7.5804141040779151E-13</v>
      </c>
      <c r="CB162" s="22">
        <f t="shared" si="171"/>
        <v>1.4005661123635408E-12</v>
      </c>
      <c r="CC162" s="58">
        <f t="shared" si="119"/>
        <v>287.66066955837039</v>
      </c>
      <c r="CD162" s="58">
        <f ca="1">AVERAGE(OFFSET($CC$3,0,0,'Données projet'!$E$12+1,1))-AVERAGE(OFFSET($H$3,0,0,'Données projet'!$E$12+1,1))</f>
        <v>308.58270639204238</v>
      </c>
      <c r="CE162" s="58">
        <f t="shared" si="148"/>
        <v>258.90832875500325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5.4092197387944907E-14</v>
      </c>
      <c r="CV162" s="14">
        <f t="shared" si="173"/>
        <v>8.7287050538073676E-13</v>
      </c>
      <c r="CW162" s="22">
        <f t="shared" si="174"/>
        <v>1.6144600406554537E-12</v>
      </c>
      <c r="CX162" s="58">
        <f t="shared" si="122"/>
        <v>287.66066955837056</v>
      </c>
      <c r="CY162" s="58">
        <f ca="1">AVERAGE(OFFSET($CX$3,0,0,'Données projet'!$E$13+1,1))-AVERAGE(OFFSET($H$3,0,0,'Données projet'!$E$13+1,1))</f>
        <v>397.61813291201469</v>
      </c>
      <c r="CZ162" s="58">
        <f t="shared" si="150"/>
        <v>320.30651625485064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8.8860745074673037E-2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8.8860745074673037E-2</v>
      </c>
      <c r="DJ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58" t="e">
        <f t="shared" si="125"/>
        <v>#N/A</v>
      </c>
      <c r="DT162" s="58" t="e">
        <f ca="1">AVERAGE(OFFSET($DS$3,0,0,'Données projet'!$E$14+1,1))-AVERAGE(OFFSET($H$3,0,0,'Données projet'!$E$14+1,1))</f>
        <v>#N/A</v>
      </c>
      <c r="DU162" s="58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58" t="e">
        <f t="shared" si="128"/>
        <v>#N/A</v>
      </c>
      <c r="EO162" s="58" t="e">
        <f ca="1">AVERAGE(OFFSET($EN$3,0,0,'Données projet'!$E$15+1,1))-AVERAGE(OFFSET($H$3,0,0,'Données projet'!$E$15+1,1))</f>
        <v>#N/A</v>
      </c>
      <c r="EP162" s="58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58" t="e">
        <f t="shared" si="131"/>
        <v>#N/A</v>
      </c>
      <c r="FJ162" s="58" t="e">
        <f ca="1">AVERAGE(OFFSET($FI$3,0,0,'Données projet'!$E$16+1,1))-AVERAGE(OFFSET($H$3,0,0,'Données projet'!$E$16+1,1))</f>
        <v>#N/A</v>
      </c>
      <c r="FK162" s="58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58" t="e">
        <f t="shared" si="134"/>
        <v>#N/A</v>
      </c>
      <c r="GE162" s="58" t="e">
        <f ca="1">AVERAGE(OFFSET($GD$3,0,0,'Données projet'!$E$17+1,1))-AVERAGE(OFFSET($H$3,0,0,'Données projet'!$E$17+1,1))</f>
        <v>#N/A</v>
      </c>
      <c r="GF162" s="58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58" t="e">
        <f t="shared" si="137"/>
        <v>#N/A</v>
      </c>
      <c r="GZ162" s="58" t="e">
        <f ca="1">AVERAGE(OFFSET($GY$3,0,0,'Données projet'!$E$18+1,1))-AVERAGE(OFFSET($H$3,0,0,'Données projet'!$E$18+1,1))</f>
        <v>#N/A</v>
      </c>
      <c r="HA162" s="58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0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3">
        <f t="shared" si="110"/>
        <v>183.33333333333334</v>
      </c>
      <c r="I163" s="6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1.0231815394945443E-12</v>
      </c>
      <c r="O163" s="14">
        <f>N163*VLOOKUP('Données projet'!$B$9,Paramètres!$A$1:$I$89,3,0)*VLOOKUP('Données projet'!$B$9,Paramètres!$A$1:$I$89,5,0)</f>
        <v>8.6192812887020418E-13</v>
      </c>
      <c r="P163" s="14">
        <f t="shared" si="141"/>
        <v>1.007707029837753E-11</v>
      </c>
      <c r="Q163" s="22">
        <f t="shared" si="162"/>
        <v>1.9052088927456466E-11</v>
      </c>
      <c r="R163" s="58">
        <f t="shared" si="109"/>
        <v>287.7590775927074</v>
      </c>
      <c r="S163" s="58">
        <f ca="1">AVERAGE(OFFSET($R$3,0,0,'Données projet'!$E$9+1,1))-AVERAGE(OFFSET($H$3,0,0,'Données projet'!$E$9+1,1))</f>
        <v>527.70171871461309</v>
      </c>
      <c r="T163" s="58">
        <f t="shared" si="142"/>
        <v>281.06176764290592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7.4487616075202823E-14</v>
      </c>
      <c r="AK163" s="14">
        <f t="shared" si="164"/>
        <v>1.1580453144473142E-12</v>
      </c>
      <c r="AL163" s="22">
        <f t="shared" si="165"/>
        <v>2.1466615206600508E-12</v>
      </c>
      <c r="AM163" s="58">
        <f t="shared" si="113"/>
        <v>287.75907759269052</v>
      </c>
      <c r="AN163" s="58">
        <f ca="1">AVERAGE(OFFSET($AM$3,0,0,'Données projet'!$E$10+1,1))-AVERAGE(OFFSET($H$3,0,0,'Données projet'!$E$10+1,1))</f>
        <v>302.53318056366777</v>
      </c>
      <c r="AO163" s="58">
        <f t="shared" si="144"/>
        <v>318.32262615164541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7.4268181702633732E-2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7.4268181702633732E-2</v>
      </c>
      <c r="AY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9.1000000000003638</v>
      </c>
      <c r="BE163" s="14">
        <f>BD163*VLOOKUP('Données projet'!$B$11,Paramètres!$A$1:$I$89,3,0)*VLOOKUP('Données projet'!$B$11,Paramètres!$A$1:$I$89,5,0)</f>
        <v>7.2399600000002895</v>
      </c>
      <c r="BF163" s="14">
        <f t="shared" si="167"/>
        <v>2.6498112636338633</v>
      </c>
      <c r="BG163" s="22">
        <f t="shared" si="168"/>
        <v>17.224684950829481</v>
      </c>
      <c r="BH163" s="58">
        <f t="shared" si="116"/>
        <v>304.98376254351786</v>
      </c>
      <c r="BI163" s="58">
        <f ca="1">AVERAGE(OFFSET($BH$3,0,0,'Données projet'!$E$11+1,1))-AVERAGE(OFFSET($H$3,0,0,'Données projet'!$E$11+1,1))</f>
        <v>336.25341821407534</v>
      </c>
      <c r="BJ163" s="58">
        <f t="shared" si="146"/>
        <v>360.3246221345039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0.14147068015660277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0.14147068015660277</v>
      </c>
      <c r="BT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projet'!$B$12,Paramètres!$A$1:$I$89,3,0)*VLOOKUP('Données projet'!$B$12,Paramètres!$A$1:$I$89,5,0)</f>
        <v>4.6111381379887463E-14</v>
      </c>
      <c r="CA163" s="14">
        <f t="shared" si="170"/>
        <v>7.5804141040779151E-13</v>
      </c>
      <c r="CB163" s="22">
        <f t="shared" si="171"/>
        <v>1.4005661123635408E-12</v>
      </c>
      <c r="CC163" s="58">
        <f t="shared" si="119"/>
        <v>287.75907759268978</v>
      </c>
      <c r="CD163" s="58">
        <f ca="1">AVERAGE(OFFSET($CC$3,0,0,'Données projet'!$E$12+1,1))-AVERAGE(OFFSET($H$3,0,0,'Données projet'!$E$12+1,1))</f>
        <v>308.58270639204238</v>
      </c>
      <c r="CE163" s="58">
        <f t="shared" si="148"/>
        <v>258.90832875500325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5.4092197387944907E-14</v>
      </c>
      <c r="CV163" s="14">
        <f t="shared" si="173"/>
        <v>8.7287050538073676E-13</v>
      </c>
      <c r="CW163" s="22">
        <f t="shared" si="174"/>
        <v>1.6144600406554537E-12</v>
      </c>
      <c r="CX163" s="58">
        <f t="shared" si="122"/>
        <v>287.75907759268995</v>
      </c>
      <c r="CY163" s="58">
        <f ca="1">AVERAGE(OFFSET($CX$3,0,0,'Données projet'!$E$13+1,1))-AVERAGE(OFFSET($H$3,0,0,'Données projet'!$E$13+1,1))</f>
        <v>397.61813291201469</v>
      </c>
      <c r="CZ163" s="58">
        <f t="shared" si="150"/>
        <v>320.30651625485064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8.6430843327622617E-2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8.6430843327622617E-2</v>
      </c>
      <c r="DJ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58" t="e">
        <f t="shared" si="125"/>
        <v>#N/A</v>
      </c>
      <c r="DT163" s="58" t="e">
        <f ca="1">AVERAGE(OFFSET($DS$3,0,0,'Données projet'!$E$14+1,1))-AVERAGE(OFFSET($H$3,0,0,'Données projet'!$E$14+1,1))</f>
        <v>#N/A</v>
      </c>
      <c r="DU163" s="58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58" t="e">
        <f t="shared" si="128"/>
        <v>#N/A</v>
      </c>
      <c r="EO163" s="58" t="e">
        <f ca="1">AVERAGE(OFFSET($EN$3,0,0,'Données projet'!$E$15+1,1))-AVERAGE(OFFSET($H$3,0,0,'Données projet'!$E$15+1,1))</f>
        <v>#N/A</v>
      </c>
      <c r="EP163" s="58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58" t="e">
        <f t="shared" si="131"/>
        <v>#N/A</v>
      </c>
      <c r="FJ163" s="58" t="e">
        <f ca="1">AVERAGE(OFFSET($FI$3,0,0,'Données projet'!$E$16+1,1))-AVERAGE(OFFSET($H$3,0,0,'Données projet'!$E$16+1,1))</f>
        <v>#N/A</v>
      </c>
      <c r="FK163" s="58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58" t="e">
        <f t="shared" si="134"/>
        <v>#N/A</v>
      </c>
      <c r="GE163" s="58" t="e">
        <f ca="1">AVERAGE(OFFSET($GD$3,0,0,'Données projet'!$E$17+1,1))-AVERAGE(OFFSET($H$3,0,0,'Données projet'!$E$17+1,1))</f>
        <v>#N/A</v>
      </c>
      <c r="GF163" s="58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58" t="e">
        <f t="shared" si="137"/>
        <v>#N/A</v>
      </c>
      <c r="GZ163" s="58" t="e">
        <f ca="1">AVERAGE(OFFSET($GY$3,0,0,'Données projet'!$E$18+1,1))-AVERAGE(OFFSET($H$3,0,0,'Données projet'!$E$18+1,1))</f>
        <v>#N/A</v>
      </c>
      <c r="HA163" s="58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0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3">
        <f t="shared" si="110"/>
        <v>183.33333333333334</v>
      </c>
      <c r="I164" s="6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1.0231815394945443E-12</v>
      </c>
      <c r="O164" s="14">
        <f>N164*VLOOKUP('Données projet'!$B$9,Paramètres!$A$1:$I$89,3,0)*VLOOKUP('Données projet'!$B$9,Paramètres!$A$1:$I$89,5,0)</f>
        <v>8.6192812887020418E-13</v>
      </c>
      <c r="P164" s="14">
        <f t="shared" si="141"/>
        <v>1.007707029837753E-11</v>
      </c>
      <c r="Q164" s="22">
        <f t="shared" si="162"/>
        <v>1.9052088927456466E-11</v>
      </c>
      <c r="R164" s="58">
        <f t="shared" si="109"/>
        <v>287.85577846763874</v>
      </c>
      <c r="S164" s="58">
        <f ca="1">AVERAGE(OFFSET($R$3,0,0,'Données projet'!$E$9+1,1))-AVERAGE(OFFSET($H$3,0,0,'Données projet'!$E$9+1,1))</f>
        <v>527.70171871461309</v>
      </c>
      <c r="T164" s="58">
        <f t="shared" si="142"/>
        <v>281.06176764290592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7.4487616075202823E-14</v>
      </c>
      <c r="AK164" s="14">
        <f t="shared" si="164"/>
        <v>1.1580453144473142E-12</v>
      </c>
      <c r="AL164" s="22">
        <f t="shared" si="165"/>
        <v>2.1466615206600508E-12</v>
      </c>
      <c r="AM164" s="58">
        <f t="shared" si="113"/>
        <v>287.85577846762186</v>
      </c>
      <c r="AN164" s="58">
        <f ca="1">AVERAGE(OFFSET($AM$3,0,0,'Données projet'!$E$10+1,1))-AVERAGE(OFFSET($H$3,0,0,'Données projet'!$E$10+1,1))</f>
        <v>302.53318056366777</v>
      </c>
      <c r="AO164" s="58">
        <f t="shared" si="144"/>
        <v>318.32262615164541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7.2237314368381281E-2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7.2237314368381281E-2</v>
      </c>
      <c r="AY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9.1000000000003638</v>
      </c>
      <c r="BE164" s="14">
        <f>BD164*VLOOKUP('Données projet'!$B$11,Paramètres!$A$1:$I$89,3,0)*VLOOKUP('Données projet'!$B$11,Paramètres!$A$1:$I$89,5,0)</f>
        <v>7.2399600000002895</v>
      </c>
      <c r="BF164" s="14">
        <f t="shared" si="167"/>
        <v>2.6498112636338633</v>
      </c>
      <c r="BG164" s="22">
        <f t="shared" si="168"/>
        <v>17.224684950829481</v>
      </c>
      <c r="BH164" s="58">
        <f t="shared" si="116"/>
        <v>305.0804634184492</v>
      </c>
      <c r="BI164" s="58">
        <f ca="1">AVERAGE(OFFSET($BH$3,0,0,'Données projet'!$E$11+1,1))-AVERAGE(OFFSET($H$3,0,0,'Données projet'!$E$11+1,1))</f>
        <v>336.25341821407534</v>
      </c>
      <c r="BJ164" s="58">
        <f t="shared" si="146"/>
        <v>360.3246221345039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0.13760215696810074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0.13760215696810074</v>
      </c>
      <c r="BT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projet'!$B$12,Paramètres!$A$1:$I$89,3,0)*VLOOKUP('Données projet'!$B$12,Paramètres!$A$1:$I$89,5,0)</f>
        <v>4.6111381379887463E-14</v>
      </c>
      <c r="CA164" s="14">
        <f t="shared" si="170"/>
        <v>7.5804141040779151E-13</v>
      </c>
      <c r="CB164" s="22">
        <f t="shared" si="171"/>
        <v>1.4005661123635408E-12</v>
      </c>
      <c r="CC164" s="58">
        <f t="shared" si="119"/>
        <v>287.85577846762112</v>
      </c>
      <c r="CD164" s="58">
        <f ca="1">AVERAGE(OFFSET($CC$3,0,0,'Données projet'!$E$12+1,1))-AVERAGE(OFFSET($H$3,0,0,'Données projet'!$E$12+1,1))</f>
        <v>308.58270639204238</v>
      </c>
      <c r="CE164" s="58">
        <f t="shared" si="148"/>
        <v>258.90832875500325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5.4092197387944907E-14</v>
      </c>
      <c r="CV164" s="14">
        <f t="shared" si="173"/>
        <v>8.7287050538073676E-13</v>
      </c>
      <c r="CW164" s="22">
        <f t="shared" si="174"/>
        <v>1.6144600406554537E-12</v>
      </c>
      <c r="CX164" s="58">
        <f t="shared" si="122"/>
        <v>287.85577846762129</v>
      </c>
      <c r="CY164" s="58">
        <f ca="1">AVERAGE(OFFSET($CX$3,0,0,'Données projet'!$E$13+1,1))-AVERAGE(OFFSET($H$3,0,0,'Données projet'!$E$13+1,1))</f>
        <v>397.61813291201469</v>
      </c>
      <c r="CZ164" s="58">
        <f t="shared" si="150"/>
        <v>320.30651625485064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8.4067387371628263E-2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8.4067387371628263E-2</v>
      </c>
      <c r="DJ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58" t="e">
        <f t="shared" si="125"/>
        <v>#N/A</v>
      </c>
      <c r="DT164" s="58" t="e">
        <f ca="1">AVERAGE(OFFSET($DS$3,0,0,'Données projet'!$E$14+1,1))-AVERAGE(OFFSET($H$3,0,0,'Données projet'!$E$14+1,1))</f>
        <v>#N/A</v>
      </c>
      <c r="DU164" s="58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58" t="e">
        <f t="shared" si="128"/>
        <v>#N/A</v>
      </c>
      <c r="EO164" s="58" t="e">
        <f ca="1">AVERAGE(OFFSET($EN$3,0,0,'Données projet'!$E$15+1,1))-AVERAGE(OFFSET($H$3,0,0,'Données projet'!$E$15+1,1))</f>
        <v>#N/A</v>
      </c>
      <c r="EP164" s="58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58" t="e">
        <f t="shared" si="131"/>
        <v>#N/A</v>
      </c>
      <c r="FJ164" s="58" t="e">
        <f ca="1">AVERAGE(OFFSET($FI$3,0,0,'Données projet'!$E$16+1,1))-AVERAGE(OFFSET($H$3,0,0,'Données projet'!$E$16+1,1))</f>
        <v>#N/A</v>
      </c>
      <c r="FK164" s="58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58" t="e">
        <f t="shared" si="134"/>
        <v>#N/A</v>
      </c>
      <c r="GE164" s="58" t="e">
        <f ca="1">AVERAGE(OFFSET($GD$3,0,0,'Données projet'!$E$17+1,1))-AVERAGE(OFFSET($H$3,0,0,'Données projet'!$E$17+1,1))</f>
        <v>#N/A</v>
      </c>
      <c r="GF164" s="58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58" t="e">
        <f t="shared" si="137"/>
        <v>#N/A</v>
      </c>
      <c r="GZ164" s="58" t="e">
        <f ca="1">AVERAGE(OFFSET($GY$3,0,0,'Données projet'!$E$18+1,1))-AVERAGE(OFFSET($H$3,0,0,'Données projet'!$E$18+1,1))</f>
        <v>#N/A</v>
      </c>
      <c r="HA164" s="58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0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3">
        <f t="shared" si="110"/>
        <v>183.33333333333334</v>
      </c>
      <c r="I165" s="6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1.0231815394945443E-12</v>
      </c>
      <c r="O165" s="14">
        <f>N165*VLOOKUP('Données projet'!$B$9,Paramètres!$A$1:$I$89,3,0)*VLOOKUP('Données projet'!$B$9,Paramètres!$A$1:$I$89,5,0)</f>
        <v>8.6192812887020418E-13</v>
      </c>
      <c r="P165" s="14">
        <f t="shared" si="141"/>
        <v>1.007707029837753E-11</v>
      </c>
      <c r="Q165" s="22">
        <f t="shared" si="162"/>
        <v>1.9052088927456466E-11</v>
      </c>
      <c r="R165" s="58">
        <f t="shared" si="109"/>
        <v>287.95080179858076</v>
      </c>
      <c r="S165" s="58">
        <f ca="1">AVERAGE(OFFSET($R$3,0,0,'Données projet'!$E$9+1,1))-AVERAGE(OFFSET($H$3,0,0,'Données projet'!$E$9+1,1))</f>
        <v>527.70171871461309</v>
      </c>
      <c r="T165" s="58">
        <f t="shared" si="142"/>
        <v>281.06176764290592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7.4487616075202823E-14</v>
      </c>
      <c r="AK165" s="14">
        <f t="shared" si="164"/>
        <v>1.1580453144473142E-12</v>
      </c>
      <c r="AL165" s="22">
        <f t="shared" si="165"/>
        <v>2.1466615206600508E-12</v>
      </c>
      <c r="AM165" s="58">
        <f t="shared" si="113"/>
        <v>287.95080179856387</v>
      </c>
      <c r="AN165" s="58">
        <f ca="1">AVERAGE(OFFSET($AM$3,0,0,'Données projet'!$E$10+1,1))-AVERAGE(OFFSET($H$3,0,0,'Données projet'!$E$10+1,1))</f>
        <v>302.53318056366777</v>
      </c>
      <c r="AO165" s="58">
        <f t="shared" si="144"/>
        <v>318.32262615164541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7.0261981208182639E-2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7.0261981208182639E-2</v>
      </c>
      <c r="AY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9.1000000000003638</v>
      </c>
      <c r="BE165" s="14">
        <f>BD165*VLOOKUP('Données projet'!$B$11,Paramètres!$A$1:$I$89,3,0)*VLOOKUP('Données projet'!$B$11,Paramètres!$A$1:$I$89,5,0)</f>
        <v>7.2399600000002895</v>
      </c>
      <c r="BF165" s="14">
        <f t="shared" si="167"/>
        <v>2.6498112636338633</v>
      </c>
      <c r="BG165" s="22">
        <f t="shared" si="168"/>
        <v>17.224684950829481</v>
      </c>
      <c r="BH165" s="58">
        <f t="shared" si="116"/>
        <v>305.17548674939121</v>
      </c>
      <c r="BI165" s="58">
        <f ca="1">AVERAGE(OFFSET($BH$3,0,0,'Données projet'!$E$11+1,1))-AVERAGE(OFFSET($H$3,0,0,'Données projet'!$E$11+1,1))</f>
        <v>336.25341821407534</v>
      </c>
      <c r="BJ165" s="58">
        <f t="shared" si="146"/>
        <v>360.3246221345039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0.1338394187496251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0.1338394187496251</v>
      </c>
      <c r="BT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projet'!$B$12,Paramètres!$A$1:$I$89,3,0)*VLOOKUP('Données projet'!$B$12,Paramètres!$A$1:$I$89,5,0)</f>
        <v>4.6111381379887463E-14</v>
      </c>
      <c r="CA165" s="14">
        <f t="shared" si="170"/>
        <v>7.5804141040779151E-13</v>
      </c>
      <c r="CB165" s="22">
        <f t="shared" si="171"/>
        <v>1.4005661123635408E-12</v>
      </c>
      <c r="CC165" s="58">
        <f t="shared" si="119"/>
        <v>287.95080179856313</v>
      </c>
      <c r="CD165" s="58">
        <f ca="1">AVERAGE(OFFSET($CC$3,0,0,'Données projet'!$E$12+1,1))-AVERAGE(OFFSET($H$3,0,0,'Données projet'!$E$12+1,1))</f>
        <v>308.58270639204238</v>
      </c>
      <c r="CE165" s="58">
        <f t="shared" si="148"/>
        <v>258.90832875500325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5.4092197387944907E-14</v>
      </c>
      <c r="CV165" s="14">
        <f t="shared" si="173"/>
        <v>8.7287050538073676E-13</v>
      </c>
      <c r="CW165" s="22">
        <f t="shared" si="174"/>
        <v>1.6144600406554537E-12</v>
      </c>
      <c r="CX165" s="58">
        <f t="shared" si="122"/>
        <v>287.9508017985633</v>
      </c>
      <c r="CY165" s="58">
        <f ca="1">AVERAGE(OFFSET($CX$3,0,0,'Données projet'!$E$13+1,1))-AVERAGE(OFFSET($H$3,0,0,'Données projet'!$E$13+1,1))</f>
        <v>397.61813291201469</v>
      </c>
      <c r="CZ165" s="58">
        <f t="shared" si="150"/>
        <v>320.30651625485064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8.1768560243039329E-2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8.1768560243039329E-2</v>
      </c>
      <c r="DJ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58" t="e">
        <f t="shared" si="125"/>
        <v>#N/A</v>
      </c>
      <c r="DT165" s="58" t="e">
        <f ca="1">AVERAGE(OFFSET($DS$3,0,0,'Données projet'!$E$14+1,1))-AVERAGE(OFFSET($H$3,0,0,'Données projet'!$E$14+1,1))</f>
        <v>#N/A</v>
      </c>
      <c r="DU165" s="58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58" t="e">
        <f t="shared" si="128"/>
        <v>#N/A</v>
      </c>
      <c r="EO165" s="58" t="e">
        <f ca="1">AVERAGE(OFFSET($EN$3,0,0,'Données projet'!$E$15+1,1))-AVERAGE(OFFSET($H$3,0,0,'Données projet'!$E$15+1,1))</f>
        <v>#N/A</v>
      </c>
      <c r="EP165" s="58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58" t="e">
        <f t="shared" si="131"/>
        <v>#N/A</v>
      </c>
      <c r="FJ165" s="58" t="e">
        <f ca="1">AVERAGE(OFFSET($FI$3,0,0,'Données projet'!$E$16+1,1))-AVERAGE(OFFSET($H$3,0,0,'Données projet'!$E$16+1,1))</f>
        <v>#N/A</v>
      </c>
      <c r="FK165" s="58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58" t="e">
        <f t="shared" si="134"/>
        <v>#N/A</v>
      </c>
      <c r="GE165" s="58" t="e">
        <f ca="1">AVERAGE(OFFSET($GD$3,0,0,'Données projet'!$E$17+1,1))-AVERAGE(OFFSET($H$3,0,0,'Données projet'!$E$17+1,1))</f>
        <v>#N/A</v>
      </c>
      <c r="GF165" s="58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58" t="e">
        <f t="shared" si="137"/>
        <v>#N/A</v>
      </c>
      <c r="GZ165" s="58" t="e">
        <f ca="1">AVERAGE(OFFSET($GY$3,0,0,'Données projet'!$E$18+1,1))-AVERAGE(OFFSET($H$3,0,0,'Données projet'!$E$18+1,1))</f>
        <v>#N/A</v>
      </c>
      <c r="HA165" s="58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0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3">
        <f t="shared" si="110"/>
        <v>183.33333333333334</v>
      </c>
      <c r="I166" s="6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1.0231815394945443E-12</v>
      </c>
      <c r="O166" s="14">
        <f>N166*VLOOKUP('Données projet'!$B$9,Paramètres!$A$1:$I$89,3,0)*VLOOKUP('Données projet'!$B$9,Paramètres!$A$1:$I$89,5,0)</f>
        <v>8.6192812887020418E-13</v>
      </c>
      <c r="P166" s="14">
        <f t="shared" si="141"/>
        <v>1.007707029837753E-11</v>
      </c>
      <c r="Q166" s="22">
        <f t="shared" si="162"/>
        <v>1.9052088927456466E-11</v>
      </c>
      <c r="R166" s="58">
        <f t="shared" si="109"/>
        <v>288.04417668717127</v>
      </c>
      <c r="S166" s="58">
        <f ca="1">AVERAGE(OFFSET($R$3,0,0,'Données projet'!$E$9+1,1))-AVERAGE(OFFSET($H$3,0,0,'Données projet'!$E$9+1,1))</f>
        <v>527.70171871461309</v>
      </c>
      <c r="T166" s="58">
        <f t="shared" si="142"/>
        <v>281.06176764290592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7.4487616075202823E-14</v>
      </c>
      <c r="AK166" s="14">
        <f t="shared" si="164"/>
        <v>1.1580453144473142E-12</v>
      </c>
      <c r="AL166" s="22">
        <f t="shared" si="165"/>
        <v>2.1466615206600508E-12</v>
      </c>
      <c r="AM166" s="58">
        <f t="shared" si="113"/>
        <v>288.04417668715439</v>
      </c>
      <c r="AN166" s="58">
        <f ca="1">AVERAGE(OFFSET($AM$3,0,0,'Données projet'!$E$10+1,1))-AVERAGE(OFFSET($H$3,0,0,'Données projet'!$E$10+1,1))</f>
        <v>302.53318056366777</v>
      </c>
      <c r="AO166" s="58">
        <f t="shared" si="144"/>
        <v>318.32262615164541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6.8340663637127874E-2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6.8340663637127874E-2</v>
      </c>
      <c r="AY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9.1000000000003638</v>
      </c>
      <c r="BE166" s="14">
        <f>BD166*VLOOKUP('Données projet'!$B$11,Paramètres!$A$1:$I$89,3,0)*VLOOKUP('Données projet'!$B$11,Paramètres!$A$1:$I$89,5,0)</f>
        <v>7.2399600000002895</v>
      </c>
      <c r="BF166" s="14">
        <f t="shared" si="167"/>
        <v>2.6498112636338633</v>
      </c>
      <c r="BG166" s="22">
        <f t="shared" si="168"/>
        <v>17.224684950829481</v>
      </c>
      <c r="BH166" s="58">
        <f t="shared" si="116"/>
        <v>305.26886163798173</v>
      </c>
      <c r="BI166" s="58">
        <f ca="1">AVERAGE(OFFSET($BH$3,0,0,'Données projet'!$E$11+1,1))-AVERAGE(OFFSET($H$3,0,0,'Données projet'!$E$11+1,1))</f>
        <v>336.25341821407534</v>
      </c>
      <c r="BJ166" s="58">
        <f t="shared" si="146"/>
        <v>360.3246221345039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0.13017957280560746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0.13017957280560746</v>
      </c>
      <c r="BT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projet'!$B$12,Paramètres!$A$1:$I$89,3,0)*VLOOKUP('Données projet'!$B$12,Paramètres!$A$1:$I$89,5,0)</f>
        <v>4.6111381379887463E-14</v>
      </c>
      <c r="CA166" s="14">
        <f t="shared" si="170"/>
        <v>7.5804141040779151E-13</v>
      </c>
      <c r="CB166" s="22">
        <f t="shared" si="171"/>
        <v>1.4005661123635408E-12</v>
      </c>
      <c r="CC166" s="58">
        <f t="shared" si="119"/>
        <v>288.04417668715365</v>
      </c>
      <c r="CD166" s="58">
        <f ca="1">AVERAGE(OFFSET($CC$3,0,0,'Données projet'!$E$12+1,1))-AVERAGE(OFFSET($H$3,0,0,'Données projet'!$E$12+1,1))</f>
        <v>308.58270639204238</v>
      </c>
      <c r="CE166" s="58">
        <f t="shared" si="148"/>
        <v>258.90832875500325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5.4092197387944907E-14</v>
      </c>
      <c r="CV166" s="14">
        <f t="shared" si="173"/>
        <v>8.7287050538073676E-13</v>
      </c>
      <c r="CW166" s="22">
        <f t="shared" si="174"/>
        <v>1.6144600406554537E-12</v>
      </c>
      <c r="CX166" s="58">
        <f t="shared" si="122"/>
        <v>288.04417668715382</v>
      </c>
      <c r="CY166" s="58">
        <f ca="1">AVERAGE(OFFSET($CX$3,0,0,'Données projet'!$E$13+1,1))-AVERAGE(OFFSET($H$3,0,0,'Données projet'!$E$13+1,1))</f>
        <v>397.61813291201469</v>
      </c>
      <c r="CZ166" s="58">
        <f t="shared" si="150"/>
        <v>320.30651625485064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7.9532594663171724E-2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7.9532594663171724E-2</v>
      </c>
      <c r="DJ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58" t="e">
        <f t="shared" si="125"/>
        <v>#N/A</v>
      </c>
      <c r="DT166" s="58" t="e">
        <f ca="1">AVERAGE(OFFSET($DS$3,0,0,'Données projet'!$E$14+1,1))-AVERAGE(OFFSET($H$3,0,0,'Données projet'!$E$14+1,1))</f>
        <v>#N/A</v>
      </c>
      <c r="DU166" s="58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58" t="e">
        <f t="shared" si="128"/>
        <v>#N/A</v>
      </c>
      <c r="EO166" s="58" t="e">
        <f ca="1">AVERAGE(OFFSET($EN$3,0,0,'Données projet'!$E$15+1,1))-AVERAGE(OFFSET($H$3,0,0,'Données projet'!$E$15+1,1))</f>
        <v>#N/A</v>
      </c>
      <c r="EP166" s="58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58" t="e">
        <f t="shared" si="131"/>
        <v>#N/A</v>
      </c>
      <c r="FJ166" s="58" t="e">
        <f ca="1">AVERAGE(OFFSET($FI$3,0,0,'Données projet'!$E$16+1,1))-AVERAGE(OFFSET($H$3,0,0,'Données projet'!$E$16+1,1))</f>
        <v>#N/A</v>
      </c>
      <c r="FK166" s="58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58" t="e">
        <f t="shared" si="134"/>
        <v>#N/A</v>
      </c>
      <c r="GE166" s="58" t="e">
        <f ca="1">AVERAGE(OFFSET($GD$3,0,0,'Données projet'!$E$17+1,1))-AVERAGE(OFFSET($H$3,0,0,'Données projet'!$E$17+1,1))</f>
        <v>#N/A</v>
      </c>
      <c r="GF166" s="58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58" t="e">
        <f t="shared" si="137"/>
        <v>#N/A</v>
      </c>
      <c r="GZ166" s="58" t="e">
        <f ca="1">AVERAGE(OFFSET($GY$3,0,0,'Données projet'!$E$18+1,1))-AVERAGE(OFFSET($H$3,0,0,'Données projet'!$E$18+1,1))</f>
        <v>#N/A</v>
      </c>
      <c r="HA166" s="58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0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3">
        <f t="shared" si="110"/>
        <v>183.33333333333334</v>
      </c>
      <c r="I167" s="6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1.0231815394945443E-12</v>
      </c>
      <c r="O167" s="14">
        <f>N167*VLOOKUP('Données projet'!$B$9,Paramètres!$A$1:$I$89,3,0)*VLOOKUP('Données projet'!$B$9,Paramètres!$A$1:$I$89,5,0)</f>
        <v>8.6192812887020418E-13</v>
      </c>
      <c r="P167" s="14">
        <f t="shared" si="141"/>
        <v>1.007707029837753E-11</v>
      </c>
      <c r="Q167" s="22">
        <f t="shared" si="162"/>
        <v>1.9052088927456466E-11</v>
      </c>
      <c r="R167" s="58">
        <f t="shared" si="109"/>
        <v>288.13593173019973</v>
      </c>
      <c r="S167" s="58">
        <f ca="1">AVERAGE(OFFSET($R$3,0,0,'Données projet'!$E$9+1,1))-AVERAGE(OFFSET($H$3,0,0,'Données projet'!$E$9+1,1))</f>
        <v>527.70171871461309</v>
      </c>
      <c r="T167" s="58">
        <f t="shared" si="142"/>
        <v>281.06176764290592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7.4487616075202823E-14</v>
      </c>
      <c r="AK167" s="14">
        <f t="shared" si="164"/>
        <v>1.1580453144473142E-12</v>
      </c>
      <c r="AL167" s="22">
        <f t="shared" si="165"/>
        <v>2.1466615206600508E-12</v>
      </c>
      <c r="AM167" s="58">
        <f t="shared" si="113"/>
        <v>288.13593173018285</v>
      </c>
      <c r="AN167" s="58">
        <f ca="1">AVERAGE(OFFSET($AM$3,0,0,'Données projet'!$E$10+1,1))-AVERAGE(OFFSET($H$3,0,0,'Données projet'!$E$10+1,1))</f>
        <v>302.53318056366777</v>
      </c>
      <c r="AO167" s="58">
        <f t="shared" si="144"/>
        <v>318.32262615164541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6.647188459609131E-2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6.647188459609131E-2</v>
      </c>
      <c r="AY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9.1000000000003638</v>
      </c>
      <c r="BE167" s="14">
        <f>BD167*VLOOKUP('Données projet'!$B$11,Paramètres!$A$1:$I$89,3,0)*VLOOKUP('Données projet'!$B$11,Paramètres!$A$1:$I$89,5,0)</f>
        <v>7.2399600000002895</v>
      </c>
      <c r="BF167" s="14">
        <f t="shared" si="167"/>
        <v>2.6498112636338633</v>
      </c>
      <c r="BG167" s="22">
        <f t="shared" si="168"/>
        <v>17.224684950829481</v>
      </c>
      <c r="BH167" s="58">
        <f t="shared" si="116"/>
        <v>305.36061668101019</v>
      </c>
      <c r="BI167" s="58">
        <f ca="1">AVERAGE(OFFSET($BH$3,0,0,'Données projet'!$E$11+1,1))-AVERAGE(OFFSET($H$3,0,0,'Données projet'!$E$11+1,1))</f>
        <v>336.25341821407534</v>
      </c>
      <c r="BJ167" s="58">
        <f t="shared" si="146"/>
        <v>360.3246221345039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0.12661980554139193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0.12661980554139193</v>
      </c>
      <c r="BT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projet'!$B$12,Paramètres!$A$1:$I$89,3,0)*VLOOKUP('Données projet'!$B$12,Paramètres!$A$1:$I$89,5,0)</f>
        <v>4.6111381379887463E-14</v>
      </c>
      <c r="CA167" s="14">
        <f t="shared" si="170"/>
        <v>7.5804141040779151E-13</v>
      </c>
      <c r="CB167" s="22">
        <f t="shared" si="171"/>
        <v>1.4005661123635408E-12</v>
      </c>
      <c r="CC167" s="58">
        <f t="shared" si="119"/>
        <v>288.13593173018211</v>
      </c>
      <c r="CD167" s="58">
        <f ca="1">AVERAGE(OFFSET($CC$3,0,0,'Données projet'!$E$12+1,1))-AVERAGE(OFFSET($H$3,0,0,'Données projet'!$E$12+1,1))</f>
        <v>308.58270639204238</v>
      </c>
      <c r="CE167" s="58">
        <f t="shared" si="148"/>
        <v>258.90832875500325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5.4092197387944907E-14</v>
      </c>
      <c r="CV167" s="14">
        <f t="shared" si="173"/>
        <v>8.7287050538073676E-13</v>
      </c>
      <c r="CW167" s="22">
        <f t="shared" si="174"/>
        <v>1.6144600406554537E-12</v>
      </c>
      <c r="CX167" s="58">
        <f t="shared" si="122"/>
        <v>288.13593173018228</v>
      </c>
      <c r="CY167" s="58">
        <f ca="1">AVERAGE(OFFSET($CX$3,0,0,'Données projet'!$E$13+1,1))-AVERAGE(OFFSET($H$3,0,0,'Données projet'!$E$13+1,1))</f>
        <v>397.61813291201469</v>
      </c>
      <c r="CZ167" s="58">
        <f t="shared" si="150"/>
        <v>320.30651625485064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7.7357771679669909E-2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7.7357771679669909E-2</v>
      </c>
      <c r="DJ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58" t="e">
        <f t="shared" si="125"/>
        <v>#N/A</v>
      </c>
      <c r="DT167" s="58" t="e">
        <f ca="1">AVERAGE(OFFSET($DS$3,0,0,'Données projet'!$E$14+1,1))-AVERAGE(OFFSET($H$3,0,0,'Données projet'!$E$14+1,1))</f>
        <v>#N/A</v>
      </c>
      <c r="DU167" s="58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58" t="e">
        <f t="shared" si="128"/>
        <v>#N/A</v>
      </c>
      <c r="EO167" s="58" t="e">
        <f ca="1">AVERAGE(OFFSET($EN$3,0,0,'Données projet'!$E$15+1,1))-AVERAGE(OFFSET($H$3,0,0,'Données projet'!$E$15+1,1))</f>
        <v>#N/A</v>
      </c>
      <c r="EP167" s="58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58" t="e">
        <f t="shared" si="131"/>
        <v>#N/A</v>
      </c>
      <c r="FJ167" s="58" t="e">
        <f ca="1">AVERAGE(OFFSET($FI$3,0,0,'Données projet'!$E$16+1,1))-AVERAGE(OFFSET($H$3,0,0,'Données projet'!$E$16+1,1))</f>
        <v>#N/A</v>
      </c>
      <c r="FK167" s="58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58" t="e">
        <f t="shared" si="134"/>
        <v>#N/A</v>
      </c>
      <c r="GE167" s="58" t="e">
        <f ca="1">AVERAGE(OFFSET($GD$3,0,0,'Données projet'!$E$17+1,1))-AVERAGE(OFFSET($H$3,0,0,'Données projet'!$E$17+1,1))</f>
        <v>#N/A</v>
      </c>
      <c r="GF167" s="58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58" t="e">
        <f t="shared" si="137"/>
        <v>#N/A</v>
      </c>
      <c r="GZ167" s="58" t="e">
        <f ca="1">AVERAGE(OFFSET($GY$3,0,0,'Données projet'!$E$18+1,1))-AVERAGE(OFFSET($H$3,0,0,'Données projet'!$E$18+1,1))</f>
        <v>#N/A</v>
      </c>
      <c r="HA167" s="58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0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3">
        <f t="shared" si="110"/>
        <v>183.33333333333334</v>
      </c>
      <c r="I168" s="6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1.0231815394945443E-12</v>
      </c>
      <c r="O168" s="14">
        <f>N168*VLOOKUP('Données projet'!$B$9,Paramètres!$A$1:$I$89,3,0)*VLOOKUP('Données projet'!$B$9,Paramètres!$A$1:$I$89,5,0)</f>
        <v>8.6192812887020418E-13</v>
      </c>
      <c r="P168" s="14">
        <f t="shared" si="141"/>
        <v>1.007707029837753E-11</v>
      </c>
      <c r="Q168" s="22">
        <f t="shared" si="162"/>
        <v>1.9052088927456466E-11</v>
      </c>
      <c r="R168" s="58">
        <f t="shared" si="109"/>
        <v>288.22609502836519</v>
      </c>
      <c r="S168" s="58">
        <f ca="1">AVERAGE(OFFSET($R$3,0,0,'Données projet'!$E$9+1,1))-AVERAGE(OFFSET($H$3,0,0,'Données projet'!$E$9+1,1))</f>
        <v>527.70171871461309</v>
      </c>
      <c r="T168" s="58">
        <f t="shared" si="142"/>
        <v>281.06176764290592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7.4487616075202823E-14</v>
      </c>
      <c r="AK168" s="14">
        <f t="shared" si="164"/>
        <v>1.1580453144473142E-12</v>
      </c>
      <c r="AL168" s="22">
        <f t="shared" si="165"/>
        <v>2.1466615206600508E-12</v>
      </c>
      <c r="AM168" s="58">
        <f t="shared" si="113"/>
        <v>288.22609502834831</v>
      </c>
      <c r="AN168" s="58">
        <f ca="1">AVERAGE(OFFSET($AM$3,0,0,'Données projet'!$E$10+1,1))-AVERAGE(OFFSET($H$3,0,0,'Données projet'!$E$10+1,1))</f>
        <v>302.53318056366777</v>
      </c>
      <c r="AO168" s="58">
        <f t="shared" si="144"/>
        <v>318.32262615164541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6.4654207416206699E-2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6.4654207416206699E-2</v>
      </c>
      <c r="AY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9.1000000000003638</v>
      </c>
      <c r="BE168" s="14">
        <f>BD168*VLOOKUP('Données projet'!$B$11,Paramètres!$A$1:$I$89,3,0)*VLOOKUP('Données projet'!$B$11,Paramètres!$A$1:$I$89,5,0)</f>
        <v>7.2399600000002895</v>
      </c>
      <c r="BF168" s="14">
        <f t="shared" si="167"/>
        <v>2.6498112636338633</v>
      </c>
      <c r="BG168" s="22">
        <f t="shared" si="168"/>
        <v>17.224684950829481</v>
      </c>
      <c r="BH168" s="58">
        <f t="shared" si="116"/>
        <v>305.45077997917565</v>
      </c>
      <c r="BI168" s="58">
        <f ca="1">AVERAGE(OFFSET($BH$3,0,0,'Données projet'!$E$11+1,1))-AVERAGE(OFFSET($H$3,0,0,'Données projet'!$E$11+1,1))</f>
        <v>336.25341821407534</v>
      </c>
      <c r="BJ168" s="58">
        <f t="shared" si="146"/>
        <v>360.3246221345039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0.12315738030021639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0.12315738030021639</v>
      </c>
      <c r="BT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projet'!$B$12,Paramètres!$A$1:$I$89,3,0)*VLOOKUP('Données projet'!$B$12,Paramètres!$A$1:$I$89,5,0)</f>
        <v>4.6111381379887463E-14</v>
      </c>
      <c r="CA168" s="14">
        <f t="shared" si="170"/>
        <v>7.5804141040779151E-13</v>
      </c>
      <c r="CB168" s="22">
        <f t="shared" si="171"/>
        <v>1.4005661123635408E-12</v>
      </c>
      <c r="CC168" s="58">
        <f t="shared" si="119"/>
        <v>288.22609502834757</v>
      </c>
      <c r="CD168" s="58">
        <f ca="1">AVERAGE(OFFSET($CC$3,0,0,'Données projet'!$E$12+1,1))-AVERAGE(OFFSET($H$3,0,0,'Données projet'!$E$12+1,1))</f>
        <v>308.58270639204238</v>
      </c>
      <c r="CE168" s="58">
        <f t="shared" si="148"/>
        <v>258.90832875500325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5.4092197387944907E-14</v>
      </c>
      <c r="CV168" s="14">
        <f t="shared" si="173"/>
        <v>8.7287050538073676E-13</v>
      </c>
      <c r="CW168" s="22">
        <f t="shared" si="174"/>
        <v>1.6144600406554537E-12</v>
      </c>
      <c r="CX168" s="58">
        <f t="shared" si="122"/>
        <v>288.22609502834774</v>
      </c>
      <c r="CY168" s="58">
        <f ca="1">AVERAGE(OFFSET($CX$3,0,0,'Données projet'!$E$13+1,1))-AVERAGE(OFFSET($H$3,0,0,'Données projet'!$E$13+1,1))</f>
        <v>397.61813291201469</v>
      </c>
      <c r="CZ168" s="58">
        <f t="shared" si="150"/>
        <v>320.30651625485064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7.5242419345020933E-2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7.5242419345020933E-2</v>
      </c>
      <c r="DJ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58" t="e">
        <f t="shared" si="125"/>
        <v>#N/A</v>
      </c>
      <c r="DT168" s="58" t="e">
        <f ca="1">AVERAGE(OFFSET($DS$3,0,0,'Données projet'!$E$14+1,1))-AVERAGE(OFFSET($H$3,0,0,'Données projet'!$E$14+1,1))</f>
        <v>#N/A</v>
      </c>
      <c r="DU168" s="58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58" t="e">
        <f t="shared" si="128"/>
        <v>#N/A</v>
      </c>
      <c r="EO168" s="58" t="e">
        <f ca="1">AVERAGE(OFFSET($EN$3,0,0,'Données projet'!$E$15+1,1))-AVERAGE(OFFSET($H$3,0,0,'Données projet'!$E$15+1,1))</f>
        <v>#N/A</v>
      </c>
      <c r="EP168" s="58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58" t="e">
        <f t="shared" si="131"/>
        <v>#N/A</v>
      </c>
      <c r="FJ168" s="58" t="e">
        <f ca="1">AVERAGE(OFFSET($FI$3,0,0,'Données projet'!$E$16+1,1))-AVERAGE(OFFSET($H$3,0,0,'Données projet'!$E$16+1,1))</f>
        <v>#N/A</v>
      </c>
      <c r="FK168" s="58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58" t="e">
        <f t="shared" si="134"/>
        <v>#N/A</v>
      </c>
      <c r="GE168" s="58" t="e">
        <f ca="1">AVERAGE(OFFSET($GD$3,0,0,'Données projet'!$E$17+1,1))-AVERAGE(OFFSET($H$3,0,0,'Données projet'!$E$17+1,1))</f>
        <v>#N/A</v>
      </c>
      <c r="GF168" s="58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58" t="e">
        <f t="shared" si="137"/>
        <v>#N/A</v>
      </c>
      <c r="GZ168" s="58" t="e">
        <f ca="1">AVERAGE(OFFSET($GY$3,0,0,'Données projet'!$E$18+1,1))-AVERAGE(OFFSET($H$3,0,0,'Données projet'!$E$18+1,1))</f>
        <v>#N/A</v>
      </c>
      <c r="HA168" s="58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0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3">
        <f t="shared" si="110"/>
        <v>183.33333333333334</v>
      </c>
      <c r="I169" s="6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1.0231815394945443E-12</v>
      </c>
      <c r="O169" s="14">
        <f>N169*VLOOKUP('Données projet'!$B$9,Paramètres!$A$1:$I$89,3,0)*VLOOKUP('Données projet'!$B$9,Paramètres!$A$1:$I$89,5,0)</f>
        <v>8.6192812887020418E-13</v>
      </c>
      <c r="P169" s="14">
        <f t="shared" si="141"/>
        <v>1.007707029837753E-11</v>
      </c>
      <c r="Q169" s="22">
        <f t="shared" si="162"/>
        <v>1.9052088927456466E-11</v>
      </c>
      <c r="R169" s="58">
        <f t="shared" si="109"/>
        <v>288.31469419488246</v>
      </c>
      <c r="S169" s="58">
        <f ca="1">AVERAGE(OFFSET($R$3,0,0,'Données projet'!$E$9+1,1))-AVERAGE(OFFSET($H$3,0,0,'Données projet'!$E$9+1,1))</f>
        <v>527.70171871461309</v>
      </c>
      <c r="T169" s="58">
        <f t="shared" si="142"/>
        <v>281.06176764290592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7.4487616075202823E-14</v>
      </c>
      <c r="AK169" s="14">
        <f t="shared" si="164"/>
        <v>1.1580453144473142E-12</v>
      </c>
      <c r="AL169" s="22">
        <f t="shared" si="165"/>
        <v>2.1466615206600508E-12</v>
      </c>
      <c r="AM169" s="58">
        <f t="shared" si="113"/>
        <v>288.31469419486558</v>
      </c>
      <c r="AN169" s="58">
        <f ca="1">AVERAGE(OFFSET($AM$3,0,0,'Données projet'!$E$10+1,1))-AVERAGE(OFFSET($H$3,0,0,'Données projet'!$E$10+1,1))</f>
        <v>302.53318056366777</v>
      </c>
      <c r="AO169" s="58">
        <f t="shared" si="144"/>
        <v>318.32262615164541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6.288623471439353E-2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6.288623471439353E-2</v>
      </c>
      <c r="AY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9.1000000000003638</v>
      </c>
      <c r="BE169" s="14">
        <f>BD169*VLOOKUP('Données projet'!$B$11,Paramètres!$A$1:$I$89,3,0)*VLOOKUP('Données projet'!$B$11,Paramètres!$A$1:$I$89,5,0)</f>
        <v>7.2399600000002895</v>
      </c>
      <c r="BF169" s="14">
        <f t="shared" si="167"/>
        <v>2.6498112636338633</v>
      </c>
      <c r="BG169" s="22">
        <f t="shared" si="168"/>
        <v>17.224684950829481</v>
      </c>
      <c r="BH169" s="58">
        <f t="shared" si="116"/>
        <v>305.53937914569292</v>
      </c>
      <c r="BI169" s="58">
        <f ca="1">AVERAGE(OFFSET($BH$3,0,0,'Données projet'!$E$11+1,1))-AVERAGE(OFFSET($H$3,0,0,'Données projet'!$E$11+1,1))</f>
        <v>336.25341821407534</v>
      </c>
      <c r="BJ169" s="58">
        <f t="shared" si="146"/>
        <v>360.3246221345039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0.11978963525934182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0.11978963525934182</v>
      </c>
      <c r="BT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projet'!$B$12,Paramètres!$A$1:$I$89,3,0)*VLOOKUP('Données projet'!$B$12,Paramètres!$A$1:$I$89,5,0)</f>
        <v>4.6111381379887463E-14</v>
      </c>
      <c r="CA169" s="14">
        <f t="shared" si="170"/>
        <v>7.5804141040779151E-13</v>
      </c>
      <c r="CB169" s="22">
        <f t="shared" si="171"/>
        <v>1.4005661123635408E-12</v>
      </c>
      <c r="CC169" s="58">
        <f t="shared" si="119"/>
        <v>288.31469419486484</v>
      </c>
      <c r="CD169" s="58">
        <f ca="1">AVERAGE(OFFSET($CC$3,0,0,'Données projet'!$E$12+1,1))-AVERAGE(OFFSET($H$3,0,0,'Données projet'!$E$12+1,1))</f>
        <v>308.58270639204238</v>
      </c>
      <c r="CE169" s="58">
        <f t="shared" si="148"/>
        <v>258.90832875500325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5.4092197387944907E-14</v>
      </c>
      <c r="CV169" s="14">
        <f t="shared" si="173"/>
        <v>8.7287050538073676E-13</v>
      </c>
      <c r="CW169" s="22">
        <f t="shared" si="174"/>
        <v>1.6144600406554537E-12</v>
      </c>
      <c r="CX169" s="58">
        <f t="shared" si="122"/>
        <v>288.31469419486501</v>
      </c>
      <c r="CY169" s="58">
        <f ca="1">AVERAGE(OFFSET($CX$3,0,0,'Données projet'!$E$13+1,1))-AVERAGE(OFFSET($H$3,0,0,'Données projet'!$E$13+1,1))</f>
        <v>397.61813291201469</v>
      </c>
      <c r="CZ169" s="58">
        <f t="shared" si="150"/>
        <v>320.30651625485064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7.3184911431204466E-2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7.3184911431204466E-2</v>
      </c>
      <c r="DJ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58" t="e">
        <f t="shared" si="125"/>
        <v>#N/A</v>
      </c>
      <c r="DT169" s="58" t="e">
        <f ca="1">AVERAGE(OFFSET($DS$3,0,0,'Données projet'!$E$14+1,1))-AVERAGE(OFFSET($H$3,0,0,'Données projet'!$E$14+1,1))</f>
        <v>#N/A</v>
      </c>
      <c r="DU169" s="58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58" t="e">
        <f t="shared" si="128"/>
        <v>#N/A</v>
      </c>
      <c r="EO169" s="58" t="e">
        <f ca="1">AVERAGE(OFFSET($EN$3,0,0,'Données projet'!$E$15+1,1))-AVERAGE(OFFSET($H$3,0,0,'Données projet'!$E$15+1,1))</f>
        <v>#N/A</v>
      </c>
      <c r="EP169" s="58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58" t="e">
        <f t="shared" si="131"/>
        <v>#N/A</v>
      </c>
      <c r="FJ169" s="58" t="e">
        <f ca="1">AVERAGE(OFFSET($FI$3,0,0,'Données projet'!$E$16+1,1))-AVERAGE(OFFSET($H$3,0,0,'Données projet'!$E$16+1,1))</f>
        <v>#N/A</v>
      </c>
      <c r="FK169" s="58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58" t="e">
        <f t="shared" si="134"/>
        <v>#N/A</v>
      </c>
      <c r="GE169" s="58" t="e">
        <f ca="1">AVERAGE(OFFSET($GD$3,0,0,'Données projet'!$E$17+1,1))-AVERAGE(OFFSET($H$3,0,0,'Données projet'!$E$17+1,1))</f>
        <v>#N/A</v>
      </c>
      <c r="GF169" s="58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58" t="e">
        <f t="shared" si="137"/>
        <v>#N/A</v>
      </c>
      <c r="GZ169" s="58" t="e">
        <f ca="1">AVERAGE(OFFSET($GY$3,0,0,'Données projet'!$E$18+1,1))-AVERAGE(OFFSET($H$3,0,0,'Données projet'!$E$18+1,1))</f>
        <v>#N/A</v>
      </c>
      <c r="HA169" s="58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0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3">
        <f t="shared" si="110"/>
        <v>183.33333333333334</v>
      </c>
      <c r="I170" s="6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1.0231815394945443E-12</v>
      </c>
      <c r="O170" s="14">
        <f>N170*VLOOKUP('Données projet'!$B$9,Paramètres!$A$1:$I$89,3,0)*VLOOKUP('Données projet'!$B$9,Paramètres!$A$1:$I$89,5,0)</f>
        <v>8.6192812887020418E-13</v>
      </c>
      <c r="P170" s="14">
        <f t="shared" si="141"/>
        <v>1.007707029837753E-11</v>
      </c>
      <c r="Q170" s="22">
        <f t="shared" si="162"/>
        <v>1.9052088927456466E-11</v>
      </c>
      <c r="R170" s="58">
        <f t="shared" si="109"/>
        <v>288.40175636393866</v>
      </c>
      <c r="S170" s="58">
        <f ca="1">AVERAGE(OFFSET($R$3,0,0,'Données projet'!$E$9+1,1))-AVERAGE(OFFSET($H$3,0,0,'Données projet'!$E$9+1,1))</f>
        <v>527.70171871461309</v>
      </c>
      <c r="T170" s="58">
        <f t="shared" si="142"/>
        <v>281.06176764290592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7.4487616075202823E-14</v>
      </c>
      <c r="AK170" s="14">
        <f t="shared" si="164"/>
        <v>1.1580453144473142E-12</v>
      </c>
      <c r="AL170" s="22">
        <f t="shared" si="165"/>
        <v>2.1466615206600508E-12</v>
      </c>
      <c r="AM170" s="58">
        <f t="shared" si="113"/>
        <v>288.40175636392178</v>
      </c>
      <c r="AN170" s="58">
        <f ca="1">AVERAGE(OFFSET($AM$3,0,0,'Données projet'!$E$10+1,1))-AVERAGE(OFFSET($H$3,0,0,'Données projet'!$E$10+1,1))</f>
        <v>302.53318056366777</v>
      </c>
      <c r="AO170" s="58">
        <f t="shared" si="144"/>
        <v>318.32262615164541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6.1166607319085083E-2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6.1166607319085083E-2</v>
      </c>
      <c r="AY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9.1000000000003638</v>
      </c>
      <c r="BE170" s="14">
        <f>BD170*VLOOKUP('Données projet'!$B$11,Paramètres!$A$1:$I$89,3,0)*VLOOKUP('Données projet'!$B$11,Paramètres!$A$1:$I$89,5,0)</f>
        <v>7.2399600000002895</v>
      </c>
      <c r="BF170" s="14">
        <f t="shared" si="167"/>
        <v>2.6498112636338633</v>
      </c>
      <c r="BG170" s="22">
        <f t="shared" si="168"/>
        <v>17.224684950829481</v>
      </c>
      <c r="BH170" s="58">
        <f t="shared" si="116"/>
        <v>305.62644131474912</v>
      </c>
      <c r="BI170" s="58">
        <f ca="1">AVERAGE(OFFSET($BH$3,0,0,'Données projet'!$E$11+1,1))-AVERAGE(OFFSET($H$3,0,0,'Données projet'!$E$11+1,1))</f>
        <v>336.25341821407534</v>
      </c>
      <c r="BJ170" s="58">
        <f t="shared" si="146"/>
        <v>360.3246221345039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0.11651398138371198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0.11651398138371198</v>
      </c>
      <c r="BT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projet'!$B$12,Paramètres!$A$1:$I$89,3,0)*VLOOKUP('Données projet'!$B$12,Paramètres!$A$1:$I$89,5,0)</f>
        <v>4.6111381379887463E-14</v>
      </c>
      <c r="CA170" s="14">
        <f t="shared" si="170"/>
        <v>7.5804141040779151E-13</v>
      </c>
      <c r="CB170" s="22">
        <f t="shared" si="171"/>
        <v>1.4005661123635408E-12</v>
      </c>
      <c r="CC170" s="58">
        <f t="shared" si="119"/>
        <v>288.40175636392104</v>
      </c>
      <c r="CD170" s="58">
        <f ca="1">AVERAGE(OFFSET($CC$3,0,0,'Données projet'!$E$12+1,1))-AVERAGE(OFFSET($H$3,0,0,'Données projet'!$E$12+1,1))</f>
        <v>308.58270639204238</v>
      </c>
      <c r="CE170" s="58">
        <f t="shared" si="148"/>
        <v>258.90832875500325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5.4092197387944907E-14</v>
      </c>
      <c r="CV170" s="14">
        <f t="shared" si="173"/>
        <v>8.7287050538073676E-13</v>
      </c>
      <c r="CW170" s="22">
        <f t="shared" si="174"/>
        <v>1.6144600406554537E-12</v>
      </c>
      <c r="CX170" s="58">
        <f t="shared" si="122"/>
        <v>288.40175636392121</v>
      </c>
      <c r="CY170" s="58">
        <f ca="1">AVERAGE(OFFSET($CX$3,0,0,'Données projet'!$E$13+1,1))-AVERAGE(OFFSET($H$3,0,0,'Données projet'!$E$13+1,1))</f>
        <v>397.61813291201469</v>
      </c>
      <c r="CZ170" s="58">
        <f t="shared" si="150"/>
        <v>320.30651625485064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7.1183666179490956E-2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7.1183666179490956E-2</v>
      </c>
      <c r="DJ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58" t="e">
        <f t="shared" si="125"/>
        <v>#N/A</v>
      </c>
      <c r="DT170" s="58" t="e">
        <f ca="1">AVERAGE(OFFSET($DS$3,0,0,'Données projet'!$E$14+1,1))-AVERAGE(OFFSET($H$3,0,0,'Données projet'!$E$14+1,1))</f>
        <v>#N/A</v>
      </c>
      <c r="DU170" s="58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58" t="e">
        <f t="shared" si="128"/>
        <v>#N/A</v>
      </c>
      <c r="EO170" s="58" t="e">
        <f ca="1">AVERAGE(OFFSET($EN$3,0,0,'Données projet'!$E$15+1,1))-AVERAGE(OFFSET($H$3,0,0,'Données projet'!$E$15+1,1))</f>
        <v>#N/A</v>
      </c>
      <c r="EP170" s="58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58" t="e">
        <f t="shared" si="131"/>
        <v>#N/A</v>
      </c>
      <c r="FJ170" s="58" t="e">
        <f ca="1">AVERAGE(OFFSET($FI$3,0,0,'Données projet'!$E$16+1,1))-AVERAGE(OFFSET($H$3,0,0,'Données projet'!$E$16+1,1))</f>
        <v>#N/A</v>
      </c>
      <c r="FK170" s="58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58" t="e">
        <f t="shared" si="134"/>
        <v>#N/A</v>
      </c>
      <c r="GE170" s="58" t="e">
        <f ca="1">AVERAGE(OFFSET($GD$3,0,0,'Données projet'!$E$17+1,1))-AVERAGE(OFFSET($H$3,0,0,'Données projet'!$E$17+1,1))</f>
        <v>#N/A</v>
      </c>
      <c r="GF170" s="58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58" t="e">
        <f t="shared" si="137"/>
        <v>#N/A</v>
      </c>
      <c r="GZ170" s="58" t="e">
        <f ca="1">AVERAGE(OFFSET($GY$3,0,0,'Données projet'!$E$18+1,1))-AVERAGE(OFFSET($H$3,0,0,'Données projet'!$E$18+1,1))</f>
        <v>#N/A</v>
      </c>
      <c r="HA170" s="58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0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3">
        <f t="shared" si="110"/>
        <v>183.33333333333334</v>
      </c>
      <c r="I171" s="6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1.0231815394945443E-12</v>
      </c>
      <c r="O171" s="14">
        <f>N171*VLOOKUP('Données projet'!$B$9,Paramètres!$A$1:$I$89,3,0)*VLOOKUP('Données projet'!$B$9,Paramètres!$A$1:$I$89,5,0)</f>
        <v>8.6192812887020418E-13</v>
      </c>
      <c r="P171" s="14">
        <f t="shared" si="141"/>
        <v>1.007707029837753E-11</v>
      </c>
      <c r="Q171" s="22">
        <f t="shared" si="162"/>
        <v>1.9052088927456466E-11</v>
      </c>
      <c r="R171" s="58">
        <f t="shared" si="109"/>
        <v>288.48730819900356</v>
      </c>
      <c r="S171" s="58">
        <f ca="1">AVERAGE(OFFSET($R$3,0,0,'Données projet'!$E$9+1,1))-AVERAGE(OFFSET($H$3,0,0,'Données projet'!$E$9+1,1))</f>
        <v>527.70171871461309</v>
      </c>
      <c r="T171" s="58">
        <f t="shared" si="142"/>
        <v>281.06176764290592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7.4487616075202823E-14</v>
      </c>
      <c r="AK171" s="14">
        <f t="shared" si="164"/>
        <v>1.1580453144473142E-12</v>
      </c>
      <c r="AL171" s="22">
        <f t="shared" si="165"/>
        <v>2.1466615206600508E-12</v>
      </c>
      <c r="AM171" s="58">
        <f t="shared" si="113"/>
        <v>288.48730819898668</v>
      </c>
      <c r="AN171" s="58">
        <f ca="1">AVERAGE(OFFSET($AM$3,0,0,'Données projet'!$E$10+1,1))-AVERAGE(OFFSET($H$3,0,0,'Données projet'!$E$10+1,1))</f>
        <v>302.53318056366777</v>
      </c>
      <c r="AO171" s="58">
        <f t="shared" si="144"/>
        <v>318.32262615164541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5.9494003225332617E-2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5.9494003225332617E-2</v>
      </c>
      <c r="AY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9.1000000000003638</v>
      </c>
      <c r="BE171" s="14">
        <f>BD171*VLOOKUP('Données projet'!$B$11,Paramètres!$A$1:$I$89,3,0)*VLOOKUP('Données projet'!$B$11,Paramètres!$A$1:$I$89,5,0)</f>
        <v>7.2399600000002895</v>
      </c>
      <c r="BF171" s="14">
        <f t="shared" si="167"/>
        <v>2.6498112636338633</v>
      </c>
      <c r="BG171" s="22">
        <f t="shared" si="168"/>
        <v>17.224684950829481</v>
      </c>
      <c r="BH171" s="58">
        <f t="shared" si="116"/>
        <v>305.71199314981402</v>
      </c>
      <c r="BI171" s="58">
        <f ca="1">AVERAGE(OFFSET($BH$3,0,0,'Données projet'!$E$11+1,1))-AVERAGE(OFFSET($H$3,0,0,'Données projet'!$E$11+1,1))</f>
        <v>336.25341821407534</v>
      </c>
      <c r="BJ171" s="58">
        <f t="shared" si="146"/>
        <v>360.3246221345039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0.11332790043557039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0.11332790043557039</v>
      </c>
      <c r="BT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projet'!$B$12,Paramètres!$A$1:$I$89,3,0)*VLOOKUP('Données projet'!$B$12,Paramètres!$A$1:$I$89,5,0)</f>
        <v>4.6111381379887463E-14</v>
      </c>
      <c r="CA171" s="14">
        <f t="shared" si="170"/>
        <v>7.5804141040779151E-13</v>
      </c>
      <c r="CB171" s="22">
        <f t="shared" si="171"/>
        <v>1.4005661123635408E-12</v>
      </c>
      <c r="CC171" s="58">
        <f t="shared" si="119"/>
        <v>288.48730819898594</v>
      </c>
      <c r="CD171" s="58">
        <f ca="1">AVERAGE(OFFSET($CC$3,0,0,'Données projet'!$E$12+1,1))-AVERAGE(OFFSET($H$3,0,0,'Données projet'!$E$12+1,1))</f>
        <v>308.58270639204238</v>
      </c>
      <c r="CE171" s="58">
        <f t="shared" si="148"/>
        <v>258.90832875500325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5.4092197387944907E-14</v>
      </c>
      <c r="CV171" s="14">
        <f t="shared" si="173"/>
        <v>8.7287050538073676E-13</v>
      </c>
      <c r="CW171" s="22">
        <f t="shared" si="174"/>
        <v>1.6144600406554537E-12</v>
      </c>
      <c r="CX171" s="58">
        <f t="shared" si="122"/>
        <v>288.48730819898611</v>
      </c>
      <c r="CY171" s="58">
        <f ca="1">AVERAGE(OFFSET($CX$3,0,0,'Données projet'!$E$13+1,1))-AVERAGE(OFFSET($H$3,0,0,'Données projet'!$E$13+1,1))</f>
        <v>397.61813291201469</v>
      </c>
      <c r="CZ171" s="58">
        <f t="shared" si="150"/>
        <v>320.30651625485064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6.9237145084426466E-2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6.9237145084426466E-2</v>
      </c>
      <c r="DJ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58" t="e">
        <f t="shared" si="125"/>
        <v>#N/A</v>
      </c>
      <c r="DT171" s="58" t="e">
        <f ca="1">AVERAGE(OFFSET($DS$3,0,0,'Données projet'!$E$14+1,1))-AVERAGE(OFFSET($H$3,0,0,'Données projet'!$E$14+1,1))</f>
        <v>#N/A</v>
      </c>
      <c r="DU171" s="58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58" t="e">
        <f t="shared" si="128"/>
        <v>#N/A</v>
      </c>
      <c r="EO171" s="58" t="e">
        <f ca="1">AVERAGE(OFFSET($EN$3,0,0,'Données projet'!$E$15+1,1))-AVERAGE(OFFSET($H$3,0,0,'Données projet'!$E$15+1,1))</f>
        <v>#N/A</v>
      </c>
      <c r="EP171" s="58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58" t="e">
        <f t="shared" si="131"/>
        <v>#N/A</v>
      </c>
      <c r="FJ171" s="58" t="e">
        <f ca="1">AVERAGE(OFFSET($FI$3,0,0,'Données projet'!$E$16+1,1))-AVERAGE(OFFSET($H$3,0,0,'Données projet'!$E$16+1,1))</f>
        <v>#N/A</v>
      </c>
      <c r="FK171" s="58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58" t="e">
        <f t="shared" si="134"/>
        <v>#N/A</v>
      </c>
      <c r="GE171" s="58" t="e">
        <f ca="1">AVERAGE(OFFSET($GD$3,0,0,'Données projet'!$E$17+1,1))-AVERAGE(OFFSET($H$3,0,0,'Données projet'!$E$17+1,1))</f>
        <v>#N/A</v>
      </c>
      <c r="GF171" s="58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58" t="e">
        <f t="shared" si="137"/>
        <v>#N/A</v>
      </c>
      <c r="GZ171" s="58" t="e">
        <f ca="1">AVERAGE(OFFSET($GY$3,0,0,'Données projet'!$E$18+1,1))-AVERAGE(OFFSET($H$3,0,0,'Données projet'!$E$18+1,1))</f>
        <v>#N/A</v>
      </c>
      <c r="HA171" s="58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0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3">
        <f t="shared" si="110"/>
        <v>183.33333333333334</v>
      </c>
      <c r="I172" s="6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1.0231815394945443E-12</v>
      </c>
      <c r="O172" s="14">
        <f>N172*VLOOKUP('Données projet'!$B$9,Paramètres!$A$1:$I$89,3,0)*VLOOKUP('Données projet'!$B$9,Paramètres!$A$1:$I$89,5,0)</f>
        <v>8.6192812887020418E-13</v>
      </c>
      <c r="P172" s="14">
        <f t="shared" si="141"/>
        <v>1.007707029837753E-11</v>
      </c>
      <c r="Q172" s="22">
        <f t="shared" si="162"/>
        <v>1.9052088927456466E-11</v>
      </c>
      <c r="R172" s="58">
        <f t="shared" si="109"/>
        <v>288.57137590099546</v>
      </c>
      <c r="S172" s="58">
        <f ca="1">AVERAGE(OFFSET($R$3,0,0,'Données projet'!$E$9+1,1))-AVERAGE(OFFSET($H$3,0,0,'Données projet'!$E$9+1,1))</f>
        <v>527.70171871461309</v>
      </c>
      <c r="T172" s="58">
        <f t="shared" si="142"/>
        <v>281.06176764290592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7.4487616075202823E-14</v>
      </c>
      <c r="AK172" s="14">
        <f t="shared" si="164"/>
        <v>1.1580453144473142E-12</v>
      </c>
      <c r="AL172" s="22">
        <f t="shared" si="165"/>
        <v>2.1466615206600508E-12</v>
      </c>
      <c r="AM172" s="58">
        <f t="shared" si="113"/>
        <v>288.57137590097858</v>
      </c>
      <c r="AN172" s="58">
        <f ca="1">AVERAGE(OFFSET($AM$3,0,0,'Données projet'!$E$10+1,1))-AVERAGE(OFFSET($H$3,0,0,'Données projet'!$E$10+1,1))</f>
        <v>302.53318056366777</v>
      </c>
      <c r="AO172" s="58">
        <f t="shared" si="144"/>
        <v>318.32262615164541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5.7867136578482241E-2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5.7867136578482241E-2</v>
      </c>
      <c r="AY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9.1000000000003638</v>
      </c>
      <c r="BE172" s="14">
        <f>BD172*VLOOKUP('Données projet'!$B$11,Paramètres!$A$1:$I$89,3,0)*VLOOKUP('Données projet'!$B$11,Paramètres!$A$1:$I$89,5,0)</f>
        <v>7.2399600000002895</v>
      </c>
      <c r="BF172" s="14">
        <f t="shared" si="167"/>
        <v>2.6498112636338633</v>
      </c>
      <c r="BG172" s="22">
        <f t="shared" si="168"/>
        <v>17.224684950829481</v>
      </c>
      <c r="BH172" s="58">
        <f t="shared" si="116"/>
        <v>305.79606085180592</v>
      </c>
      <c r="BI172" s="58">
        <f ca="1">AVERAGE(OFFSET($BH$3,0,0,'Données projet'!$E$11+1,1))-AVERAGE(OFFSET($H$3,0,0,'Données projet'!$E$11+1,1))</f>
        <v>336.25341821407534</v>
      </c>
      <c r="BJ172" s="58">
        <f t="shared" si="146"/>
        <v>360.3246221345039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0.11022894303850446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0.11022894303850446</v>
      </c>
      <c r="BT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projet'!$B$12,Paramètres!$A$1:$I$89,3,0)*VLOOKUP('Données projet'!$B$12,Paramètres!$A$1:$I$89,5,0)</f>
        <v>4.6111381379887463E-14</v>
      </c>
      <c r="CA172" s="14">
        <f t="shared" si="170"/>
        <v>7.5804141040779151E-13</v>
      </c>
      <c r="CB172" s="22">
        <f t="shared" si="171"/>
        <v>1.4005661123635408E-12</v>
      </c>
      <c r="CC172" s="58">
        <f t="shared" si="119"/>
        <v>288.57137590097784</v>
      </c>
      <c r="CD172" s="58">
        <f ca="1">AVERAGE(OFFSET($CC$3,0,0,'Données projet'!$E$12+1,1))-AVERAGE(OFFSET($H$3,0,0,'Données projet'!$E$12+1,1))</f>
        <v>308.58270639204238</v>
      </c>
      <c r="CE172" s="58">
        <f t="shared" si="148"/>
        <v>258.90832875500325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5.4092197387944907E-14</v>
      </c>
      <c r="CV172" s="14">
        <f t="shared" si="173"/>
        <v>8.7287050538073676E-13</v>
      </c>
      <c r="CW172" s="22">
        <f t="shared" si="174"/>
        <v>1.6144600406554537E-12</v>
      </c>
      <c r="CX172" s="58">
        <f t="shared" si="122"/>
        <v>288.57137590097801</v>
      </c>
      <c r="CY172" s="58">
        <f ca="1">AVERAGE(OFFSET($CX$3,0,0,'Données projet'!$E$13+1,1))-AVERAGE(OFFSET($H$3,0,0,'Données projet'!$E$13+1,1))</f>
        <v>397.61813291201469</v>
      </c>
      <c r="CZ172" s="58">
        <f t="shared" si="150"/>
        <v>320.30651625485064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6.7343851711069602E-2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6.7343851711069602E-2</v>
      </c>
      <c r="DJ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58" t="e">
        <f t="shared" si="125"/>
        <v>#N/A</v>
      </c>
      <c r="DT172" s="58" t="e">
        <f ca="1">AVERAGE(OFFSET($DS$3,0,0,'Données projet'!$E$14+1,1))-AVERAGE(OFFSET($H$3,0,0,'Données projet'!$E$14+1,1))</f>
        <v>#N/A</v>
      </c>
      <c r="DU172" s="58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58" t="e">
        <f t="shared" si="128"/>
        <v>#N/A</v>
      </c>
      <c r="EO172" s="58" t="e">
        <f ca="1">AVERAGE(OFFSET($EN$3,0,0,'Données projet'!$E$15+1,1))-AVERAGE(OFFSET($H$3,0,0,'Données projet'!$E$15+1,1))</f>
        <v>#N/A</v>
      </c>
      <c r="EP172" s="58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58" t="e">
        <f t="shared" si="131"/>
        <v>#N/A</v>
      </c>
      <c r="FJ172" s="58" t="e">
        <f ca="1">AVERAGE(OFFSET($FI$3,0,0,'Données projet'!$E$16+1,1))-AVERAGE(OFFSET($H$3,0,0,'Données projet'!$E$16+1,1))</f>
        <v>#N/A</v>
      </c>
      <c r="FK172" s="58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58" t="e">
        <f t="shared" si="134"/>
        <v>#N/A</v>
      </c>
      <c r="GE172" s="58" t="e">
        <f ca="1">AVERAGE(OFFSET($GD$3,0,0,'Données projet'!$E$17+1,1))-AVERAGE(OFFSET($H$3,0,0,'Données projet'!$E$17+1,1))</f>
        <v>#N/A</v>
      </c>
      <c r="GF172" s="58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58" t="e">
        <f t="shared" si="137"/>
        <v>#N/A</v>
      </c>
      <c r="GZ172" s="58" t="e">
        <f ca="1">AVERAGE(OFFSET($GY$3,0,0,'Données projet'!$E$18+1,1))-AVERAGE(OFFSET($H$3,0,0,'Données projet'!$E$18+1,1))</f>
        <v>#N/A</v>
      </c>
      <c r="HA172" s="58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0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3">
        <f t="shared" si="110"/>
        <v>183.33333333333334</v>
      </c>
      <c r="I173" s="6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1.0231815394945443E-12</v>
      </c>
      <c r="O173" s="14">
        <f>N173*VLOOKUP('Données projet'!$B$9,Paramètres!$A$1:$I$89,3,0)*VLOOKUP('Données projet'!$B$9,Paramètres!$A$1:$I$89,5,0)</f>
        <v>8.6192812887020418E-13</v>
      </c>
      <c r="P173" s="14">
        <f t="shared" si="141"/>
        <v>1.007707029837753E-11</v>
      </c>
      <c r="Q173" s="22">
        <f t="shared" si="162"/>
        <v>1.9052088927456466E-11</v>
      </c>
      <c r="R173" s="58">
        <f t="shared" si="109"/>
        <v>288.65398521630493</v>
      </c>
      <c r="S173" s="58">
        <f ca="1">AVERAGE(OFFSET($R$3,0,0,'Données projet'!$E$9+1,1))-AVERAGE(OFFSET($H$3,0,0,'Données projet'!$E$9+1,1))</f>
        <v>527.70171871461309</v>
      </c>
      <c r="T173" s="58">
        <f t="shared" si="142"/>
        <v>281.06176764290592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7.4487616075202823E-14</v>
      </c>
      <c r="AK173" s="14">
        <f t="shared" si="164"/>
        <v>1.1580453144473142E-12</v>
      </c>
      <c r="AL173" s="22">
        <f t="shared" si="165"/>
        <v>2.1466615206600508E-12</v>
      </c>
      <c r="AM173" s="58">
        <f t="shared" si="113"/>
        <v>288.65398521628805</v>
      </c>
      <c r="AN173" s="58">
        <f ca="1">AVERAGE(OFFSET($AM$3,0,0,'Données projet'!$E$10+1,1))-AVERAGE(OFFSET($H$3,0,0,'Données projet'!$E$10+1,1))</f>
        <v>302.53318056366777</v>
      </c>
      <c r="AO173" s="58">
        <f t="shared" si="144"/>
        <v>318.32262615164541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5.6284756685643186E-2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5.6284756685643186E-2</v>
      </c>
      <c r="AY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9.1000000000003638</v>
      </c>
      <c r="BE173" s="14">
        <f>BD173*VLOOKUP('Données projet'!$B$11,Paramètres!$A$1:$I$89,3,0)*VLOOKUP('Données projet'!$B$11,Paramètres!$A$1:$I$89,5,0)</f>
        <v>7.2399600000002895</v>
      </c>
      <c r="BF173" s="14">
        <f t="shared" si="167"/>
        <v>2.6498112636338633</v>
      </c>
      <c r="BG173" s="22">
        <f t="shared" si="168"/>
        <v>17.224684950829481</v>
      </c>
      <c r="BH173" s="58">
        <f t="shared" si="116"/>
        <v>305.87867016711539</v>
      </c>
      <c r="BI173" s="58">
        <f ca="1">AVERAGE(OFFSET($BH$3,0,0,'Données projet'!$E$11+1,1))-AVERAGE(OFFSET($H$3,0,0,'Données projet'!$E$11+1,1))</f>
        <v>336.25341821407534</v>
      </c>
      <c r="BJ173" s="58">
        <f t="shared" si="146"/>
        <v>360.3246221345039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0.10721472679442837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0.10721472679442837</v>
      </c>
      <c r="BT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projet'!$B$12,Paramètres!$A$1:$I$89,3,0)*VLOOKUP('Données projet'!$B$12,Paramètres!$A$1:$I$89,5,0)</f>
        <v>4.6111381379887463E-14</v>
      </c>
      <c r="CA173" s="14">
        <f t="shared" si="170"/>
        <v>7.5804141040779151E-13</v>
      </c>
      <c r="CB173" s="22">
        <f t="shared" si="171"/>
        <v>1.4005661123635408E-12</v>
      </c>
      <c r="CC173" s="58">
        <f t="shared" si="119"/>
        <v>288.65398521628731</v>
      </c>
      <c r="CD173" s="58">
        <f ca="1">AVERAGE(OFFSET($CC$3,0,0,'Données projet'!$E$12+1,1))-AVERAGE(OFFSET($H$3,0,0,'Données projet'!$E$12+1,1))</f>
        <v>308.58270639204238</v>
      </c>
      <c r="CE173" s="58">
        <f t="shared" si="148"/>
        <v>258.90832875500325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5.4092197387944907E-14</v>
      </c>
      <c r="CV173" s="14">
        <f t="shared" si="173"/>
        <v>8.7287050538073676E-13</v>
      </c>
      <c r="CW173" s="22">
        <f t="shared" si="174"/>
        <v>1.6144600406554537E-12</v>
      </c>
      <c r="CX173" s="58">
        <f t="shared" si="122"/>
        <v>288.65398521628748</v>
      </c>
      <c r="CY173" s="58">
        <f ca="1">AVERAGE(OFFSET($CX$3,0,0,'Données projet'!$E$13+1,1))-AVERAGE(OFFSET($H$3,0,0,'Données projet'!$E$13+1,1))</f>
        <v>397.61813291201469</v>
      </c>
      <c r="CZ173" s="58">
        <f t="shared" si="150"/>
        <v>320.30651625485064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6.5502330544571163E-2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6.5502330544571163E-2</v>
      </c>
      <c r="DJ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58" t="e">
        <f t="shared" si="125"/>
        <v>#N/A</v>
      </c>
      <c r="DT173" s="58" t="e">
        <f ca="1">AVERAGE(OFFSET($DS$3,0,0,'Données projet'!$E$14+1,1))-AVERAGE(OFFSET($H$3,0,0,'Données projet'!$E$14+1,1))</f>
        <v>#N/A</v>
      </c>
      <c r="DU173" s="58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58" t="e">
        <f t="shared" si="128"/>
        <v>#N/A</v>
      </c>
      <c r="EO173" s="58" t="e">
        <f ca="1">AVERAGE(OFFSET($EN$3,0,0,'Données projet'!$E$15+1,1))-AVERAGE(OFFSET($H$3,0,0,'Données projet'!$E$15+1,1))</f>
        <v>#N/A</v>
      </c>
      <c r="EP173" s="58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58" t="e">
        <f t="shared" si="131"/>
        <v>#N/A</v>
      </c>
      <c r="FJ173" s="58" t="e">
        <f ca="1">AVERAGE(OFFSET($FI$3,0,0,'Données projet'!$E$16+1,1))-AVERAGE(OFFSET($H$3,0,0,'Données projet'!$E$16+1,1))</f>
        <v>#N/A</v>
      </c>
      <c r="FK173" s="58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58" t="e">
        <f t="shared" si="134"/>
        <v>#N/A</v>
      </c>
      <c r="GE173" s="58" t="e">
        <f ca="1">AVERAGE(OFFSET($GD$3,0,0,'Données projet'!$E$17+1,1))-AVERAGE(OFFSET($H$3,0,0,'Données projet'!$E$17+1,1))</f>
        <v>#N/A</v>
      </c>
      <c r="GF173" s="58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58" t="e">
        <f t="shared" si="137"/>
        <v>#N/A</v>
      </c>
      <c r="GZ173" s="58" t="e">
        <f ca="1">AVERAGE(OFFSET($GY$3,0,0,'Données projet'!$E$18+1,1))-AVERAGE(OFFSET($H$3,0,0,'Données projet'!$E$18+1,1))</f>
        <v>#N/A</v>
      </c>
      <c r="HA173" s="58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0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3">
        <f t="shared" si="110"/>
        <v>183.33333333333334</v>
      </c>
      <c r="I174" s="6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1.0231815394945443E-12</v>
      </c>
      <c r="O174" s="14">
        <f>N174*VLOOKUP('Données projet'!$B$9,Paramètres!$A$1:$I$89,3,0)*VLOOKUP('Données projet'!$B$9,Paramètres!$A$1:$I$89,5,0)</f>
        <v>8.6192812887020418E-13</v>
      </c>
      <c r="P174" s="14">
        <f t="shared" si="141"/>
        <v>1.007707029837753E-11</v>
      </c>
      <c r="Q174" s="22">
        <f t="shared" si="162"/>
        <v>1.9052088927456466E-11</v>
      </c>
      <c r="R174" s="58">
        <f t="shared" si="109"/>
        <v>288.73516144468056</v>
      </c>
      <c r="S174" s="58">
        <f ca="1">AVERAGE(OFFSET($R$3,0,0,'Données projet'!$E$9+1,1))-AVERAGE(OFFSET($H$3,0,0,'Données projet'!$E$9+1,1))</f>
        <v>527.70171871461309</v>
      </c>
      <c r="T174" s="58">
        <f t="shared" si="142"/>
        <v>281.06176764290592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7.4487616075202823E-14</v>
      </c>
      <c r="AK174" s="14">
        <f t="shared" si="164"/>
        <v>1.1580453144473142E-12</v>
      </c>
      <c r="AL174" s="22">
        <f t="shared" si="165"/>
        <v>2.1466615206600508E-12</v>
      </c>
      <c r="AM174" s="58">
        <f t="shared" si="113"/>
        <v>288.73516144466367</v>
      </c>
      <c r="AN174" s="58">
        <f ca="1">AVERAGE(OFFSET($AM$3,0,0,'Données projet'!$E$10+1,1))-AVERAGE(OFFSET($H$3,0,0,'Données projet'!$E$10+1,1))</f>
        <v>302.53318056366777</v>
      </c>
      <c r="AO174" s="58">
        <f t="shared" si="144"/>
        <v>318.32262615164541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5.4745647054187559E-2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5.4745647054187559E-2</v>
      </c>
      <c r="AY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9.1000000000003638</v>
      </c>
      <c r="BE174" s="14">
        <f>BD174*VLOOKUP('Données projet'!$B$11,Paramètres!$A$1:$I$89,3,0)*VLOOKUP('Données projet'!$B$11,Paramètres!$A$1:$I$89,5,0)</f>
        <v>7.2399600000002895</v>
      </c>
      <c r="BF174" s="14">
        <f t="shared" si="167"/>
        <v>2.6498112636338633</v>
      </c>
      <c r="BG174" s="22">
        <f t="shared" si="168"/>
        <v>17.224684950829481</v>
      </c>
      <c r="BH174" s="58">
        <f t="shared" si="116"/>
        <v>305.95984639549101</v>
      </c>
      <c r="BI174" s="58">
        <f ca="1">AVERAGE(OFFSET($BH$3,0,0,'Données projet'!$E$11+1,1))-AVERAGE(OFFSET($H$3,0,0,'Données projet'!$E$11+1,1))</f>
        <v>336.25341821407534</v>
      </c>
      <c r="BJ174" s="58">
        <f t="shared" si="146"/>
        <v>360.3246221345039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0.10428293445205729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0.10428293445205729</v>
      </c>
      <c r="BT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projet'!$B$12,Paramètres!$A$1:$I$89,3,0)*VLOOKUP('Données projet'!$B$12,Paramètres!$A$1:$I$89,5,0)</f>
        <v>4.6111381379887463E-14</v>
      </c>
      <c r="CA174" s="14">
        <f t="shared" si="170"/>
        <v>7.5804141040779151E-13</v>
      </c>
      <c r="CB174" s="22">
        <f t="shared" si="171"/>
        <v>1.4005661123635408E-12</v>
      </c>
      <c r="CC174" s="58">
        <f t="shared" si="119"/>
        <v>288.73516144466294</v>
      </c>
      <c r="CD174" s="58">
        <f ca="1">AVERAGE(OFFSET($CC$3,0,0,'Données projet'!$E$12+1,1))-AVERAGE(OFFSET($H$3,0,0,'Données projet'!$E$12+1,1))</f>
        <v>308.58270639204238</v>
      </c>
      <c r="CE174" s="58">
        <f t="shared" si="148"/>
        <v>258.90832875500325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5.4092197387944907E-14</v>
      </c>
      <c r="CV174" s="14">
        <f t="shared" si="173"/>
        <v>8.7287050538073676E-13</v>
      </c>
      <c r="CW174" s="22">
        <f t="shared" si="174"/>
        <v>1.6144600406554537E-12</v>
      </c>
      <c r="CX174" s="58">
        <f t="shared" si="122"/>
        <v>288.73516144466311</v>
      </c>
      <c r="CY174" s="58">
        <f ca="1">AVERAGE(OFFSET($CX$3,0,0,'Données projet'!$E$13+1,1))-AVERAGE(OFFSET($H$3,0,0,'Données projet'!$E$13+1,1))</f>
        <v>397.61813291201469</v>
      </c>
      <c r="CZ174" s="58">
        <f t="shared" si="150"/>
        <v>320.30651625485064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6.3711165871212005E-2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6.3711165871212005E-2</v>
      </c>
      <c r="DJ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58" t="e">
        <f t="shared" si="125"/>
        <v>#N/A</v>
      </c>
      <c r="DT174" s="58" t="e">
        <f ca="1">AVERAGE(OFFSET($DS$3,0,0,'Données projet'!$E$14+1,1))-AVERAGE(OFFSET($H$3,0,0,'Données projet'!$E$14+1,1))</f>
        <v>#N/A</v>
      </c>
      <c r="DU174" s="58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58" t="e">
        <f t="shared" si="128"/>
        <v>#N/A</v>
      </c>
      <c r="EO174" s="58" t="e">
        <f ca="1">AVERAGE(OFFSET($EN$3,0,0,'Données projet'!$E$15+1,1))-AVERAGE(OFFSET($H$3,0,0,'Données projet'!$E$15+1,1))</f>
        <v>#N/A</v>
      </c>
      <c r="EP174" s="58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58" t="e">
        <f t="shared" si="131"/>
        <v>#N/A</v>
      </c>
      <c r="FJ174" s="58" t="e">
        <f ca="1">AVERAGE(OFFSET($FI$3,0,0,'Données projet'!$E$16+1,1))-AVERAGE(OFFSET($H$3,0,0,'Données projet'!$E$16+1,1))</f>
        <v>#N/A</v>
      </c>
      <c r="FK174" s="58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58" t="e">
        <f t="shared" si="134"/>
        <v>#N/A</v>
      </c>
      <c r="GE174" s="58" t="e">
        <f ca="1">AVERAGE(OFFSET($GD$3,0,0,'Données projet'!$E$17+1,1))-AVERAGE(OFFSET($H$3,0,0,'Données projet'!$E$17+1,1))</f>
        <v>#N/A</v>
      </c>
      <c r="GF174" s="58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58" t="e">
        <f t="shared" si="137"/>
        <v>#N/A</v>
      </c>
      <c r="GZ174" s="58" t="e">
        <f ca="1">AVERAGE(OFFSET($GY$3,0,0,'Données projet'!$E$18+1,1))-AVERAGE(OFFSET($H$3,0,0,'Données projet'!$E$18+1,1))</f>
        <v>#N/A</v>
      </c>
      <c r="HA174" s="58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0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3">
        <f t="shared" si="110"/>
        <v>183.33333333333334</v>
      </c>
      <c r="I175" s="6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1.0231815394945443E-12</v>
      </c>
      <c r="O175" s="14">
        <f>N175*VLOOKUP('Données projet'!$B$9,Paramètres!$A$1:$I$89,3,0)*VLOOKUP('Données projet'!$B$9,Paramètres!$A$1:$I$89,5,0)</f>
        <v>8.6192812887020418E-13</v>
      </c>
      <c r="P175" s="14">
        <f t="shared" si="141"/>
        <v>1.007707029837753E-11</v>
      </c>
      <c r="Q175" s="22">
        <f t="shared" si="162"/>
        <v>1.9052088927456466E-11</v>
      </c>
      <c r="R175" s="58">
        <f t="shared" si="109"/>
        <v>288.81492944697669</v>
      </c>
      <c r="S175" s="58">
        <f ca="1">AVERAGE(OFFSET($R$3,0,0,'Données projet'!$E$9+1,1))-AVERAGE(OFFSET($H$3,0,0,'Données projet'!$E$9+1,1))</f>
        <v>527.70171871461309</v>
      </c>
      <c r="T175" s="58">
        <f t="shared" si="142"/>
        <v>281.06176764290592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7.4487616075202823E-14</v>
      </c>
      <c r="AK175" s="14">
        <f t="shared" si="164"/>
        <v>1.1580453144473142E-12</v>
      </c>
      <c r="AL175" s="22">
        <f t="shared" si="165"/>
        <v>2.1466615206600508E-12</v>
      </c>
      <c r="AM175" s="58">
        <f t="shared" si="113"/>
        <v>288.81492944695981</v>
      </c>
      <c r="AN175" s="58">
        <f ca="1">AVERAGE(OFFSET($AM$3,0,0,'Données projet'!$E$10+1,1))-AVERAGE(OFFSET($H$3,0,0,'Données projet'!$E$10+1,1))</f>
        <v>302.53318056366777</v>
      </c>
      <c r="AO175" s="58">
        <f t="shared" si="144"/>
        <v>318.32262615164541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5.3248624456542347E-2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5.3248624456542347E-2</v>
      </c>
      <c r="AY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9.1000000000003638</v>
      </c>
      <c r="BE175" s="14">
        <f>BD175*VLOOKUP('Données projet'!$B$11,Paramètres!$A$1:$I$89,3,0)*VLOOKUP('Données projet'!$B$11,Paramètres!$A$1:$I$89,5,0)</f>
        <v>7.2399600000002895</v>
      </c>
      <c r="BF175" s="14">
        <f t="shared" si="167"/>
        <v>2.6498112636338633</v>
      </c>
      <c r="BG175" s="22">
        <f t="shared" si="168"/>
        <v>17.224684950829481</v>
      </c>
      <c r="BH175" s="58">
        <f t="shared" si="116"/>
        <v>306.03961439778715</v>
      </c>
      <c r="BI175" s="58">
        <f ca="1">AVERAGE(OFFSET($BH$3,0,0,'Données projet'!$E$11+1,1))-AVERAGE(OFFSET($H$3,0,0,'Données projet'!$E$11+1,1))</f>
        <v>336.25341821407534</v>
      </c>
      <c r="BJ175" s="58">
        <f t="shared" si="146"/>
        <v>360.3246221345039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0.10143131212546461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0.10143131212546461</v>
      </c>
      <c r="BT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projet'!$B$12,Paramètres!$A$1:$I$89,3,0)*VLOOKUP('Données projet'!$B$12,Paramètres!$A$1:$I$89,5,0)</f>
        <v>4.6111381379887463E-14</v>
      </c>
      <c r="CA175" s="14">
        <f t="shared" si="170"/>
        <v>7.5804141040779151E-13</v>
      </c>
      <c r="CB175" s="22">
        <f t="shared" si="171"/>
        <v>1.4005661123635408E-12</v>
      </c>
      <c r="CC175" s="58">
        <f t="shared" si="119"/>
        <v>288.81492944695907</v>
      </c>
      <c r="CD175" s="58">
        <f ca="1">AVERAGE(OFFSET($CC$3,0,0,'Données projet'!$E$12+1,1))-AVERAGE(OFFSET($H$3,0,0,'Données projet'!$E$12+1,1))</f>
        <v>308.58270639204238</v>
      </c>
      <c r="CE175" s="58">
        <f t="shared" si="148"/>
        <v>258.90832875500325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5.4092197387944907E-14</v>
      </c>
      <c r="CV175" s="14">
        <f t="shared" si="173"/>
        <v>8.7287050538073676E-13</v>
      </c>
      <c r="CW175" s="22">
        <f t="shared" si="174"/>
        <v>1.6144600406554537E-12</v>
      </c>
      <c r="CX175" s="58">
        <f t="shared" si="122"/>
        <v>288.81492944695924</v>
      </c>
      <c r="CY175" s="58">
        <f ca="1">AVERAGE(OFFSET($CX$3,0,0,'Données projet'!$E$13+1,1))-AVERAGE(OFFSET($H$3,0,0,'Données projet'!$E$13+1,1))</f>
        <v>397.61813291201469</v>
      </c>
      <c r="CZ175" s="58">
        <f t="shared" si="150"/>
        <v>320.30651625485064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6.1968980690039116E-2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6.1968980690039116E-2</v>
      </c>
      <c r="DJ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58" t="e">
        <f t="shared" si="125"/>
        <v>#N/A</v>
      </c>
      <c r="DT175" s="58" t="e">
        <f ca="1">AVERAGE(OFFSET($DS$3,0,0,'Données projet'!$E$14+1,1))-AVERAGE(OFFSET($H$3,0,0,'Données projet'!$E$14+1,1))</f>
        <v>#N/A</v>
      </c>
      <c r="DU175" s="58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58" t="e">
        <f t="shared" si="128"/>
        <v>#N/A</v>
      </c>
      <c r="EO175" s="58" t="e">
        <f ca="1">AVERAGE(OFFSET($EN$3,0,0,'Données projet'!$E$15+1,1))-AVERAGE(OFFSET($H$3,0,0,'Données projet'!$E$15+1,1))</f>
        <v>#N/A</v>
      </c>
      <c r="EP175" s="58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58" t="e">
        <f t="shared" si="131"/>
        <v>#N/A</v>
      </c>
      <c r="FJ175" s="58" t="e">
        <f ca="1">AVERAGE(OFFSET($FI$3,0,0,'Données projet'!$E$16+1,1))-AVERAGE(OFFSET($H$3,0,0,'Données projet'!$E$16+1,1))</f>
        <v>#N/A</v>
      </c>
      <c r="FK175" s="58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58" t="e">
        <f t="shared" si="134"/>
        <v>#N/A</v>
      </c>
      <c r="GE175" s="58" t="e">
        <f ca="1">AVERAGE(OFFSET($GD$3,0,0,'Données projet'!$E$17+1,1))-AVERAGE(OFFSET($H$3,0,0,'Données projet'!$E$17+1,1))</f>
        <v>#N/A</v>
      </c>
      <c r="GF175" s="58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58" t="e">
        <f t="shared" si="137"/>
        <v>#N/A</v>
      </c>
      <c r="GZ175" s="58" t="e">
        <f ca="1">AVERAGE(OFFSET($GY$3,0,0,'Données projet'!$E$18+1,1))-AVERAGE(OFFSET($H$3,0,0,'Données projet'!$E$18+1,1))</f>
        <v>#N/A</v>
      </c>
      <c r="HA175" s="58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0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3">
        <f t="shared" si="110"/>
        <v>183.33333333333334</v>
      </c>
      <c r="I176" s="6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1.0231815394945443E-12</v>
      </c>
      <c r="O176" s="14">
        <f>N176*VLOOKUP('Données projet'!$B$9,Paramètres!$A$1:$I$89,3,0)*VLOOKUP('Données projet'!$B$9,Paramètres!$A$1:$I$89,5,0)</f>
        <v>8.6192812887020418E-13</v>
      </c>
      <c r="P176" s="14">
        <f t="shared" si="141"/>
        <v>1.007707029837753E-11</v>
      </c>
      <c r="Q176" s="22">
        <f t="shared" si="162"/>
        <v>1.9052088927456466E-11</v>
      </c>
      <c r="R176" s="58">
        <f t="shared" si="109"/>
        <v>288.89331365276752</v>
      </c>
      <c r="S176" s="58">
        <f ca="1">AVERAGE(OFFSET($R$3,0,0,'Données projet'!$E$9+1,1))-AVERAGE(OFFSET($H$3,0,0,'Données projet'!$E$9+1,1))</f>
        <v>527.70171871461309</v>
      </c>
      <c r="T176" s="58">
        <f t="shared" si="142"/>
        <v>281.06176764290592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7.4487616075202823E-14</v>
      </c>
      <c r="AK176" s="14">
        <f t="shared" si="164"/>
        <v>1.1580453144473142E-12</v>
      </c>
      <c r="AL176" s="22">
        <f t="shared" si="165"/>
        <v>2.1466615206600508E-12</v>
      </c>
      <c r="AM176" s="58">
        <f t="shared" si="113"/>
        <v>288.89331365275063</v>
      </c>
      <c r="AN176" s="58">
        <f ca="1">AVERAGE(OFFSET($AM$3,0,0,'Données projet'!$E$10+1,1))-AVERAGE(OFFSET($H$3,0,0,'Données projet'!$E$10+1,1))</f>
        <v>302.53318056366777</v>
      </c>
      <c r="AO176" s="58">
        <f t="shared" si="144"/>
        <v>318.32262615164541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5.1792538020554738E-2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5.1792538020554738E-2</v>
      </c>
      <c r="AY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9.1000000000003638</v>
      </c>
      <c r="BE176" s="14">
        <f>BD176*VLOOKUP('Données projet'!$B$11,Paramètres!$A$1:$I$89,3,0)*VLOOKUP('Données projet'!$B$11,Paramètres!$A$1:$I$89,5,0)</f>
        <v>7.2399600000002895</v>
      </c>
      <c r="BF176" s="14">
        <f t="shared" si="167"/>
        <v>2.6498112636338633</v>
      </c>
      <c r="BG176" s="22">
        <f t="shared" si="168"/>
        <v>17.224684950829481</v>
      </c>
      <c r="BH176" s="58">
        <f t="shared" si="116"/>
        <v>306.11799860357797</v>
      </c>
      <c r="BI176" s="58">
        <f ca="1">AVERAGE(OFFSET($BH$3,0,0,'Données projet'!$E$11+1,1))-AVERAGE(OFFSET($H$3,0,0,'Données projet'!$E$11+1,1))</f>
        <v>336.25341821407534</v>
      </c>
      <c r="BJ176" s="58">
        <f t="shared" si="146"/>
        <v>360.3246221345039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9.8657667561352899E-2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9.8657667561352899E-2</v>
      </c>
      <c r="BT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projet'!$B$12,Paramètres!$A$1:$I$89,3,0)*VLOOKUP('Données projet'!$B$12,Paramètres!$A$1:$I$89,5,0)</f>
        <v>4.6111381379887463E-14</v>
      </c>
      <c r="CA176" s="14">
        <f t="shared" si="170"/>
        <v>7.5804141040779151E-13</v>
      </c>
      <c r="CB176" s="22">
        <f t="shared" si="171"/>
        <v>1.4005661123635408E-12</v>
      </c>
      <c r="CC176" s="58">
        <f t="shared" si="119"/>
        <v>288.8933136527499</v>
      </c>
      <c r="CD176" s="58">
        <f ca="1">AVERAGE(OFFSET($CC$3,0,0,'Données projet'!$E$12+1,1))-AVERAGE(OFFSET($H$3,0,0,'Données projet'!$E$12+1,1))</f>
        <v>308.58270639204238</v>
      </c>
      <c r="CE176" s="58">
        <f t="shared" si="148"/>
        <v>258.90832875500325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5.4092197387944907E-14</v>
      </c>
      <c r="CV176" s="14">
        <f t="shared" si="173"/>
        <v>8.7287050538073676E-13</v>
      </c>
      <c r="CW176" s="22">
        <f t="shared" si="174"/>
        <v>1.6144600406554537E-12</v>
      </c>
      <c r="CX176" s="58">
        <f t="shared" si="122"/>
        <v>288.89331365275007</v>
      </c>
      <c r="CY176" s="58">
        <f ca="1">AVERAGE(OFFSET($CX$3,0,0,'Données projet'!$E$13+1,1))-AVERAGE(OFFSET($H$3,0,0,'Données projet'!$E$13+1,1))</f>
        <v>397.61813291201469</v>
      </c>
      <c r="CZ176" s="58">
        <f t="shared" si="150"/>
        <v>320.30651625485064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6.0274435654262937E-2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6.0274435654262937E-2</v>
      </c>
      <c r="DJ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58" t="e">
        <f t="shared" si="125"/>
        <v>#N/A</v>
      </c>
      <c r="DT176" s="58" t="e">
        <f ca="1">AVERAGE(OFFSET($DS$3,0,0,'Données projet'!$E$14+1,1))-AVERAGE(OFFSET($H$3,0,0,'Données projet'!$E$14+1,1))</f>
        <v>#N/A</v>
      </c>
      <c r="DU176" s="58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58" t="e">
        <f t="shared" si="128"/>
        <v>#N/A</v>
      </c>
      <c r="EO176" s="58" t="e">
        <f ca="1">AVERAGE(OFFSET($EN$3,0,0,'Données projet'!$E$15+1,1))-AVERAGE(OFFSET($H$3,0,0,'Données projet'!$E$15+1,1))</f>
        <v>#N/A</v>
      </c>
      <c r="EP176" s="58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58" t="e">
        <f t="shared" si="131"/>
        <v>#N/A</v>
      </c>
      <c r="FJ176" s="58" t="e">
        <f ca="1">AVERAGE(OFFSET($FI$3,0,0,'Données projet'!$E$16+1,1))-AVERAGE(OFFSET($H$3,0,0,'Données projet'!$E$16+1,1))</f>
        <v>#N/A</v>
      </c>
      <c r="FK176" s="58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58" t="e">
        <f t="shared" si="134"/>
        <v>#N/A</v>
      </c>
      <c r="GE176" s="58" t="e">
        <f ca="1">AVERAGE(OFFSET($GD$3,0,0,'Données projet'!$E$17+1,1))-AVERAGE(OFFSET($H$3,0,0,'Données projet'!$E$17+1,1))</f>
        <v>#N/A</v>
      </c>
      <c r="GF176" s="58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58" t="e">
        <f t="shared" si="137"/>
        <v>#N/A</v>
      </c>
      <c r="GZ176" s="58" t="e">
        <f ca="1">AVERAGE(OFFSET($GY$3,0,0,'Données projet'!$E$18+1,1))-AVERAGE(OFFSET($H$3,0,0,'Données projet'!$E$18+1,1))</f>
        <v>#N/A</v>
      </c>
      <c r="HA176" s="58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0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3">
        <f t="shared" si="110"/>
        <v>183.33333333333334</v>
      </c>
      <c r="I177" s="6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1.0231815394945443E-12</v>
      </c>
      <c r="O177" s="14">
        <f>N177*VLOOKUP('Données projet'!$B$9,Paramètres!$A$1:$I$89,3,0)*VLOOKUP('Données projet'!$B$9,Paramètres!$A$1:$I$89,5,0)</f>
        <v>8.6192812887020418E-13</v>
      </c>
      <c r="P177" s="14">
        <f t="shared" si="141"/>
        <v>1.007707029837753E-11</v>
      </c>
      <c r="Q177" s="22">
        <f t="shared" si="162"/>
        <v>1.9052088927456466E-11</v>
      </c>
      <c r="R177" s="58">
        <f t="shared" si="109"/>
        <v>288.97033806782878</v>
      </c>
      <c r="S177" s="58">
        <f ca="1">AVERAGE(OFFSET($R$3,0,0,'Données projet'!$E$9+1,1))-AVERAGE(OFFSET($H$3,0,0,'Données projet'!$E$9+1,1))</f>
        <v>527.70171871461309</v>
      </c>
      <c r="T177" s="58">
        <f t="shared" si="142"/>
        <v>281.06176764290592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7.4487616075202823E-14</v>
      </c>
      <c r="AK177" s="14">
        <f t="shared" si="164"/>
        <v>1.1580453144473142E-12</v>
      </c>
      <c r="AL177" s="22">
        <f t="shared" si="165"/>
        <v>2.1466615206600508E-12</v>
      </c>
      <c r="AM177" s="58">
        <f t="shared" si="113"/>
        <v>288.97033806781189</v>
      </c>
      <c r="AN177" s="58">
        <f ca="1">AVERAGE(OFFSET($AM$3,0,0,'Données projet'!$E$10+1,1))-AVERAGE(OFFSET($H$3,0,0,'Données projet'!$E$10+1,1))</f>
        <v>302.53318056366777</v>
      </c>
      <c r="AO177" s="58">
        <f t="shared" si="144"/>
        <v>318.32262615164541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5.0376268344731467E-2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5.0376268344731467E-2</v>
      </c>
      <c r="AY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9.1000000000003638</v>
      </c>
      <c r="BE177" s="14">
        <f>BD177*VLOOKUP('Données projet'!$B$11,Paramètres!$A$1:$I$89,3,0)*VLOOKUP('Données projet'!$B$11,Paramètres!$A$1:$I$89,5,0)</f>
        <v>7.2399600000002895</v>
      </c>
      <c r="BF177" s="14">
        <f t="shared" si="167"/>
        <v>2.6498112636338633</v>
      </c>
      <c r="BG177" s="22">
        <f t="shared" si="168"/>
        <v>17.224684950829481</v>
      </c>
      <c r="BH177" s="58">
        <f t="shared" si="116"/>
        <v>306.19502301863923</v>
      </c>
      <c r="BI177" s="58">
        <f ca="1">AVERAGE(OFFSET($BH$3,0,0,'Données projet'!$E$11+1,1))-AVERAGE(OFFSET($H$3,0,0,'Données projet'!$E$11+1,1))</f>
        <v>336.25341821407534</v>
      </c>
      <c r="BJ177" s="58">
        <f t="shared" si="146"/>
        <v>360.3246221345039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9.5959868453706451E-2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9.5959868453706451E-2</v>
      </c>
      <c r="BT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projet'!$B$12,Paramètres!$A$1:$I$89,3,0)*VLOOKUP('Données projet'!$B$12,Paramètres!$A$1:$I$89,5,0)</f>
        <v>4.6111381379887463E-14</v>
      </c>
      <c r="CA177" s="14">
        <f t="shared" si="170"/>
        <v>7.5804141040779151E-13</v>
      </c>
      <c r="CB177" s="22">
        <f t="shared" si="171"/>
        <v>1.4005661123635408E-12</v>
      </c>
      <c r="CC177" s="58">
        <f t="shared" si="119"/>
        <v>288.97033806781116</v>
      </c>
      <c r="CD177" s="58">
        <f ca="1">AVERAGE(OFFSET($CC$3,0,0,'Données projet'!$E$12+1,1))-AVERAGE(OFFSET($H$3,0,0,'Données projet'!$E$12+1,1))</f>
        <v>308.58270639204238</v>
      </c>
      <c r="CE177" s="58">
        <f t="shared" si="148"/>
        <v>258.90832875500325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5.4092197387944907E-14</v>
      </c>
      <c r="CV177" s="14">
        <f t="shared" si="173"/>
        <v>8.7287050538073676E-13</v>
      </c>
      <c r="CW177" s="22">
        <f t="shared" si="174"/>
        <v>1.6144600406554537E-12</v>
      </c>
      <c r="CX177" s="58">
        <f t="shared" si="122"/>
        <v>288.97033806781133</v>
      </c>
      <c r="CY177" s="58">
        <f ca="1">AVERAGE(OFFSET($CX$3,0,0,'Données projet'!$E$13+1,1))-AVERAGE(OFFSET($H$3,0,0,'Données projet'!$E$13+1,1))</f>
        <v>397.61813291201469</v>
      </c>
      <c r="CZ177" s="58">
        <f t="shared" si="150"/>
        <v>320.30651625485064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5.8626228041602307E-2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5.8626228041602307E-2</v>
      </c>
      <c r="DJ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58" t="e">
        <f t="shared" si="125"/>
        <v>#N/A</v>
      </c>
      <c r="DT177" s="58" t="e">
        <f ca="1">AVERAGE(OFFSET($DS$3,0,0,'Données projet'!$E$14+1,1))-AVERAGE(OFFSET($H$3,0,0,'Données projet'!$E$14+1,1))</f>
        <v>#N/A</v>
      </c>
      <c r="DU177" s="58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58" t="e">
        <f t="shared" si="128"/>
        <v>#N/A</v>
      </c>
      <c r="EO177" s="58" t="e">
        <f ca="1">AVERAGE(OFFSET($EN$3,0,0,'Données projet'!$E$15+1,1))-AVERAGE(OFFSET($H$3,0,0,'Données projet'!$E$15+1,1))</f>
        <v>#N/A</v>
      </c>
      <c r="EP177" s="58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58" t="e">
        <f t="shared" si="131"/>
        <v>#N/A</v>
      </c>
      <c r="FJ177" s="58" t="e">
        <f ca="1">AVERAGE(OFFSET($FI$3,0,0,'Données projet'!$E$16+1,1))-AVERAGE(OFFSET($H$3,0,0,'Données projet'!$E$16+1,1))</f>
        <v>#N/A</v>
      </c>
      <c r="FK177" s="58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58" t="e">
        <f t="shared" si="134"/>
        <v>#N/A</v>
      </c>
      <c r="GE177" s="58" t="e">
        <f ca="1">AVERAGE(OFFSET($GD$3,0,0,'Données projet'!$E$17+1,1))-AVERAGE(OFFSET($H$3,0,0,'Données projet'!$E$17+1,1))</f>
        <v>#N/A</v>
      </c>
      <c r="GF177" s="58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58" t="e">
        <f t="shared" si="137"/>
        <v>#N/A</v>
      </c>
      <c r="GZ177" s="58" t="e">
        <f ca="1">AVERAGE(OFFSET($GY$3,0,0,'Données projet'!$E$18+1,1))-AVERAGE(OFFSET($H$3,0,0,'Données projet'!$E$18+1,1))</f>
        <v>#N/A</v>
      </c>
      <c r="HA177" s="58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0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3">
        <f t="shared" si="110"/>
        <v>183.33333333333334</v>
      </c>
      <c r="I178" s="6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1.0231815394945443E-12</v>
      </c>
      <c r="O178" s="14">
        <f>N178*VLOOKUP('Données projet'!$B$9,Paramètres!$A$1:$I$89,3,0)*VLOOKUP('Données projet'!$B$9,Paramètres!$A$1:$I$89,5,0)</f>
        <v>8.6192812887020418E-13</v>
      </c>
      <c r="P178" s="14">
        <f t="shared" si="141"/>
        <v>1.007707029837753E-11</v>
      </c>
      <c r="Q178" s="22">
        <f t="shared" si="162"/>
        <v>1.9052088927456466E-11</v>
      </c>
      <c r="R178" s="58">
        <f t="shared" si="109"/>
        <v>289.04602628148945</v>
      </c>
      <c r="S178" s="58">
        <f ca="1">AVERAGE(OFFSET($R$3,0,0,'Données projet'!$E$9+1,1))-AVERAGE(OFFSET($H$3,0,0,'Données projet'!$E$9+1,1))</f>
        <v>527.70171871461309</v>
      </c>
      <c r="T178" s="58">
        <f t="shared" si="142"/>
        <v>281.06176764290592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7.4487616075202823E-14</v>
      </c>
      <c r="AK178" s="14">
        <f t="shared" si="164"/>
        <v>1.1580453144473142E-12</v>
      </c>
      <c r="AL178" s="22">
        <f t="shared" si="165"/>
        <v>2.1466615206600508E-12</v>
      </c>
      <c r="AM178" s="58">
        <f t="shared" si="113"/>
        <v>289.04602628147256</v>
      </c>
      <c r="AN178" s="58">
        <f ca="1">AVERAGE(OFFSET($AM$3,0,0,'Données projet'!$E$10+1,1))-AVERAGE(OFFSET($H$3,0,0,'Données projet'!$E$10+1,1))</f>
        <v>302.53318056366777</v>
      </c>
      <c r="AO178" s="58">
        <f t="shared" si="144"/>
        <v>318.32262615164541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4.899872663767197E-2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4.899872663767197E-2</v>
      </c>
      <c r="AY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9.1000000000003638</v>
      </c>
      <c r="BE178" s="14">
        <f>BD178*VLOOKUP('Données projet'!$B$11,Paramètres!$A$1:$I$89,3,0)*VLOOKUP('Données projet'!$B$11,Paramètres!$A$1:$I$89,5,0)</f>
        <v>7.2399600000002895</v>
      </c>
      <c r="BF178" s="14">
        <f t="shared" si="167"/>
        <v>2.6498112636338633</v>
      </c>
      <c r="BG178" s="22">
        <f t="shared" si="168"/>
        <v>17.224684950829481</v>
      </c>
      <c r="BH178" s="58">
        <f t="shared" si="116"/>
        <v>306.2707112322999</v>
      </c>
      <c r="BI178" s="58">
        <f ca="1">AVERAGE(OFFSET($BH$3,0,0,'Données projet'!$E$11+1,1))-AVERAGE(OFFSET($H$3,0,0,'Données projet'!$E$11+1,1))</f>
        <v>336.25341821407534</v>
      </c>
      <c r="BJ178" s="58">
        <f t="shared" si="146"/>
        <v>360.3246221345039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9.3335840804529682E-2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9.3335840804529682E-2</v>
      </c>
      <c r="BT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projet'!$B$12,Paramètres!$A$1:$I$89,3,0)*VLOOKUP('Données projet'!$B$12,Paramètres!$A$1:$I$89,5,0)</f>
        <v>4.6111381379887463E-14</v>
      </c>
      <c r="CA178" s="14">
        <f t="shared" si="170"/>
        <v>7.5804141040779151E-13</v>
      </c>
      <c r="CB178" s="22">
        <f t="shared" si="171"/>
        <v>1.4005661123635408E-12</v>
      </c>
      <c r="CC178" s="58">
        <f t="shared" si="119"/>
        <v>289.04602628147182</v>
      </c>
      <c r="CD178" s="58">
        <f ca="1">AVERAGE(OFFSET($CC$3,0,0,'Données projet'!$E$12+1,1))-AVERAGE(OFFSET($H$3,0,0,'Données projet'!$E$12+1,1))</f>
        <v>308.58270639204238</v>
      </c>
      <c r="CE178" s="58">
        <f t="shared" si="148"/>
        <v>258.90832875500325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5.4092197387944907E-14</v>
      </c>
      <c r="CV178" s="14">
        <f t="shared" si="173"/>
        <v>8.7287050538073676E-13</v>
      </c>
      <c r="CW178" s="22">
        <f t="shared" si="174"/>
        <v>1.6144600406554537E-12</v>
      </c>
      <c r="CX178" s="58">
        <f t="shared" si="122"/>
        <v>289.046026281472</v>
      </c>
      <c r="CY178" s="58">
        <f ca="1">AVERAGE(OFFSET($CX$3,0,0,'Données projet'!$E$13+1,1))-AVERAGE(OFFSET($H$3,0,0,'Données projet'!$E$13+1,1))</f>
        <v>397.61813291201469</v>
      </c>
      <c r="CZ178" s="58">
        <f t="shared" si="150"/>
        <v>320.30651625485064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5.7023090752785353E-2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5.7023090752785353E-2</v>
      </c>
      <c r="DJ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58" t="e">
        <f t="shared" si="125"/>
        <v>#N/A</v>
      </c>
      <c r="DT178" s="58" t="e">
        <f ca="1">AVERAGE(OFFSET($DS$3,0,0,'Données projet'!$E$14+1,1))-AVERAGE(OFFSET($H$3,0,0,'Données projet'!$E$14+1,1))</f>
        <v>#N/A</v>
      </c>
      <c r="DU178" s="58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58" t="e">
        <f t="shared" si="128"/>
        <v>#N/A</v>
      </c>
      <c r="EO178" s="58" t="e">
        <f ca="1">AVERAGE(OFFSET($EN$3,0,0,'Données projet'!$E$15+1,1))-AVERAGE(OFFSET($H$3,0,0,'Données projet'!$E$15+1,1))</f>
        <v>#N/A</v>
      </c>
      <c r="EP178" s="58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58" t="e">
        <f t="shared" si="131"/>
        <v>#N/A</v>
      </c>
      <c r="FJ178" s="58" t="e">
        <f ca="1">AVERAGE(OFFSET($FI$3,0,0,'Données projet'!$E$16+1,1))-AVERAGE(OFFSET($H$3,0,0,'Données projet'!$E$16+1,1))</f>
        <v>#N/A</v>
      </c>
      <c r="FK178" s="58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58" t="e">
        <f t="shared" si="134"/>
        <v>#N/A</v>
      </c>
      <c r="GE178" s="58" t="e">
        <f ca="1">AVERAGE(OFFSET($GD$3,0,0,'Données projet'!$E$17+1,1))-AVERAGE(OFFSET($H$3,0,0,'Données projet'!$E$17+1,1))</f>
        <v>#N/A</v>
      </c>
      <c r="GF178" s="58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58" t="e">
        <f t="shared" si="137"/>
        <v>#N/A</v>
      </c>
      <c r="GZ178" s="58" t="e">
        <f ca="1">AVERAGE(OFFSET($GY$3,0,0,'Données projet'!$E$18+1,1))-AVERAGE(OFFSET($H$3,0,0,'Données projet'!$E$18+1,1))</f>
        <v>#N/A</v>
      </c>
      <c r="HA178" s="58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0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3">
        <f t="shared" si="110"/>
        <v>183.33333333333334</v>
      </c>
      <c r="I179" s="6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1.0231815394945443E-12</v>
      </c>
      <c r="O179" s="14">
        <f>N179*VLOOKUP('Données projet'!$B$9,Paramètres!$A$1:$I$89,3,0)*VLOOKUP('Données projet'!$B$9,Paramètres!$A$1:$I$89,5,0)</f>
        <v>8.6192812887020418E-13</v>
      </c>
      <c r="P179" s="14">
        <f t="shared" si="141"/>
        <v>1.007707029837753E-11</v>
      </c>
      <c r="Q179" s="22">
        <f t="shared" si="162"/>
        <v>1.9052088927456466E-11</v>
      </c>
      <c r="R179" s="58">
        <f t="shared" si="109"/>
        <v>289.12040147385665</v>
      </c>
      <c r="S179" s="58">
        <f ca="1">AVERAGE(OFFSET($R$3,0,0,'Données projet'!$E$9+1,1))-AVERAGE(OFFSET($H$3,0,0,'Données projet'!$E$9+1,1))</f>
        <v>527.70171871461309</v>
      </c>
      <c r="T179" s="58">
        <f t="shared" si="142"/>
        <v>281.06176764290592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7.4487616075202823E-14</v>
      </c>
      <c r="AK179" s="14">
        <f t="shared" si="164"/>
        <v>1.1580453144473142E-12</v>
      </c>
      <c r="AL179" s="22">
        <f t="shared" si="165"/>
        <v>2.1466615206600508E-12</v>
      </c>
      <c r="AM179" s="58">
        <f t="shared" si="113"/>
        <v>289.12040147383976</v>
      </c>
      <c r="AN179" s="58">
        <f ca="1">AVERAGE(OFFSET($AM$3,0,0,'Données projet'!$E$10+1,1))-AVERAGE(OFFSET($H$3,0,0,'Données projet'!$E$10+1,1))</f>
        <v>302.53318056366777</v>
      </c>
      <c r="AO179" s="58">
        <f t="shared" si="144"/>
        <v>318.32262615164541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4.7658853881033782E-2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4.7658853881033782E-2</v>
      </c>
      <c r="AY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9.1000000000003638</v>
      </c>
      <c r="BE179" s="14">
        <f>BD179*VLOOKUP('Données projet'!$B$11,Paramètres!$A$1:$I$89,3,0)*VLOOKUP('Données projet'!$B$11,Paramètres!$A$1:$I$89,5,0)</f>
        <v>7.2399600000002895</v>
      </c>
      <c r="BF179" s="14">
        <f t="shared" si="167"/>
        <v>2.6498112636338633</v>
      </c>
      <c r="BG179" s="22">
        <f t="shared" si="168"/>
        <v>17.224684950829481</v>
      </c>
      <c r="BH179" s="58">
        <f t="shared" si="116"/>
        <v>306.3450864246671</v>
      </c>
      <c r="BI179" s="58">
        <f ca="1">AVERAGE(OFFSET($BH$3,0,0,'Données projet'!$E$11+1,1))-AVERAGE(OFFSET($H$3,0,0,'Données projet'!$E$11+1,1))</f>
        <v>336.25341821407534</v>
      </c>
      <c r="BJ179" s="58">
        <f t="shared" si="146"/>
        <v>360.3246221345039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9.0783567329411272E-2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9.0783567329411272E-2</v>
      </c>
      <c r="BT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projet'!$B$12,Paramètres!$A$1:$I$89,3,0)*VLOOKUP('Données projet'!$B$12,Paramètres!$A$1:$I$89,5,0)</f>
        <v>4.6111381379887463E-14</v>
      </c>
      <c r="CA179" s="14">
        <f t="shared" si="170"/>
        <v>7.5804141040779151E-13</v>
      </c>
      <c r="CB179" s="22">
        <f t="shared" si="171"/>
        <v>1.4005661123635408E-12</v>
      </c>
      <c r="CC179" s="58">
        <f t="shared" si="119"/>
        <v>289.12040147383902</v>
      </c>
      <c r="CD179" s="58">
        <f ca="1">AVERAGE(OFFSET($CC$3,0,0,'Données projet'!$E$12+1,1))-AVERAGE(OFFSET($H$3,0,0,'Données projet'!$E$12+1,1))</f>
        <v>308.58270639204238</v>
      </c>
      <c r="CE179" s="58">
        <f t="shared" si="148"/>
        <v>258.90832875500325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5.4092197387944907E-14</v>
      </c>
      <c r="CV179" s="14">
        <f t="shared" si="173"/>
        <v>8.7287050538073676E-13</v>
      </c>
      <c r="CW179" s="22">
        <f t="shared" si="174"/>
        <v>1.6144600406554537E-12</v>
      </c>
      <c r="CX179" s="58">
        <f t="shared" si="122"/>
        <v>289.12040147383919</v>
      </c>
      <c r="CY179" s="58">
        <f ca="1">AVERAGE(OFFSET($CX$3,0,0,'Données projet'!$E$13+1,1))-AVERAGE(OFFSET($H$3,0,0,'Données projet'!$E$13+1,1))</f>
        <v>397.61813291201469</v>
      </c>
      <c r="CZ179" s="58">
        <f t="shared" si="150"/>
        <v>320.30651625485064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5.5463791337436424E-2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5.5463791337436424E-2</v>
      </c>
      <c r="DJ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58" t="e">
        <f t="shared" si="125"/>
        <v>#N/A</v>
      </c>
      <c r="DT179" s="58" t="e">
        <f ca="1">AVERAGE(OFFSET($DS$3,0,0,'Données projet'!$E$14+1,1))-AVERAGE(OFFSET($H$3,0,0,'Données projet'!$E$14+1,1))</f>
        <v>#N/A</v>
      </c>
      <c r="DU179" s="58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58" t="e">
        <f t="shared" si="128"/>
        <v>#N/A</v>
      </c>
      <c r="EO179" s="58" t="e">
        <f ca="1">AVERAGE(OFFSET($EN$3,0,0,'Données projet'!$E$15+1,1))-AVERAGE(OFFSET($H$3,0,0,'Données projet'!$E$15+1,1))</f>
        <v>#N/A</v>
      </c>
      <c r="EP179" s="58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58" t="e">
        <f t="shared" si="131"/>
        <v>#N/A</v>
      </c>
      <c r="FJ179" s="58" t="e">
        <f ca="1">AVERAGE(OFFSET($FI$3,0,0,'Données projet'!$E$16+1,1))-AVERAGE(OFFSET($H$3,0,0,'Données projet'!$E$16+1,1))</f>
        <v>#N/A</v>
      </c>
      <c r="FK179" s="58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58" t="e">
        <f t="shared" si="134"/>
        <v>#N/A</v>
      </c>
      <c r="GE179" s="58" t="e">
        <f ca="1">AVERAGE(OFFSET($GD$3,0,0,'Données projet'!$E$17+1,1))-AVERAGE(OFFSET($H$3,0,0,'Données projet'!$E$17+1,1))</f>
        <v>#N/A</v>
      </c>
      <c r="GF179" s="58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58" t="e">
        <f t="shared" si="137"/>
        <v>#N/A</v>
      </c>
      <c r="GZ179" s="58" t="e">
        <f ca="1">AVERAGE(OFFSET($GY$3,0,0,'Données projet'!$E$18+1,1))-AVERAGE(OFFSET($H$3,0,0,'Données projet'!$E$18+1,1))</f>
        <v>#N/A</v>
      </c>
      <c r="HA179" s="58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0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3">
        <f t="shared" si="110"/>
        <v>183.33333333333334</v>
      </c>
      <c r="I180" s="6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1.0231815394945443E-12</v>
      </c>
      <c r="O180" s="14">
        <f>N180*VLOOKUP('Données projet'!$B$9,Paramètres!$A$1:$I$89,3,0)*VLOOKUP('Données projet'!$B$9,Paramètres!$A$1:$I$89,5,0)</f>
        <v>8.6192812887020418E-13</v>
      </c>
      <c r="P180" s="14">
        <f t="shared" si="141"/>
        <v>1.007707029837753E-11</v>
      </c>
      <c r="Q180" s="22">
        <f t="shared" si="162"/>
        <v>1.9052088927456466E-11</v>
      </c>
      <c r="R180" s="58">
        <f t="shared" si="109"/>
        <v>289.1934864229143</v>
      </c>
      <c r="S180" s="58">
        <f ca="1">AVERAGE(OFFSET($R$3,0,0,'Données projet'!$E$9+1,1))-AVERAGE(OFFSET($H$3,0,0,'Données projet'!$E$9+1,1))</f>
        <v>527.70171871461309</v>
      </c>
      <c r="T180" s="58">
        <f t="shared" si="142"/>
        <v>281.06176764290592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7.4487616075202823E-14</v>
      </c>
      <c r="AK180" s="14">
        <f t="shared" si="164"/>
        <v>1.1580453144473142E-12</v>
      </c>
      <c r="AL180" s="22">
        <f t="shared" si="165"/>
        <v>2.1466615206600508E-12</v>
      </c>
      <c r="AM180" s="58">
        <f t="shared" si="113"/>
        <v>289.19348642289742</v>
      </c>
      <c r="AN180" s="58">
        <f ca="1">AVERAGE(OFFSET($AM$3,0,0,'Données projet'!$E$10+1,1))-AVERAGE(OFFSET($H$3,0,0,'Données projet'!$E$10+1,1))</f>
        <v>302.53318056366777</v>
      </c>
      <c r="AO180" s="58">
        <f t="shared" si="144"/>
        <v>318.32262615164541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4.6355620015386713E-2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4.6355620015386713E-2</v>
      </c>
      <c r="AY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9.1000000000003638</v>
      </c>
      <c r="BE180" s="14">
        <f>BD180*VLOOKUP('Données projet'!$B$11,Paramètres!$A$1:$I$89,3,0)*VLOOKUP('Données projet'!$B$11,Paramètres!$A$1:$I$89,5,0)</f>
        <v>7.2399600000002895</v>
      </c>
      <c r="BF180" s="14">
        <f t="shared" si="167"/>
        <v>2.6498112636338633</v>
      </c>
      <c r="BG180" s="22">
        <f t="shared" si="168"/>
        <v>17.224684950829481</v>
      </c>
      <c r="BH180" s="58">
        <f t="shared" si="116"/>
        <v>306.41817137372476</v>
      </c>
      <c r="BI180" s="58">
        <f ca="1">AVERAGE(OFFSET($BH$3,0,0,'Données projet'!$E$11+1,1))-AVERAGE(OFFSET($H$3,0,0,'Données projet'!$E$11+1,1))</f>
        <v>336.25341821407534</v>
      </c>
      <c r="BJ180" s="58">
        <f t="shared" si="146"/>
        <v>360.3246221345039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8.8301085906688198E-2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8.8301085906688198E-2</v>
      </c>
      <c r="BT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projet'!$B$12,Paramètres!$A$1:$I$89,3,0)*VLOOKUP('Données projet'!$B$12,Paramètres!$A$1:$I$89,5,0)</f>
        <v>4.6111381379887463E-14</v>
      </c>
      <c r="CA180" s="14">
        <f t="shared" si="170"/>
        <v>7.5804141040779151E-13</v>
      </c>
      <c r="CB180" s="22">
        <f t="shared" si="171"/>
        <v>1.4005661123635408E-12</v>
      </c>
      <c r="CC180" s="58">
        <f t="shared" si="119"/>
        <v>289.19348642289668</v>
      </c>
      <c r="CD180" s="58">
        <f ca="1">AVERAGE(OFFSET($CC$3,0,0,'Données projet'!$E$12+1,1))-AVERAGE(OFFSET($H$3,0,0,'Données projet'!$E$12+1,1))</f>
        <v>308.58270639204238</v>
      </c>
      <c r="CE180" s="58">
        <f t="shared" si="148"/>
        <v>258.90832875500325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5.4092197387944907E-14</v>
      </c>
      <c r="CV180" s="14">
        <f t="shared" si="173"/>
        <v>8.7287050538073676E-13</v>
      </c>
      <c r="CW180" s="22">
        <f t="shared" si="174"/>
        <v>1.6144600406554537E-12</v>
      </c>
      <c r="CX180" s="58">
        <f t="shared" si="122"/>
        <v>289.19348642289685</v>
      </c>
      <c r="CY180" s="58">
        <f ca="1">AVERAGE(OFFSET($CX$3,0,0,'Données projet'!$E$13+1,1))-AVERAGE(OFFSET($H$3,0,0,'Données projet'!$E$13+1,1))</f>
        <v>397.61813291201469</v>
      </c>
      <c r="CZ180" s="58">
        <f t="shared" si="150"/>
        <v>320.30651625485064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5.3947131046600205E-2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5.3947131046600205E-2</v>
      </c>
      <c r="DJ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58" t="e">
        <f t="shared" si="125"/>
        <v>#N/A</v>
      </c>
      <c r="DT180" s="58" t="e">
        <f ca="1">AVERAGE(OFFSET($DS$3,0,0,'Données projet'!$E$14+1,1))-AVERAGE(OFFSET($H$3,0,0,'Données projet'!$E$14+1,1))</f>
        <v>#N/A</v>
      </c>
      <c r="DU180" s="58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58" t="e">
        <f t="shared" si="128"/>
        <v>#N/A</v>
      </c>
      <c r="EO180" s="58" t="e">
        <f ca="1">AVERAGE(OFFSET($EN$3,0,0,'Données projet'!$E$15+1,1))-AVERAGE(OFFSET($H$3,0,0,'Données projet'!$E$15+1,1))</f>
        <v>#N/A</v>
      </c>
      <c r="EP180" s="58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58" t="e">
        <f t="shared" si="131"/>
        <v>#N/A</v>
      </c>
      <c r="FJ180" s="58" t="e">
        <f ca="1">AVERAGE(OFFSET($FI$3,0,0,'Données projet'!$E$16+1,1))-AVERAGE(OFFSET($H$3,0,0,'Données projet'!$E$16+1,1))</f>
        <v>#N/A</v>
      </c>
      <c r="FK180" s="58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58" t="e">
        <f t="shared" si="134"/>
        <v>#N/A</v>
      </c>
      <c r="GE180" s="58" t="e">
        <f ca="1">AVERAGE(OFFSET($GD$3,0,0,'Données projet'!$E$17+1,1))-AVERAGE(OFFSET($H$3,0,0,'Données projet'!$E$17+1,1))</f>
        <v>#N/A</v>
      </c>
      <c r="GF180" s="58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58" t="e">
        <f t="shared" si="137"/>
        <v>#N/A</v>
      </c>
      <c r="GZ180" s="58" t="e">
        <f ca="1">AVERAGE(OFFSET($GY$3,0,0,'Données projet'!$E$18+1,1))-AVERAGE(OFFSET($H$3,0,0,'Données projet'!$E$18+1,1))</f>
        <v>#N/A</v>
      </c>
      <c r="HA180" s="58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0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3">
        <f t="shared" si="110"/>
        <v>183.33333333333334</v>
      </c>
      <c r="I181" s="6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1.0231815394945443E-12</v>
      </c>
      <c r="O181" s="14">
        <f>N181*VLOOKUP('Données projet'!$B$9,Paramètres!$A$1:$I$89,3,0)*VLOOKUP('Données projet'!$B$9,Paramètres!$A$1:$I$89,5,0)</f>
        <v>8.6192812887020418E-13</v>
      </c>
      <c r="P181" s="14">
        <f t="shared" si="141"/>
        <v>1.007707029837753E-11</v>
      </c>
      <c r="Q181" s="22">
        <f t="shared" si="162"/>
        <v>1.9052088927456466E-11</v>
      </c>
      <c r="R181" s="58">
        <f t="shared" si="109"/>
        <v>289.26530351149921</v>
      </c>
      <c r="S181" s="58">
        <f ca="1">AVERAGE(OFFSET($R$3,0,0,'Données projet'!$E$9+1,1))-AVERAGE(OFFSET($H$3,0,0,'Données projet'!$E$9+1,1))</f>
        <v>527.70171871461309</v>
      </c>
      <c r="T181" s="58">
        <f t="shared" si="142"/>
        <v>281.06176764290592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7.4487616075202823E-14</v>
      </c>
      <c r="AK181" s="14">
        <f t="shared" si="164"/>
        <v>1.1580453144473142E-12</v>
      </c>
      <c r="AL181" s="22">
        <f t="shared" si="165"/>
        <v>2.1466615206600508E-12</v>
      </c>
      <c r="AM181" s="58">
        <f t="shared" si="113"/>
        <v>289.26530351148233</v>
      </c>
      <c r="AN181" s="58">
        <f ca="1">AVERAGE(OFFSET($AM$3,0,0,'Données projet'!$E$10+1,1))-AVERAGE(OFFSET($H$3,0,0,'Données projet'!$E$10+1,1))</f>
        <v>302.53318056366777</v>
      </c>
      <c r="AO181" s="58">
        <f t="shared" si="144"/>
        <v>318.32262615164541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4.5088023148329853E-2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4.5088023148329853E-2</v>
      </c>
      <c r="AY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9.1000000000003638</v>
      </c>
      <c r="BE181" s="14">
        <f>BD181*VLOOKUP('Données projet'!$B$11,Paramètres!$A$1:$I$89,3,0)*VLOOKUP('Données projet'!$B$11,Paramètres!$A$1:$I$89,5,0)</f>
        <v>7.2399600000002895</v>
      </c>
      <c r="BF181" s="14">
        <f t="shared" si="167"/>
        <v>2.6498112636338633</v>
      </c>
      <c r="BG181" s="22">
        <f t="shared" si="168"/>
        <v>17.224684950829481</v>
      </c>
      <c r="BH181" s="58">
        <f t="shared" si="116"/>
        <v>306.48998846230967</v>
      </c>
      <c r="BI181" s="58">
        <f ca="1">AVERAGE(OFFSET($BH$3,0,0,'Données projet'!$E$11+1,1))-AVERAGE(OFFSET($H$3,0,0,'Données projet'!$E$11+1,1))</f>
        <v>336.25341821407534</v>
      </c>
      <c r="BJ181" s="58">
        <f t="shared" si="146"/>
        <v>360.3246221345039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8.5886488069017511E-2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8.5886488069017511E-2</v>
      </c>
      <c r="BT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projet'!$B$12,Paramètres!$A$1:$I$89,3,0)*VLOOKUP('Données projet'!$B$12,Paramètres!$A$1:$I$89,5,0)</f>
        <v>4.6111381379887463E-14</v>
      </c>
      <c r="CA181" s="14">
        <f t="shared" si="170"/>
        <v>7.5804141040779151E-13</v>
      </c>
      <c r="CB181" s="22">
        <f t="shared" si="171"/>
        <v>1.4005661123635408E-12</v>
      </c>
      <c r="CC181" s="58">
        <f t="shared" si="119"/>
        <v>289.26530351148159</v>
      </c>
      <c r="CD181" s="58">
        <f ca="1">AVERAGE(OFFSET($CC$3,0,0,'Données projet'!$E$12+1,1))-AVERAGE(OFFSET($H$3,0,0,'Données projet'!$E$12+1,1))</f>
        <v>308.58270639204238</v>
      </c>
      <c r="CE181" s="58">
        <f t="shared" si="148"/>
        <v>258.90832875500325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5.4092197387944907E-14</v>
      </c>
      <c r="CV181" s="14">
        <f t="shared" si="173"/>
        <v>8.7287050538073676E-13</v>
      </c>
      <c r="CW181" s="22">
        <f t="shared" si="174"/>
        <v>1.6144600406554537E-12</v>
      </c>
      <c r="CX181" s="58">
        <f t="shared" si="122"/>
        <v>289.26530351148176</v>
      </c>
      <c r="CY181" s="58">
        <f ca="1">AVERAGE(OFFSET($CX$3,0,0,'Données projet'!$E$13+1,1))-AVERAGE(OFFSET($H$3,0,0,'Données projet'!$E$13+1,1))</f>
        <v>397.61813291201469</v>
      </c>
      <c r="CZ181" s="58">
        <f t="shared" si="150"/>
        <v>320.30651625485064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5.2471943911174601E-2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5.2471943911174601E-2</v>
      </c>
      <c r="DJ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58" t="e">
        <f t="shared" si="125"/>
        <v>#N/A</v>
      </c>
      <c r="DT181" s="58" t="e">
        <f ca="1">AVERAGE(OFFSET($DS$3,0,0,'Données projet'!$E$14+1,1))-AVERAGE(OFFSET($H$3,0,0,'Données projet'!$E$14+1,1))</f>
        <v>#N/A</v>
      </c>
      <c r="DU181" s="58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58" t="e">
        <f t="shared" si="128"/>
        <v>#N/A</v>
      </c>
      <c r="EO181" s="58" t="e">
        <f ca="1">AVERAGE(OFFSET($EN$3,0,0,'Données projet'!$E$15+1,1))-AVERAGE(OFFSET($H$3,0,0,'Données projet'!$E$15+1,1))</f>
        <v>#N/A</v>
      </c>
      <c r="EP181" s="58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58" t="e">
        <f t="shared" si="131"/>
        <v>#N/A</v>
      </c>
      <c r="FJ181" s="58" t="e">
        <f ca="1">AVERAGE(OFFSET($FI$3,0,0,'Données projet'!$E$16+1,1))-AVERAGE(OFFSET($H$3,0,0,'Données projet'!$E$16+1,1))</f>
        <v>#N/A</v>
      </c>
      <c r="FK181" s="58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58" t="e">
        <f t="shared" si="134"/>
        <v>#N/A</v>
      </c>
      <c r="GE181" s="58" t="e">
        <f ca="1">AVERAGE(OFFSET($GD$3,0,0,'Données projet'!$E$17+1,1))-AVERAGE(OFFSET($H$3,0,0,'Données projet'!$E$17+1,1))</f>
        <v>#N/A</v>
      </c>
      <c r="GF181" s="58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58" t="e">
        <f t="shared" si="137"/>
        <v>#N/A</v>
      </c>
      <c r="GZ181" s="58" t="e">
        <f ca="1">AVERAGE(OFFSET($GY$3,0,0,'Données projet'!$E$18+1,1))-AVERAGE(OFFSET($H$3,0,0,'Données projet'!$E$18+1,1))</f>
        <v>#N/A</v>
      </c>
      <c r="HA181" s="58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0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3">
        <f t="shared" si="110"/>
        <v>183.33333333333334</v>
      </c>
      <c r="I182" s="6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1.0231815394945443E-12</v>
      </c>
      <c r="O182" s="14">
        <f>N182*VLOOKUP('Données projet'!$B$9,Paramètres!$A$1:$I$89,3,0)*VLOOKUP('Données projet'!$B$9,Paramètres!$A$1:$I$89,5,0)</f>
        <v>8.6192812887020418E-13</v>
      </c>
      <c r="P182" s="14">
        <f t="shared" si="141"/>
        <v>1.007707029837753E-11</v>
      </c>
      <c r="Q182" s="22">
        <f t="shared" si="162"/>
        <v>1.9052088927456466E-11</v>
      </c>
      <c r="R182" s="58">
        <f t="shared" si="109"/>
        <v>289.33587473415616</v>
      </c>
      <c r="S182" s="58">
        <f ca="1">AVERAGE(OFFSET($R$3,0,0,'Données projet'!$E$9+1,1))-AVERAGE(OFFSET($H$3,0,0,'Données projet'!$E$9+1,1))</f>
        <v>527.70171871461309</v>
      </c>
      <c r="T182" s="58">
        <f t="shared" si="142"/>
        <v>281.06176764290592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7.4487616075202823E-14</v>
      </c>
      <c r="AK182" s="14">
        <f t="shared" si="164"/>
        <v>1.1580453144473142E-12</v>
      </c>
      <c r="AL182" s="22">
        <f t="shared" si="165"/>
        <v>2.1466615206600508E-12</v>
      </c>
      <c r="AM182" s="58">
        <f t="shared" si="113"/>
        <v>289.33587473413928</v>
      </c>
      <c r="AN182" s="58">
        <f ca="1">AVERAGE(OFFSET($AM$3,0,0,'Données projet'!$E$10+1,1))-AVERAGE(OFFSET($H$3,0,0,'Données projet'!$E$10+1,1))</f>
        <v>302.53318056366777</v>
      </c>
      <c r="AO182" s="58">
        <f t="shared" si="144"/>
        <v>318.32262615164541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4.3855088784262683E-2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4.3855088784262683E-2</v>
      </c>
      <c r="AY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9.1000000000003638</v>
      </c>
      <c r="BE182" s="14">
        <f>BD182*VLOOKUP('Données projet'!$B$11,Paramètres!$A$1:$I$89,3,0)*VLOOKUP('Données projet'!$B$11,Paramètres!$A$1:$I$89,5,0)</f>
        <v>7.2399600000002895</v>
      </c>
      <c r="BF182" s="14">
        <f t="shared" si="167"/>
        <v>2.6498112636338633</v>
      </c>
      <c r="BG182" s="22">
        <f t="shared" si="168"/>
        <v>17.224684950829481</v>
      </c>
      <c r="BH182" s="58">
        <f t="shared" si="116"/>
        <v>306.56055968496662</v>
      </c>
      <c r="BI182" s="58">
        <f ca="1">AVERAGE(OFFSET($BH$3,0,0,'Données projet'!$E$11+1,1))-AVERAGE(OFFSET($H$3,0,0,'Données projet'!$E$11+1,1))</f>
        <v>336.25341821407534</v>
      </c>
      <c r="BJ182" s="58">
        <f t="shared" si="146"/>
        <v>360.3246221345039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8.3537917536196118E-2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8.3537917536196118E-2</v>
      </c>
      <c r="BT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projet'!$B$12,Paramètres!$A$1:$I$89,3,0)*VLOOKUP('Données projet'!$B$12,Paramètres!$A$1:$I$89,5,0)</f>
        <v>4.6111381379887463E-14</v>
      </c>
      <c r="CA182" s="14">
        <f t="shared" si="170"/>
        <v>7.5804141040779151E-13</v>
      </c>
      <c r="CB182" s="22">
        <f t="shared" si="171"/>
        <v>1.4005661123635408E-12</v>
      </c>
      <c r="CC182" s="58">
        <f t="shared" si="119"/>
        <v>289.33587473413854</v>
      </c>
      <c r="CD182" s="58">
        <f ca="1">AVERAGE(OFFSET($CC$3,0,0,'Données projet'!$E$12+1,1))-AVERAGE(OFFSET($H$3,0,0,'Données projet'!$E$12+1,1))</f>
        <v>308.58270639204238</v>
      </c>
      <c r="CE182" s="58">
        <f t="shared" si="148"/>
        <v>258.90832875500325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5.4092197387944907E-14</v>
      </c>
      <c r="CV182" s="14">
        <f t="shared" si="173"/>
        <v>8.7287050538073676E-13</v>
      </c>
      <c r="CW182" s="22">
        <f t="shared" si="174"/>
        <v>1.6144600406554537E-12</v>
      </c>
      <c r="CX182" s="58">
        <f t="shared" si="122"/>
        <v>289.33587473413871</v>
      </c>
      <c r="CY182" s="58">
        <f ca="1">AVERAGE(OFFSET($CX$3,0,0,'Données projet'!$E$13+1,1))-AVERAGE(OFFSET($H$3,0,0,'Données projet'!$E$13+1,1))</f>
        <v>397.61813291201469</v>
      </c>
      <c r="CZ182" s="58">
        <f t="shared" si="150"/>
        <v>320.30651625485064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5.1037095845543924E-2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5.1037095845543924E-2</v>
      </c>
      <c r="DJ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58" t="e">
        <f t="shared" si="125"/>
        <v>#N/A</v>
      </c>
      <c r="DT182" s="58" t="e">
        <f ca="1">AVERAGE(OFFSET($DS$3,0,0,'Données projet'!$E$14+1,1))-AVERAGE(OFFSET($H$3,0,0,'Données projet'!$E$14+1,1))</f>
        <v>#N/A</v>
      </c>
      <c r="DU182" s="58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58" t="e">
        <f t="shared" si="128"/>
        <v>#N/A</v>
      </c>
      <c r="EO182" s="58" t="e">
        <f ca="1">AVERAGE(OFFSET($EN$3,0,0,'Données projet'!$E$15+1,1))-AVERAGE(OFFSET($H$3,0,0,'Données projet'!$E$15+1,1))</f>
        <v>#N/A</v>
      </c>
      <c r="EP182" s="58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58" t="e">
        <f t="shared" si="131"/>
        <v>#N/A</v>
      </c>
      <c r="FJ182" s="58" t="e">
        <f ca="1">AVERAGE(OFFSET($FI$3,0,0,'Données projet'!$E$16+1,1))-AVERAGE(OFFSET($H$3,0,0,'Données projet'!$E$16+1,1))</f>
        <v>#N/A</v>
      </c>
      <c r="FK182" s="58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58" t="e">
        <f t="shared" si="134"/>
        <v>#N/A</v>
      </c>
      <c r="GE182" s="58" t="e">
        <f ca="1">AVERAGE(OFFSET($GD$3,0,0,'Données projet'!$E$17+1,1))-AVERAGE(OFFSET($H$3,0,0,'Données projet'!$E$17+1,1))</f>
        <v>#N/A</v>
      </c>
      <c r="GF182" s="58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58" t="e">
        <f t="shared" si="137"/>
        <v>#N/A</v>
      </c>
      <c r="GZ182" s="58" t="e">
        <f ca="1">AVERAGE(OFFSET($GY$3,0,0,'Données projet'!$E$18+1,1))-AVERAGE(OFFSET($H$3,0,0,'Données projet'!$E$18+1,1))</f>
        <v>#N/A</v>
      </c>
      <c r="HA182" s="58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0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3">
        <f t="shared" si="110"/>
        <v>183.33333333333334</v>
      </c>
      <c r="I183" s="6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1.0231815394945443E-12</v>
      </c>
      <c r="O183" s="14">
        <f>N183*VLOOKUP('Données projet'!$B$9,Paramètres!$A$1:$I$89,3,0)*VLOOKUP('Données projet'!$B$9,Paramètres!$A$1:$I$89,5,0)</f>
        <v>8.6192812887020418E-13</v>
      </c>
      <c r="P183" s="14">
        <f t="shared" si="141"/>
        <v>1.007707029837753E-11</v>
      </c>
      <c r="Q183" s="22">
        <f t="shared" si="162"/>
        <v>1.9052088927456466E-11</v>
      </c>
      <c r="R183" s="58">
        <f t="shared" si="109"/>
        <v>289.40522170387368</v>
      </c>
      <c r="S183" s="58">
        <f ca="1">AVERAGE(OFFSET($R$3,0,0,'Données projet'!$E$9+1,1))-AVERAGE(OFFSET($H$3,0,0,'Données projet'!$E$9+1,1))</f>
        <v>527.70171871461309</v>
      </c>
      <c r="T183" s="58">
        <f t="shared" si="142"/>
        <v>281.06176764290592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7.4487616075202823E-14</v>
      </c>
      <c r="AK183" s="14">
        <f t="shared" si="164"/>
        <v>1.1580453144473142E-12</v>
      </c>
      <c r="AL183" s="22">
        <f t="shared" si="165"/>
        <v>2.1466615206600508E-12</v>
      </c>
      <c r="AM183" s="58">
        <f t="shared" si="113"/>
        <v>289.4052217038568</v>
      </c>
      <c r="AN183" s="58">
        <f ca="1">AVERAGE(OFFSET($AM$3,0,0,'Données projet'!$E$10+1,1))-AVERAGE(OFFSET($H$3,0,0,'Données projet'!$E$10+1,1))</f>
        <v>302.53318056366777</v>
      </c>
      <c r="AO183" s="58">
        <f t="shared" si="144"/>
        <v>318.32262615164541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4.2655869075218136E-2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4.2655869075218136E-2</v>
      </c>
      <c r="AY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9.1000000000003638</v>
      </c>
      <c r="BE183" s="14">
        <f>BD183*VLOOKUP('Données projet'!$B$11,Paramètres!$A$1:$I$89,3,0)*VLOOKUP('Données projet'!$B$11,Paramètres!$A$1:$I$89,5,0)</f>
        <v>7.2399600000002895</v>
      </c>
      <c r="BF183" s="14">
        <f t="shared" si="167"/>
        <v>2.6498112636338633</v>
      </c>
      <c r="BG183" s="22">
        <f t="shared" si="168"/>
        <v>17.224684950829481</v>
      </c>
      <c r="BH183" s="58">
        <f t="shared" si="116"/>
        <v>306.62990665468413</v>
      </c>
      <c r="BI183" s="58">
        <f ca="1">AVERAGE(OFFSET($BH$3,0,0,'Données projet'!$E$11+1,1))-AVERAGE(OFFSET($H$3,0,0,'Données projet'!$E$11+1,1))</f>
        <v>336.25341821407534</v>
      </c>
      <c r="BJ183" s="58">
        <f t="shared" si="146"/>
        <v>360.3246221345039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8.125356878810068E-2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8.125356878810068E-2</v>
      </c>
      <c r="BT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projet'!$B$12,Paramètres!$A$1:$I$89,3,0)*VLOOKUP('Données projet'!$B$12,Paramètres!$A$1:$I$89,5,0)</f>
        <v>4.6111381379887463E-14</v>
      </c>
      <c r="CA183" s="14">
        <f t="shared" si="170"/>
        <v>7.5804141040779151E-13</v>
      </c>
      <c r="CB183" s="22">
        <f t="shared" si="171"/>
        <v>1.4005661123635408E-12</v>
      </c>
      <c r="CC183" s="58">
        <f t="shared" si="119"/>
        <v>289.40522170385606</v>
      </c>
      <c r="CD183" s="58">
        <f ca="1">AVERAGE(OFFSET($CC$3,0,0,'Données projet'!$E$12+1,1))-AVERAGE(OFFSET($H$3,0,0,'Données projet'!$E$12+1,1))</f>
        <v>308.58270639204238</v>
      </c>
      <c r="CE183" s="58">
        <f t="shared" si="148"/>
        <v>258.90832875500325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5.4092197387944907E-14</v>
      </c>
      <c r="CV183" s="14">
        <f t="shared" si="173"/>
        <v>8.7287050538073676E-13</v>
      </c>
      <c r="CW183" s="22">
        <f t="shared" si="174"/>
        <v>1.6144600406554537E-12</v>
      </c>
      <c r="CX183" s="58">
        <f t="shared" si="122"/>
        <v>289.40522170385623</v>
      </c>
      <c r="CY183" s="58">
        <f ca="1">AVERAGE(OFFSET($CX$3,0,0,'Données projet'!$E$13+1,1))-AVERAGE(OFFSET($H$3,0,0,'Données projet'!$E$13+1,1))</f>
        <v>397.61813291201469</v>
      </c>
      <c r="CZ183" s="58">
        <f t="shared" si="150"/>
        <v>320.30651625485064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4.9641483775723305E-2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4.9641483775723305E-2</v>
      </c>
      <c r="DJ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58" t="e">
        <f t="shared" si="125"/>
        <v>#N/A</v>
      </c>
      <c r="DT183" s="58" t="e">
        <f ca="1">AVERAGE(OFFSET($DS$3,0,0,'Données projet'!$E$14+1,1))-AVERAGE(OFFSET($H$3,0,0,'Données projet'!$E$14+1,1))</f>
        <v>#N/A</v>
      </c>
      <c r="DU183" s="58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58" t="e">
        <f t="shared" si="128"/>
        <v>#N/A</v>
      </c>
      <c r="EO183" s="58" t="e">
        <f ca="1">AVERAGE(OFFSET($EN$3,0,0,'Données projet'!$E$15+1,1))-AVERAGE(OFFSET($H$3,0,0,'Données projet'!$E$15+1,1))</f>
        <v>#N/A</v>
      </c>
      <c r="EP183" s="58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58" t="e">
        <f t="shared" si="131"/>
        <v>#N/A</v>
      </c>
      <c r="FJ183" s="58" t="e">
        <f ca="1">AVERAGE(OFFSET($FI$3,0,0,'Données projet'!$E$16+1,1))-AVERAGE(OFFSET($H$3,0,0,'Données projet'!$E$16+1,1))</f>
        <v>#N/A</v>
      </c>
      <c r="FK183" s="58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58" t="e">
        <f t="shared" si="134"/>
        <v>#N/A</v>
      </c>
      <c r="GE183" s="58" t="e">
        <f ca="1">AVERAGE(OFFSET($GD$3,0,0,'Données projet'!$E$17+1,1))-AVERAGE(OFFSET($H$3,0,0,'Données projet'!$E$17+1,1))</f>
        <v>#N/A</v>
      </c>
      <c r="GF183" s="58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58" t="e">
        <f t="shared" si="137"/>
        <v>#N/A</v>
      </c>
      <c r="GZ183" s="58" t="e">
        <f ca="1">AVERAGE(OFFSET($GY$3,0,0,'Données projet'!$E$18+1,1))-AVERAGE(OFFSET($H$3,0,0,'Données projet'!$E$18+1,1))</f>
        <v>#N/A</v>
      </c>
      <c r="HA183" s="58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0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3">
        <f t="shared" si="110"/>
        <v>183.33333333333334</v>
      </c>
      <c r="I184" s="6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1.0231815394945443E-12</v>
      </c>
      <c r="O184" s="14">
        <f>N184*VLOOKUP('Données projet'!$B$9,Paramètres!$A$1:$I$89,3,0)*VLOOKUP('Données projet'!$B$9,Paramètres!$A$1:$I$89,5,0)</f>
        <v>8.6192812887020418E-13</v>
      </c>
      <c r="P184" s="14">
        <f t="shared" si="141"/>
        <v>1.007707029837753E-11</v>
      </c>
      <c r="Q184" s="22">
        <f t="shared" si="162"/>
        <v>1.9052088927456466E-11</v>
      </c>
      <c r="R184" s="58">
        <f t="shared" si="109"/>
        <v>289.47336565870313</v>
      </c>
      <c r="S184" s="58">
        <f ca="1">AVERAGE(OFFSET($R$3,0,0,'Données projet'!$E$9+1,1))-AVERAGE(OFFSET($H$3,0,0,'Données projet'!$E$9+1,1))</f>
        <v>527.70171871461309</v>
      </c>
      <c r="T184" s="58">
        <f t="shared" si="142"/>
        <v>281.06176764290592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7.4487616075202823E-14</v>
      </c>
      <c r="AK184" s="14">
        <f t="shared" si="164"/>
        <v>1.1580453144473142E-12</v>
      </c>
      <c r="AL184" s="22">
        <f t="shared" si="165"/>
        <v>2.1466615206600508E-12</v>
      </c>
      <c r="AM184" s="58">
        <f t="shared" si="113"/>
        <v>289.47336565868625</v>
      </c>
      <c r="AN184" s="58">
        <f ca="1">AVERAGE(OFFSET($AM$3,0,0,'Données projet'!$E$10+1,1))-AVERAGE(OFFSET($H$3,0,0,'Données projet'!$E$10+1,1))</f>
        <v>302.53318056366777</v>
      </c>
      <c r="AO184" s="58">
        <f t="shared" si="144"/>
        <v>318.32262615164541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4.1489442092181632E-2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4.1489442092181632E-2</v>
      </c>
      <c r="AY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9.1000000000003638</v>
      </c>
      <c r="BE184" s="14">
        <f>BD184*VLOOKUP('Données projet'!$B$11,Paramètres!$A$1:$I$89,3,0)*VLOOKUP('Données projet'!$B$11,Paramètres!$A$1:$I$89,5,0)</f>
        <v>7.2399600000002895</v>
      </c>
      <c r="BF184" s="14">
        <f t="shared" si="167"/>
        <v>2.6498112636338633</v>
      </c>
      <c r="BG184" s="22">
        <f t="shared" si="168"/>
        <v>17.224684950829481</v>
      </c>
      <c r="BH184" s="58">
        <f t="shared" si="116"/>
        <v>306.69805060951359</v>
      </c>
      <c r="BI184" s="58">
        <f ca="1">AVERAGE(OFFSET($BH$3,0,0,'Données projet'!$E$11+1,1))-AVERAGE(OFFSET($H$3,0,0,'Données projet'!$E$11+1,1))</f>
        <v>336.25341821407534</v>
      </c>
      <c r="BJ184" s="58">
        <f t="shared" si="146"/>
        <v>360.3246221345039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7.9031685676650587E-2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7.9031685676650587E-2</v>
      </c>
      <c r="BT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projet'!$B$12,Paramètres!$A$1:$I$89,3,0)*VLOOKUP('Données projet'!$B$12,Paramètres!$A$1:$I$89,5,0)</f>
        <v>4.6111381379887463E-14</v>
      </c>
      <c r="CA184" s="14">
        <f t="shared" si="170"/>
        <v>7.5804141040779151E-13</v>
      </c>
      <c r="CB184" s="22">
        <f t="shared" si="171"/>
        <v>1.4005661123635408E-12</v>
      </c>
      <c r="CC184" s="58">
        <f t="shared" si="119"/>
        <v>289.47336565868551</v>
      </c>
      <c r="CD184" s="58">
        <f ca="1">AVERAGE(OFFSET($CC$3,0,0,'Données projet'!$E$12+1,1))-AVERAGE(OFFSET($H$3,0,0,'Données projet'!$E$12+1,1))</f>
        <v>308.58270639204238</v>
      </c>
      <c r="CE184" s="58">
        <f t="shared" si="148"/>
        <v>258.90832875500325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5.4092197387944907E-14</v>
      </c>
      <c r="CV184" s="14">
        <f t="shared" si="173"/>
        <v>8.7287050538073676E-13</v>
      </c>
      <c r="CW184" s="22">
        <f t="shared" si="174"/>
        <v>1.6144600406554537E-12</v>
      </c>
      <c r="CX184" s="58">
        <f t="shared" si="122"/>
        <v>289.47336565868568</v>
      </c>
      <c r="CY184" s="58">
        <f ca="1">AVERAGE(OFFSET($CX$3,0,0,'Données projet'!$E$13+1,1))-AVERAGE(OFFSET($H$3,0,0,'Données projet'!$E$13+1,1))</f>
        <v>397.61813291201469</v>
      </c>
      <c r="CZ184" s="58">
        <f t="shared" si="150"/>
        <v>320.30651625485064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4.828403479134398E-2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4.828403479134398E-2</v>
      </c>
      <c r="DJ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58" t="e">
        <f t="shared" si="125"/>
        <v>#N/A</v>
      </c>
      <c r="DT184" s="58" t="e">
        <f ca="1">AVERAGE(OFFSET($DS$3,0,0,'Données projet'!$E$14+1,1))-AVERAGE(OFFSET($H$3,0,0,'Données projet'!$E$14+1,1))</f>
        <v>#N/A</v>
      </c>
      <c r="DU184" s="58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58" t="e">
        <f t="shared" si="128"/>
        <v>#N/A</v>
      </c>
      <c r="EO184" s="58" t="e">
        <f ca="1">AVERAGE(OFFSET($EN$3,0,0,'Données projet'!$E$15+1,1))-AVERAGE(OFFSET($H$3,0,0,'Données projet'!$E$15+1,1))</f>
        <v>#N/A</v>
      </c>
      <c r="EP184" s="58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58" t="e">
        <f t="shared" si="131"/>
        <v>#N/A</v>
      </c>
      <c r="FJ184" s="58" t="e">
        <f ca="1">AVERAGE(OFFSET($FI$3,0,0,'Données projet'!$E$16+1,1))-AVERAGE(OFFSET($H$3,0,0,'Données projet'!$E$16+1,1))</f>
        <v>#N/A</v>
      </c>
      <c r="FK184" s="58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58" t="e">
        <f t="shared" si="134"/>
        <v>#N/A</v>
      </c>
      <c r="GE184" s="58" t="e">
        <f ca="1">AVERAGE(OFFSET($GD$3,0,0,'Données projet'!$E$17+1,1))-AVERAGE(OFFSET($H$3,0,0,'Données projet'!$E$17+1,1))</f>
        <v>#N/A</v>
      </c>
      <c r="GF184" s="58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58" t="e">
        <f t="shared" si="137"/>
        <v>#N/A</v>
      </c>
      <c r="GZ184" s="58" t="e">
        <f ca="1">AVERAGE(OFFSET($GY$3,0,0,'Données projet'!$E$18+1,1))-AVERAGE(OFFSET($H$3,0,0,'Données projet'!$E$18+1,1))</f>
        <v>#N/A</v>
      </c>
      <c r="HA184" s="58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0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3">
        <f t="shared" si="110"/>
        <v>183.33333333333334</v>
      </c>
      <c r="I185" s="6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1.0231815394945443E-12</v>
      </c>
      <c r="O185" s="14">
        <f>N185*VLOOKUP('Données projet'!$B$9,Paramètres!$A$1:$I$89,3,0)*VLOOKUP('Données projet'!$B$9,Paramètres!$A$1:$I$89,5,0)</f>
        <v>8.6192812887020418E-13</v>
      </c>
      <c r="P185" s="14">
        <f t="shared" si="141"/>
        <v>1.007707029837753E-11</v>
      </c>
      <c r="Q185" s="22">
        <f t="shared" si="162"/>
        <v>1.9052088927456466E-11</v>
      </c>
      <c r="R185" s="58">
        <f t="shared" si="109"/>
        <v>289.54032746826346</v>
      </c>
      <c r="S185" s="58">
        <f ca="1">AVERAGE(OFFSET($R$3,0,0,'Données projet'!$E$9+1,1))-AVERAGE(OFFSET($H$3,0,0,'Données projet'!$E$9+1,1))</f>
        <v>527.70171871461309</v>
      </c>
      <c r="T185" s="58">
        <f t="shared" si="142"/>
        <v>281.06176764290592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7.4487616075202823E-14</v>
      </c>
      <c r="AK185" s="14">
        <f t="shared" si="164"/>
        <v>1.1580453144473142E-12</v>
      </c>
      <c r="AL185" s="22">
        <f t="shared" si="165"/>
        <v>2.1466615206600508E-12</v>
      </c>
      <c r="AM185" s="58">
        <f t="shared" si="113"/>
        <v>289.54032746824657</v>
      </c>
      <c r="AN185" s="58">
        <f ca="1">AVERAGE(OFFSET($AM$3,0,0,'Données projet'!$E$10+1,1))-AVERAGE(OFFSET($H$3,0,0,'Données projet'!$E$10+1,1))</f>
        <v>302.53318056366777</v>
      </c>
      <c r="AO185" s="58">
        <f t="shared" si="144"/>
        <v>318.32262615164541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4.035491111633599E-2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4.035491111633599E-2</v>
      </c>
      <c r="AY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9.1000000000003638</v>
      </c>
      <c r="BE185" s="14">
        <f>BD185*VLOOKUP('Données projet'!$B$11,Paramètres!$A$1:$I$89,3,0)*VLOOKUP('Données projet'!$B$11,Paramètres!$A$1:$I$89,5,0)</f>
        <v>7.2399600000002895</v>
      </c>
      <c r="BF185" s="14">
        <f t="shared" si="167"/>
        <v>2.6498112636338633</v>
      </c>
      <c r="BG185" s="22">
        <f t="shared" si="168"/>
        <v>17.224684950829481</v>
      </c>
      <c r="BH185" s="58">
        <f t="shared" si="116"/>
        <v>306.76501241907391</v>
      </c>
      <c r="BI185" s="58">
        <f ca="1">AVERAGE(OFFSET($BH$3,0,0,'Données projet'!$E$11+1,1))-AVERAGE(OFFSET($H$3,0,0,'Données projet'!$E$11+1,1))</f>
        <v>336.25341821407534</v>
      </c>
      <c r="BJ185" s="58">
        <f t="shared" si="146"/>
        <v>360.3246221345039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7.687056007572686E-2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7.687056007572686E-2</v>
      </c>
      <c r="BT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projet'!$B$12,Paramètres!$A$1:$I$89,3,0)*VLOOKUP('Données projet'!$B$12,Paramètres!$A$1:$I$89,5,0)</f>
        <v>4.6111381379887463E-14</v>
      </c>
      <c r="CA185" s="14">
        <f t="shared" si="170"/>
        <v>7.5804141040779151E-13</v>
      </c>
      <c r="CB185" s="22">
        <f t="shared" si="171"/>
        <v>1.4005661123635408E-12</v>
      </c>
      <c r="CC185" s="58">
        <f t="shared" si="119"/>
        <v>289.54032746824583</v>
      </c>
      <c r="CD185" s="58">
        <f ca="1">AVERAGE(OFFSET($CC$3,0,0,'Données projet'!$E$12+1,1))-AVERAGE(OFFSET($H$3,0,0,'Données projet'!$E$12+1,1))</f>
        <v>308.58270639204238</v>
      </c>
      <c r="CE185" s="58">
        <f t="shared" si="148"/>
        <v>258.90832875500325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5.4092197387944907E-14</v>
      </c>
      <c r="CV185" s="14">
        <f t="shared" si="173"/>
        <v>8.7287050538073676E-13</v>
      </c>
      <c r="CW185" s="22">
        <f t="shared" si="174"/>
        <v>1.6144600406554537E-12</v>
      </c>
      <c r="CX185" s="58">
        <f t="shared" si="122"/>
        <v>289.54032746824601</v>
      </c>
      <c r="CY185" s="58">
        <f ca="1">AVERAGE(OFFSET($CX$3,0,0,'Données projet'!$E$13+1,1))-AVERAGE(OFFSET($H$3,0,0,'Données projet'!$E$13+1,1))</f>
        <v>397.61813291201469</v>
      </c>
      <c r="CZ185" s="58">
        <f t="shared" si="150"/>
        <v>320.30651625485064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4.6963705320827644E-2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4.6963705320827644E-2</v>
      </c>
      <c r="DJ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58" t="e">
        <f t="shared" si="125"/>
        <v>#N/A</v>
      </c>
      <c r="DT185" s="58" t="e">
        <f ca="1">AVERAGE(OFFSET($DS$3,0,0,'Données projet'!$E$14+1,1))-AVERAGE(OFFSET($H$3,0,0,'Données projet'!$E$14+1,1))</f>
        <v>#N/A</v>
      </c>
      <c r="DU185" s="58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58" t="e">
        <f t="shared" si="128"/>
        <v>#N/A</v>
      </c>
      <c r="EO185" s="58" t="e">
        <f ca="1">AVERAGE(OFFSET($EN$3,0,0,'Données projet'!$E$15+1,1))-AVERAGE(OFFSET($H$3,0,0,'Données projet'!$E$15+1,1))</f>
        <v>#N/A</v>
      </c>
      <c r="EP185" s="58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58" t="e">
        <f t="shared" si="131"/>
        <v>#N/A</v>
      </c>
      <c r="FJ185" s="58" t="e">
        <f ca="1">AVERAGE(OFFSET($FI$3,0,0,'Données projet'!$E$16+1,1))-AVERAGE(OFFSET($H$3,0,0,'Données projet'!$E$16+1,1))</f>
        <v>#N/A</v>
      </c>
      <c r="FK185" s="58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58" t="e">
        <f t="shared" si="134"/>
        <v>#N/A</v>
      </c>
      <c r="GE185" s="58" t="e">
        <f ca="1">AVERAGE(OFFSET($GD$3,0,0,'Données projet'!$E$17+1,1))-AVERAGE(OFFSET($H$3,0,0,'Données projet'!$E$17+1,1))</f>
        <v>#N/A</v>
      </c>
      <c r="GF185" s="58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58" t="e">
        <f t="shared" si="137"/>
        <v>#N/A</v>
      </c>
      <c r="GZ185" s="58" t="e">
        <f ca="1">AVERAGE(OFFSET($GY$3,0,0,'Données projet'!$E$18+1,1))-AVERAGE(OFFSET($H$3,0,0,'Données projet'!$E$18+1,1))</f>
        <v>#N/A</v>
      </c>
      <c r="HA185" s="58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0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3">
        <f t="shared" si="110"/>
        <v>183.33333333333334</v>
      </c>
      <c r="I186" s="6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1.0231815394945443E-12</v>
      </c>
      <c r="O186" s="14">
        <f>N186*VLOOKUP('Données projet'!$B$9,Paramètres!$A$1:$I$89,3,0)*VLOOKUP('Données projet'!$B$9,Paramètres!$A$1:$I$89,5,0)</f>
        <v>8.6192812887020418E-13</v>
      </c>
      <c r="P186" s="14">
        <f t="shared" si="141"/>
        <v>1.007707029837753E-11</v>
      </c>
      <c r="Q186" s="22">
        <f t="shared" si="162"/>
        <v>1.9052088927456466E-11</v>
      </c>
      <c r="R186" s="58">
        <f t="shared" si="109"/>
        <v>289.606127640132</v>
      </c>
      <c r="S186" s="58">
        <f ca="1">AVERAGE(OFFSET($R$3,0,0,'Données projet'!$E$9+1,1))-AVERAGE(OFFSET($H$3,0,0,'Données projet'!$E$9+1,1))</f>
        <v>527.70171871461309</v>
      </c>
      <c r="T186" s="58">
        <f t="shared" si="142"/>
        <v>281.06176764290592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7.4487616075202823E-14</v>
      </c>
      <c r="AK186" s="14">
        <f t="shared" si="164"/>
        <v>1.1580453144473142E-12</v>
      </c>
      <c r="AL186" s="22">
        <f t="shared" si="165"/>
        <v>2.1466615206600508E-12</v>
      </c>
      <c r="AM186" s="58">
        <f t="shared" si="113"/>
        <v>289.60612764011512</v>
      </c>
      <c r="AN186" s="58">
        <f ca="1">AVERAGE(OFFSET($AM$3,0,0,'Données projet'!$E$10+1,1))-AVERAGE(OFFSET($H$3,0,0,'Données projet'!$E$10+1,1))</f>
        <v>302.53318056366777</v>
      </c>
      <c r="AO186" s="58">
        <f t="shared" si="144"/>
        <v>318.32262615164541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3.9251403949687236E-2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3.9251403949687236E-2</v>
      </c>
      <c r="AY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9.1000000000003638</v>
      </c>
      <c r="BE186" s="14">
        <f>BD186*VLOOKUP('Données projet'!$B$11,Paramètres!$A$1:$I$89,3,0)*VLOOKUP('Données projet'!$B$11,Paramètres!$A$1:$I$89,5,0)</f>
        <v>7.2399600000002895</v>
      </c>
      <c r="BF186" s="14">
        <f t="shared" si="167"/>
        <v>2.6498112636338633</v>
      </c>
      <c r="BG186" s="22">
        <f t="shared" si="168"/>
        <v>17.224684950829481</v>
      </c>
      <c r="BH186" s="58">
        <f t="shared" si="116"/>
        <v>306.83081259094246</v>
      </c>
      <c r="BI186" s="58">
        <f ca="1">AVERAGE(OFFSET($BH$3,0,0,'Données projet'!$E$11+1,1))-AVERAGE(OFFSET($H$3,0,0,'Données projet'!$E$11+1,1))</f>
        <v>336.25341821407534</v>
      </c>
      <c r="BJ186" s="58">
        <f t="shared" si="146"/>
        <v>360.3246221345039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7.4768530568009042E-2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7.4768530568009042E-2</v>
      </c>
      <c r="BT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projet'!$B$12,Paramètres!$A$1:$I$89,3,0)*VLOOKUP('Données projet'!$B$12,Paramètres!$A$1:$I$89,5,0)</f>
        <v>4.6111381379887463E-14</v>
      </c>
      <c r="CA186" s="14">
        <f t="shared" si="170"/>
        <v>7.5804141040779151E-13</v>
      </c>
      <c r="CB186" s="22">
        <f t="shared" si="171"/>
        <v>1.4005661123635408E-12</v>
      </c>
      <c r="CC186" s="58">
        <f t="shared" si="119"/>
        <v>289.60612764011438</v>
      </c>
      <c r="CD186" s="58">
        <f ca="1">AVERAGE(OFFSET($CC$3,0,0,'Données projet'!$E$12+1,1))-AVERAGE(OFFSET($H$3,0,0,'Données projet'!$E$12+1,1))</f>
        <v>308.58270639204238</v>
      </c>
      <c r="CE186" s="58">
        <f t="shared" si="148"/>
        <v>258.90832875500325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5.4092197387944907E-14</v>
      </c>
      <c r="CV186" s="14">
        <f t="shared" si="173"/>
        <v>8.7287050538073676E-13</v>
      </c>
      <c r="CW186" s="22">
        <f t="shared" si="174"/>
        <v>1.6144600406554537E-12</v>
      </c>
      <c r="CX186" s="58">
        <f t="shared" si="122"/>
        <v>289.60612764011455</v>
      </c>
      <c r="CY186" s="58">
        <f ca="1">AVERAGE(OFFSET($CX$3,0,0,'Données projet'!$E$13+1,1))-AVERAGE(OFFSET($H$3,0,0,'Données projet'!$E$13+1,1))</f>
        <v>397.61813291201469</v>
      </c>
      <c r="CZ186" s="58">
        <f t="shared" si="150"/>
        <v>320.30651625485064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4.5679480329115688E-2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4.5679480329115688E-2</v>
      </c>
      <c r="DJ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58" t="e">
        <f t="shared" si="125"/>
        <v>#N/A</v>
      </c>
      <c r="DT186" s="58" t="e">
        <f ca="1">AVERAGE(OFFSET($DS$3,0,0,'Données projet'!$E$14+1,1))-AVERAGE(OFFSET($H$3,0,0,'Données projet'!$E$14+1,1))</f>
        <v>#N/A</v>
      </c>
      <c r="DU186" s="58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58" t="e">
        <f t="shared" si="128"/>
        <v>#N/A</v>
      </c>
      <c r="EO186" s="58" t="e">
        <f ca="1">AVERAGE(OFFSET($EN$3,0,0,'Données projet'!$E$15+1,1))-AVERAGE(OFFSET($H$3,0,0,'Données projet'!$E$15+1,1))</f>
        <v>#N/A</v>
      </c>
      <c r="EP186" s="58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58" t="e">
        <f t="shared" si="131"/>
        <v>#N/A</v>
      </c>
      <c r="FJ186" s="58" t="e">
        <f ca="1">AVERAGE(OFFSET($FI$3,0,0,'Données projet'!$E$16+1,1))-AVERAGE(OFFSET($H$3,0,0,'Données projet'!$E$16+1,1))</f>
        <v>#N/A</v>
      </c>
      <c r="FK186" s="58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58" t="e">
        <f t="shared" si="134"/>
        <v>#N/A</v>
      </c>
      <c r="GE186" s="58" t="e">
        <f ca="1">AVERAGE(OFFSET($GD$3,0,0,'Données projet'!$E$17+1,1))-AVERAGE(OFFSET($H$3,0,0,'Données projet'!$E$17+1,1))</f>
        <v>#N/A</v>
      </c>
      <c r="GF186" s="58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58" t="e">
        <f t="shared" si="137"/>
        <v>#N/A</v>
      </c>
      <c r="GZ186" s="58" t="e">
        <f ca="1">AVERAGE(OFFSET($GY$3,0,0,'Données projet'!$E$18+1,1))-AVERAGE(OFFSET($H$3,0,0,'Données projet'!$E$18+1,1))</f>
        <v>#N/A</v>
      </c>
      <c r="HA186" s="58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0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3">
        <f t="shared" si="110"/>
        <v>183.33333333333334</v>
      </c>
      <c r="I187" s="6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1.0231815394945443E-12</v>
      </c>
      <c r="O187" s="14">
        <f>N187*VLOOKUP('Données projet'!$B$9,Paramètres!$A$1:$I$89,3,0)*VLOOKUP('Données projet'!$B$9,Paramètres!$A$1:$I$89,5,0)</f>
        <v>8.6192812887020418E-13</v>
      </c>
      <c r="P187" s="14">
        <f t="shared" si="141"/>
        <v>1.007707029837753E-11</v>
      </c>
      <c r="Q187" s="22">
        <f t="shared" si="162"/>
        <v>1.9052088927456466E-11</v>
      </c>
      <c r="R187" s="58">
        <f t="shared" si="109"/>
        <v>289.67078632612578</v>
      </c>
      <c r="S187" s="58">
        <f ca="1">AVERAGE(OFFSET($R$3,0,0,'Données projet'!$E$9+1,1))-AVERAGE(OFFSET($H$3,0,0,'Données projet'!$E$9+1,1))</f>
        <v>527.70171871461309</v>
      </c>
      <c r="T187" s="58">
        <f t="shared" si="142"/>
        <v>281.06176764290592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7.4487616075202823E-14</v>
      </c>
      <c r="AK187" s="14">
        <f t="shared" si="164"/>
        <v>1.1580453144473142E-12</v>
      </c>
      <c r="AL187" s="22">
        <f t="shared" si="165"/>
        <v>2.1466615206600508E-12</v>
      </c>
      <c r="AM187" s="58">
        <f t="shared" si="113"/>
        <v>289.6707863261089</v>
      </c>
      <c r="AN187" s="58">
        <f ca="1">AVERAGE(OFFSET($AM$3,0,0,'Données projet'!$E$10+1,1))-AVERAGE(OFFSET($H$3,0,0,'Données projet'!$E$10+1,1))</f>
        <v>302.53318056366777</v>
      </c>
      <c r="AO187" s="58">
        <f t="shared" si="144"/>
        <v>318.32262615164541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3.8178072244541415E-2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3.8178072244541415E-2</v>
      </c>
      <c r="AY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9.1000000000003638</v>
      </c>
      <c r="BE187" s="14">
        <f>BD187*VLOOKUP('Données projet'!$B$11,Paramètres!$A$1:$I$89,3,0)*VLOOKUP('Données projet'!$B$11,Paramètres!$A$1:$I$89,5,0)</f>
        <v>7.2399600000002895</v>
      </c>
      <c r="BF187" s="14">
        <f t="shared" si="167"/>
        <v>2.6498112636338633</v>
      </c>
      <c r="BG187" s="22">
        <f t="shared" si="168"/>
        <v>17.224684950829481</v>
      </c>
      <c r="BH187" s="58">
        <f t="shared" si="116"/>
        <v>306.89547127693623</v>
      </c>
      <c r="BI187" s="58">
        <f ca="1">AVERAGE(OFFSET($BH$3,0,0,'Données projet'!$E$11+1,1))-AVERAGE(OFFSET($H$3,0,0,'Données projet'!$E$11+1,1))</f>
        <v>336.25341821407534</v>
      </c>
      <c r="BJ187" s="58">
        <f t="shared" si="146"/>
        <v>360.3246221345039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7.2723981167720692E-2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7.2723981167720692E-2</v>
      </c>
      <c r="BT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projet'!$B$12,Paramètres!$A$1:$I$89,3,0)*VLOOKUP('Données projet'!$B$12,Paramètres!$A$1:$I$89,5,0)</f>
        <v>4.6111381379887463E-14</v>
      </c>
      <c r="CA187" s="14">
        <f t="shared" si="170"/>
        <v>7.5804141040779151E-13</v>
      </c>
      <c r="CB187" s="22">
        <f t="shared" si="171"/>
        <v>1.4005661123635408E-12</v>
      </c>
      <c r="CC187" s="58">
        <f t="shared" si="119"/>
        <v>289.67078632610816</v>
      </c>
      <c r="CD187" s="58">
        <f ca="1">AVERAGE(OFFSET($CC$3,0,0,'Données projet'!$E$12+1,1))-AVERAGE(OFFSET($H$3,0,0,'Données projet'!$E$12+1,1))</f>
        <v>308.58270639204238</v>
      </c>
      <c r="CE187" s="58">
        <f t="shared" si="148"/>
        <v>258.90832875500325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5.4092197387944907E-14</v>
      </c>
      <c r="CV187" s="14">
        <f t="shared" si="173"/>
        <v>8.7287050538073676E-13</v>
      </c>
      <c r="CW187" s="22">
        <f t="shared" si="174"/>
        <v>1.6144600406554537E-12</v>
      </c>
      <c r="CX187" s="58">
        <f t="shared" si="122"/>
        <v>289.67078632610833</v>
      </c>
      <c r="CY187" s="58">
        <f ca="1">AVERAGE(OFFSET($CX$3,0,0,'Données projet'!$E$13+1,1))-AVERAGE(OFFSET($H$3,0,0,'Données projet'!$E$13+1,1))</f>
        <v>397.61813291201469</v>
      </c>
      <c r="CZ187" s="58">
        <f t="shared" si="150"/>
        <v>320.30651625485064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4.4430372537336553E-2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4.4430372537336553E-2</v>
      </c>
      <c r="DJ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58" t="e">
        <f t="shared" si="125"/>
        <v>#N/A</v>
      </c>
      <c r="DT187" s="58" t="e">
        <f ca="1">AVERAGE(OFFSET($DS$3,0,0,'Données projet'!$E$14+1,1))-AVERAGE(OFFSET($H$3,0,0,'Données projet'!$E$14+1,1))</f>
        <v>#N/A</v>
      </c>
      <c r="DU187" s="58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58" t="e">
        <f t="shared" si="128"/>
        <v>#N/A</v>
      </c>
      <c r="EO187" s="58" t="e">
        <f ca="1">AVERAGE(OFFSET($EN$3,0,0,'Données projet'!$E$15+1,1))-AVERAGE(OFFSET($H$3,0,0,'Données projet'!$E$15+1,1))</f>
        <v>#N/A</v>
      </c>
      <c r="EP187" s="58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58" t="e">
        <f t="shared" si="131"/>
        <v>#N/A</v>
      </c>
      <c r="FJ187" s="58" t="e">
        <f ca="1">AVERAGE(OFFSET($FI$3,0,0,'Données projet'!$E$16+1,1))-AVERAGE(OFFSET($H$3,0,0,'Données projet'!$E$16+1,1))</f>
        <v>#N/A</v>
      </c>
      <c r="FK187" s="58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58" t="e">
        <f t="shared" si="134"/>
        <v>#N/A</v>
      </c>
      <c r="GE187" s="58" t="e">
        <f ca="1">AVERAGE(OFFSET($GD$3,0,0,'Données projet'!$E$17+1,1))-AVERAGE(OFFSET($H$3,0,0,'Données projet'!$E$17+1,1))</f>
        <v>#N/A</v>
      </c>
      <c r="GF187" s="58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58" t="e">
        <f t="shared" si="137"/>
        <v>#N/A</v>
      </c>
      <c r="GZ187" s="58" t="e">
        <f ca="1">AVERAGE(OFFSET($GY$3,0,0,'Données projet'!$E$18+1,1))-AVERAGE(OFFSET($H$3,0,0,'Données projet'!$E$18+1,1))</f>
        <v>#N/A</v>
      </c>
      <c r="HA187" s="58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0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3">
        <f t="shared" si="110"/>
        <v>183.33333333333334</v>
      </c>
      <c r="I188" s="6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1.0231815394945443E-12</v>
      </c>
      <c r="O188" s="14">
        <f>N188*VLOOKUP('Données projet'!$B$9,Paramètres!$A$1:$I$89,3,0)*VLOOKUP('Données projet'!$B$9,Paramètres!$A$1:$I$89,5,0)</f>
        <v>8.6192812887020418E-13</v>
      </c>
      <c r="P188" s="14">
        <f t="shared" si="141"/>
        <v>1.007707029837753E-11</v>
      </c>
      <c r="Q188" s="22">
        <f t="shared" si="162"/>
        <v>1.9052088927456466E-11</v>
      </c>
      <c r="R188" s="58">
        <f t="shared" si="109"/>
        <v>289.73432332847278</v>
      </c>
      <c r="S188" s="58">
        <f ca="1">AVERAGE(OFFSET($R$3,0,0,'Données projet'!$E$9+1,1))-AVERAGE(OFFSET($H$3,0,0,'Données projet'!$E$9+1,1))</f>
        <v>527.70171871461309</v>
      </c>
      <c r="T188" s="58">
        <f t="shared" si="142"/>
        <v>281.06176764290592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7.4487616075202823E-14</v>
      </c>
      <c r="AK188" s="14">
        <f t="shared" si="164"/>
        <v>1.1580453144473142E-12</v>
      </c>
      <c r="AL188" s="22">
        <f t="shared" si="165"/>
        <v>2.1466615206600508E-12</v>
      </c>
      <c r="AM188" s="58">
        <f t="shared" si="113"/>
        <v>289.7343233284559</v>
      </c>
      <c r="AN188" s="58">
        <f ca="1">AVERAGE(OFFSET($AM$3,0,0,'Données projet'!$E$10+1,1))-AVERAGE(OFFSET($H$3,0,0,'Données projet'!$E$10+1,1))</f>
        <v>302.53318056366777</v>
      </c>
      <c r="AO188" s="58">
        <f t="shared" si="144"/>
        <v>318.32262615164541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3.7134090851316866E-2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3.7134090851316866E-2</v>
      </c>
      <c r="AY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9.1000000000003638</v>
      </c>
      <c r="BE188" s="14">
        <f>BD188*VLOOKUP('Données projet'!$B$11,Paramètres!$A$1:$I$89,3,0)*VLOOKUP('Données projet'!$B$11,Paramètres!$A$1:$I$89,5,0)</f>
        <v>7.2399600000002895</v>
      </c>
      <c r="BF188" s="14">
        <f t="shared" si="167"/>
        <v>2.6498112636338633</v>
      </c>
      <c r="BG188" s="22">
        <f t="shared" si="168"/>
        <v>17.224684950829481</v>
      </c>
      <c r="BH188" s="58">
        <f t="shared" si="116"/>
        <v>306.95900827928324</v>
      </c>
      <c r="BI188" s="58">
        <f ca="1">AVERAGE(OFFSET($BH$3,0,0,'Données projet'!$E$11+1,1))-AVERAGE(OFFSET($H$3,0,0,'Données projet'!$E$11+1,1))</f>
        <v>336.25341821407534</v>
      </c>
      <c r="BJ188" s="58">
        <f t="shared" si="146"/>
        <v>360.3246221345039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7.0735340078301415E-2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7.0735340078301415E-2</v>
      </c>
      <c r="BT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projet'!$B$12,Paramètres!$A$1:$I$89,3,0)*VLOOKUP('Données projet'!$B$12,Paramètres!$A$1:$I$89,5,0)</f>
        <v>4.6111381379887463E-14</v>
      </c>
      <c r="CA188" s="14">
        <f t="shared" si="170"/>
        <v>7.5804141040779151E-13</v>
      </c>
      <c r="CB188" s="22">
        <f t="shared" si="171"/>
        <v>1.4005661123635408E-12</v>
      </c>
      <c r="CC188" s="58">
        <f t="shared" si="119"/>
        <v>289.73432332845516</v>
      </c>
      <c r="CD188" s="58">
        <f ca="1">AVERAGE(OFFSET($CC$3,0,0,'Données projet'!$E$12+1,1))-AVERAGE(OFFSET($H$3,0,0,'Données projet'!$E$12+1,1))</f>
        <v>308.58270639204238</v>
      </c>
      <c r="CE188" s="58">
        <f t="shared" si="148"/>
        <v>258.90832875500325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5.4092197387944907E-14</v>
      </c>
      <c r="CV188" s="14">
        <f t="shared" si="173"/>
        <v>8.7287050538073676E-13</v>
      </c>
      <c r="CW188" s="22">
        <f t="shared" si="174"/>
        <v>1.6144600406554537E-12</v>
      </c>
      <c r="CX188" s="58">
        <f t="shared" si="122"/>
        <v>289.73432332845533</v>
      </c>
      <c r="CY188" s="58">
        <f ca="1">AVERAGE(OFFSET($CX$3,0,0,'Données projet'!$E$13+1,1))-AVERAGE(OFFSET($H$3,0,0,'Données projet'!$E$13+1,1))</f>
        <v>397.61813291201469</v>
      </c>
      <c r="CZ188" s="58">
        <f t="shared" si="150"/>
        <v>320.30651625485064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4.3215421663811343E-2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4.3215421663811343E-2</v>
      </c>
      <c r="DJ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58" t="e">
        <f t="shared" si="125"/>
        <v>#N/A</v>
      </c>
      <c r="DT188" s="58" t="e">
        <f ca="1">AVERAGE(OFFSET($DS$3,0,0,'Données projet'!$E$14+1,1))-AVERAGE(OFFSET($H$3,0,0,'Données projet'!$E$14+1,1))</f>
        <v>#N/A</v>
      </c>
      <c r="DU188" s="58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58" t="e">
        <f t="shared" si="128"/>
        <v>#N/A</v>
      </c>
      <c r="EO188" s="58" t="e">
        <f ca="1">AVERAGE(OFFSET($EN$3,0,0,'Données projet'!$E$15+1,1))-AVERAGE(OFFSET($H$3,0,0,'Données projet'!$E$15+1,1))</f>
        <v>#N/A</v>
      </c>
      <c r="EP188" s="58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58" t="e">
        <f t="shared" si="131"/>
        <v>#N/A</v>
      </c>
      <c r="FJ188" s="58" t="e">
        <f ca="1">AVERAGE(OFFSET($FI$3,0,0,'Données projet'!$E$16+1,1))-AVERAGE(OFFSET($H$3,0,0,'Données projet'!$E$16+1,1))</f>
        <v>#N/A</v>
      </c>
      <c r="FK188" s="58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58" t="e">
        <f t="shared" si="134"/>
        <v>#N/A</v>
      </c>
      <c r="GE188" s="58" t="e">
        <f ca="1">AVERAGE(OFFSET($GD$3,0,0,'Données projet'!$E$17+1,1))-AVERAGE(OFFSET($H$3,0,0,'Données projet'!$E$17+1,1))</f>
        <v>#N/A</v>
      </c>
      <c r="GF188" s="58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58" t="e">
        <f t="shared" si="137"/>
        <v>#N/A</v>
      </c>
      <c r="GZ188" s="58" t="e">
        <f ca="1">AVERAGE(OFFSET($GY$3,0,0,'Données projet'!$E$18+1,1))-AVERAGE(OFFSET($H$3,0,0,'Données projet'!$E$18+1,1))</f>
        <v>#N/A</v>
      </c>
      <c r="HA188" s="58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0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3">
        <f t="shared" si="110"/>
        <v>183.33333333333334</v>
      </c>
      <c r="I189" s="6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1.0231815394945443E-12</v>
      </c>
      <c r="O189" s="14">
        <f>N189*VLOOKUP('Données projet'!$B$9,Paramètres!$A$1:$I$89,3,0)*VLOOKUP('Données projet'!$B$9,Paramètres!$A$1:$I$89,5,0)</f>
        <v>8.6192812887020418E-13</v>
      </c>
      <c r="P189" s="14">
        <f t="shared" si="141"/>
        <v>1.007707029837753E-11</v>
      </c>
      <c r="Q189" s="22">
        <f t="shared" si="162"/>
        <v>1.9052088927456466E-11</v>
      </c>
      <c r="R189" s="58">
        <f t="shared" si="109"/>
        <v>289.79675810587645</v>
      </c>
      <c r="S189" s="58">
        <f ca="1">AVERAGE(OFFSET($R$3,0,0,'Données projet'!$E$9+1,1))-AVERAGE(OFFSET($H$3,0,0,'Données projet'!$E$9+1,1))</f>
        <v>527.70171871461309</v>
      </c>
      <c r="T189" s="58">
        <f t="shared" si="142"/>
        <v>281.06176764290592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7.4487616075202823E-14</v>
      </c>
      <c r="AK189" s="14">
        <f t="shared" si="164"/>
        <v>1.1580453144473142E-12</v>
      </c>
      <c r="AL189" s="22">
        <f t="shared" si="165"/>
        <v>2.1466615206600508E-12</v>
      </c>
      <c r="AM189" s="58">
        <f t="shared" si="113"/>
        <v>289.79675810585957</v>
      </c>
      <c r="AN189" s="58">
        <f ca="1">AVERAGE(OFFSET($AM$3,0,0,'Données projet'!$E$10+1,1))-AVERAGE(OFFSET($H$3,0,0,'Données projet'!$E$10+1,1))</f>
        <v>302.53318056366777</v>
      </c>
      <c r="AO189" s="58">
        <f t="shared" si="144"/>
        <v>318.32262615164541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3.611865718419064E-2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3.611865718419064E-2</v>
      </c>
      <c r="AY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9.1000000000003638</v>
      </c>
      <c r="BE189" s="14">
        <f>BD189*VLOOKUP('Données projet'!$B$11,Paramètres!$A$1:$I$89,3,0)*VLOOKUP('Données projet'!$B$11,Paramètres!$A$1:$I$89,5,0)</f>
        <v>7.2399600000002895</v>
      </c>
      <c r="BF189" s="14">
        <f t="shared" si="167"/>
        <v>2.6498112636338633</v>
      </c>
      <c r="BG189" s="22">
        <f t="shared" si="168"/>
        <v>17.224684950829481</v>
      </c>
      <c r="BH189" s="58">
        <f t="shared" si="116"/>
        <v>307.02144305668691</v>
      </c>
      <c r="BI189" s="58">
        <f ca="1">AVERAGE(OFFSET($BH$3,0,0,'Données projet'!$E$11+1,1))-AVERAGE(OFFSET($H$3,0,0,'Données projet'!$E$11+1,1))</f>
        <v>336.25341821407534</v>
      </c>
      <c r="BJ189" s="58">
        <f t="shared" si="146"/>
        <v>360.3246221345039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6.8801078484050399E-2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6.8801078484050399E-2</v>
      </c>
      <c r="BT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projet'!$B$12,Paramètres!$A$1:$I$89,3,0)*VLOOKUP('Données projet'!$B$12,Paramètres!$A$1:$I$89,5,0)</f>
        <v>4.6111381379887463E-14</v>
      </c>
      <c r="CA189" s="14">
        <f t="shared" si="170"/>
        <v>7.5804141040779151E-13</v>
      </c>
      <c r="CB189" s="22">
        <f t="shared" si="171"/>
        <v>1.4005661123635408E-12</v>
      </c>
      <c r="CC189" s="58">
        <f t="shared" si="119"/>
        <v>289.79675810585883</v>
      </c>
      <c r="CD189" s="58">
        <f ca="1">AVERAGE(OFFSET($CC$3,0,0,'Données projet'!$E$12+1,1))-AVERAGE(OFFSET($H$3,0,0,'Données projet'!$E$12+1,1))</f>
        <v>308.58270639204238</v>
      </c>
      <c r="CE189" s="58">
        <f t="shared" si="148"/>
        <v>258.90832875500325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5.4092197387944907E-14</v>
      </c>
      <c r="CV189" s="14">
        <f t="shared" si="173"/>
        <v>8.7287050538073676E-13</v>
      </c>
      <c r="CW189" s="22">
        <f t="shared" si="174"/>
        <v>1.6144600406554537E-12</v>
      </c>
      <c r="CX189" s="58">
        <f t="shared" si="122"/>
        <v>289.796758105859</v>
      </c>
      <c r="CY189" s="58">
        <f ca="1">AVERAGE(OFFSET($CX$3,0,0,'Données projet'!$E$13+1,1))-AVERAGE(OFFSET($H$3,0,0,'Données projet'!$E$13+1,1))</f>
        <v>397.61813291201469</v>
      </c>
      <c r="CZ189" s="58">
        <f t="shared" si="150"/>
        <v>320.30651625485064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4.2033693685814166E-2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4.2033693685814166E-2</v>
      </c>
      <c r="DJ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58" t="e">
        <f t="shared" si="125"/>
        <v>#N/A</v>
      </c>
      <c r="DT189" s="58" t="e">
        <f ca="1">AVERAGE(OFFSET($DS$3,0,0,'Données projet'!$E$14+1,1))-AVERAGE(OFFSET($H$3,0,0,'Données projet'!$E$14+1,1))</f>
        <v>#N/A</v>
      </c>
      <c r="DU189" s="58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58" t="e">
        <f t="shared" si="128"/>
        <v>#N/A</v>
      </c>
      <c r="EO189" s="58" t="e">
        <f ca="1">AVERAGE(OFFSET($EN$3,0,0,'Données projet'!$E$15+1,1))-AVERAGE(OFFSET($H$3,0,0,'Données projet'!$E$15+1,1))</f>
        <v>#N/A</v>
      </c>
      <c r="EP189" s="58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58" t="e">
        <f t="shared" si="131"/>
        <v>#N/A</v>
      </c>
      <c r="FJ189" s="58" t="e">
        <f ca="1">AVERAGE(OFFSET($FI$3,0,0,'Données projet'!$E$16+1,1))-AVERAGE(OFFSET($H$3,0,0,'Données projet'!$E$16+1,1))</f>
        <v>#N/A</v>
      </c>
      <c r="FK189" s="58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58" t="e">
        <f t="shared" si="134"/>
        <v>#N/A</v>
      </c>
      <c r="GE189" s="58" t="e">
        <f ca="1">AVERAGE(OFFSET($GD$3,0,0,'Données projet'!$E$17+1,1))-AVERAGE(OFFSET($H$3,0,0,'Données projet'!$E$17+1,1))</f>
        <v>#N/A</v>
      </c>
      <c r="GF189" s="58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58" t="e">
        <f t="shared" si="137"/>
        <v>#N/A</v>
      </c>
      <c r="GZ189" s="58" t="e">
        <f ca="1">AVERAGE(OFFSET($GY$3,0,0,'Données projet'!$E$18+1,1))-AVERAGE(OFFSET($H$3,0,0,'Données projet'!$E$18+1,1))</f>
        <v>#N/A</v>
      </c>
      <c r="HA189" s="58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0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3">
        <f t="shared" si="110"/>
        <v>183.33333333333334</v>
      </c>
      <c r="I190" s="6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1.0231815394945443E-12</v>
      </c>
      <c r="O190" s="14">
        <f>N190*VLOOKUP('Données projet'!$B$9,Paramètres!$A$1:$I$89,3,0)*VLOOKUP('Données projet'!$B$9,Paramètres!$A$1:$I$89,5,0)</f>
        <v>8.6192812887020418E-13</v>
      </c>
      <c r="P190" s="14">
        <f t="shared" si="141"/>
        <v>1.007707029837753E-11</v>
      </c>
      <c r="Q190" s="22">
        <f t="shared" si="162"/>
        <v>1.9052088927456466E-11</v>
      </c>
      <c r="R190" s="58">
        <f t="shared" si="109"/>
        <v>289.85810977947546</v>
      </c>
      <c r="S190" s="58">
        <f ca="1">AVERAGE(OFFSET($R$3,0,0,'Données projet'!$E$9+1,1))-AVERAGE(OFFSET($H$3,0,0,'Données projet'!$E$9+1,1))</f>
        <v>527.70171871461309</v>
      </c>
      <c r="T190" s="58">
        <f t="shared" si="142"/>
        <v>281.06176764290592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7.4487616075202823E-14</v>
      </c>
      <c r="AK190" s="14">
        <f t="shared" si="164"/>
        <v>1.1580453144473142E-12</v>
      </c>
      <c r="AL190" s="22">
        <f t="shared" si="165"/>
        <v>2.1466615206600508E-12</v>
      </c>
      <c r="AM190" s="58">
        <f t="shared" si="113"/>
        <v>289.85810977945857</v>
      </c>
      <c r="AN190" s="58">
        <f ca="1">AVERAGE(OFFSET($AM$3,0,0,'Données projet'!$E$10+1,1))-AVERAGE(OFFSET($H$3,0,0,'Données projet'!$E$10+1,1))</f>
        <v>302.53318056366777</v>
      </c>
      <c r="AO190" s="58">
        <f t="shared" si="144"/>
        <v>318.32262615164541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3.5130990604091319E-2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3.5130990604091319E-2</v>
      </c>
      <c r="AY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9.1000000000003638</v>
      </c>
      <c r="BE190" s="14">
        <f>BD190*VLOOKUP('Données projet'!$B$11,Paramètres!$A$1:$I$89,3,0)*VLOOKUP('Données projet'!$B$11,Paramètres!$A$1:$I$89,5,0)</f>
        <v>7.2399600000002895</v>
      </c>
      <c r="BF190" s="14">
        <f t="shared" si="167"/>
        <v>2.6498112636338633</v>
      </c>
      <c r="BG190" s="22">
        <f t="shared" si="168"/>
        <v>17.224684950829481</v>
      </c>
      <c r="BH190" s="58">
        <f t="shared" si="116"/>
        <v>307.08279473028591</v>
      </c>
      <c r="BI190" s="58">
        <f ca="1">AVERAGE(OFFSET($BH$3,0,0,'Données projet'!$E$11+1,1))-AVERAGE(OFFSET($H$3,0,0,'Données projet'!$E$11+1,1))</f>
        <v>336.25341821407534</v>
      </c>
      <c r="BJ190" s="58">
        <f t="shared" si="146"/>
        <v>360.3246221345039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6.6919709374812564E-2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6.6919709374812564E-2</v>
      </c>
      <c r="BT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projet'!$B$12,Paramètres!$A$1:$I$89,3,0)*VLOOKUP('Données projet'!$B$12,Paramètres!$A$1:$I$89,5,0)</f>
        <v>4.6111381379887463E-14</v>
      </c>
      <c r="CA190" s="14">
        <f t="shared" si="170"/>
        <v>7.5804141040779151E-13</v>
      </c>
      <c r="CB190" s="22">
        <f t="shared" si="171"/>
        <v>1.4005661123635408E-12</v>
      </c>
      <c r="CC190" s="58">
        <f t="shared" si="119"/>
        <v>289.85810977945783</v>
      </c>
      <c r="CD190" s="58">
        <f ca="1">AVERAGE(OFFSET($CC$3,0,0,'Données projet'!$E$12+1,1))-AVERAGE(OFFSET($H$3,0,0,'Données projet'!$E$12+1,1))</f>
        <v>308.58270639204238</v>
      </c>
      <c r="CE190" s="58">
        <f t="shared" si="148"/>
        <v>258.90832875500325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5.4092197387944907E-14</v>
      </c>
      <c r="CV190" s="14">
        <f t="shared" si="173"/>
        <v>8.7287050538073676E-13</v>
      </c>
      <c r="CW190" s="22">
        <f t="shared" si="174"/>
        <v>1.6144600406554537E-12</v>
      </c>
      <c r="CX190" s="58">
        <f t="shared" si="122"/>
        <v>289.858109779458</v>
      </c>
      <c r="CY190" s="58">
        <f ca="1">AVERAGE(OFFSET($CX$3,0,0,'Données projet'!$E$13+1,1))-AVERAGE(OFFSET($H$3,0,0,'Données projet'!$E$13+1,1))</f>
        <v>397.61813291201469</v>
      </c>
      <c r="CZ190" s="58">
        <f t="shared" si="150"/>
        <v>320.30651625485064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4.0884280121519699E-2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4.0884280121519699E-2</v>
      </c>
      <c r="DJ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58" t="e">
        <f t="shared" si="125"/>
        <v>#N/A</v>
      </c>
      <c r="DT190" s="58" t="e">
        <f ca="1">AVERAGE(OFFSET($DS$3,0,0,'Données projet'!$E$14+1,1))-AVERAGE(OFFSET($H$3,0,0,'Données projet'!$E$14+1,1))</f>
        <v>#N/A</v>
      </c>
      <c r="DU190" s="58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58" t="e">
        <f t="shared" si="128"/>
        <v>#N/A</v>
      </c>
      <c r="EO190" s="58" t="e">
        <f ca="1">AVERAGE(OFFSET($EN$3,0,0,'Données projet'!$E$15+1,1))-AVERAGE(OFFSET($H$3,0,0,'Données projet'!$E$15+1,1))</f>
        <v>#N/A</v>
      </c>
      <c r="EP190" s="58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58" t="e">
        <f t="shared" si="131"/>
        <v>#N/A</v>
      </c>
      <c r="FJ190" s="58" t="e">
        <f ca="1">AVERAGE(OFFSET($FI$3,0,0,'Données projet'!$E$16+1,1))-AVERAGE(OFFSET($H$3,0,0,'Données projet'!$E$16+1,1))</f>
        <v>#N/A</v>
      </c>
      <c r="FK190" s="58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58" t="e">
        <f t="shared" si="134"/>
        <v>#N/A</v>
      </c>
      <c r="GE190" s="58" t="e">
        <f ca="1">AVERAGE(OFFSET($GD$3,0,0,'Données projet'!$E$17+1,1))-AVERAGE(OFFSET($H$3,0,0,'Données projet'!$E$17+1,1))</f>
        <v>#N/A</v>
      </c>
      <c r="GF190" s="58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58" t="e">
        <f t="shared" si="137"/>
        <v>#N/A</v>
      </c>
      <c r="GZ190" s="58" t="e">
        <f ca="1">AVERAGE(OFFSET($GY$3,0,0,'Données projet'!$E$18+1,1))-AVERAGE(OFFSET($H$3,0,0,'Données projet'!$E$18+1,1))</f>
        <v>#N/A</v>
      </c>
      <c r="HA190" s="58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0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3">
        <f t="shared" si="110"/>
        <v>183.33333333333334</v>
      </c>
      <c r="I191" s="6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1.0231815394945443E-12</v>
      </c>
      <c r="O191" s="14">
        <f>N191*VLOOKUP('Données projet'!$B$9,Paramètres!$A$1:$I$89,3,0)*VLOOKUP('Données projet'!$B$9,Paramètres!$A$1:$I$89,5,0)</f>
        <v>8.6192812887020418E-13</v>
      </c>
      <c r="P191" s="14">
        <f t="shared" si="141"/>
        <v>1.007707029837753E-11</v>
      </c>
      <c r="Q191" s="22">
        <f t="shared" si="162"/>
        <v>1.9052088927456466E-11</v>
      </c>
      <c r="R191" s="58">
        <f t="shared" si="109"/>
        <v>289.91839713869928</v>
      </c>
      <c r="S191" s="58">
        <f ca="1">AVERAGE(OFFSET($R$3,0,0,'Données projet'!$E$9+1,1))-AVERAGE(OFFSET($H$3,0,0,'Données projet'!$E$9+1,1))</f>
        <v>527.70171871461309</v>
      </c>
      <c r="T191" s="58">
        <f t="shared" si="142"/>
        <v>281.06176764290592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7.4487616075202823E-14</v>
      </c>
      <c r="AK191" s="14">
        <f t="shared" si="164"/>
        <v>1.1580453144473142E-12</v>
      </c>
      <c r="AL191" s="22">
        <f t="shared" si="165"/>
        <v>2.1466615206600508E-12</v>
      </c>
      <c r="AM191" s="58">
        <f t="shared" si="113"/>
        <v>289.91839713868239</v>
      </c>
      <c r="AN191" s="58">
        <f ca="1">AVERAGE(OFFSET($AM$3,0,0,'Données projet'!$E$10+1,1))-AVERAGE(OFFSET($H$3,0,0,'Données projet'!$E$10+1,1))</f>
        <v>302.53318056366777</v>
      </c>
      <c r="AO191" s="58">
        <f t="shared" si="144"/>
        <v>318.32262615164541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3.4170331818563937E-2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3.4170331818563937E-2</v>
      </c>
      <c r="AY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9.1000000000003638</v>
      </c>
      <c r="BE191" s="14">
        <f>BD191*VLOOKUP('Données projet'!$B$11,Paramètres!$A$1:$I$89,3,0)*VLOOKUP('Données projet'!$B$11,Paramètres!$A$1:$I$89,5,0)</f>
        <v>7.2399600000002895</v>
      </c>
      <c r="BF191" s="14">
        <f t="shared" si="167"/>
        <v>2.6498112636338633</v>
      </c>
      <c r="BG191" s="22">
        <f t="shared" si="168"/>
        <v>17.224684950829481</v>
      </c>
      <c r="BH191" s="58">
        <f t="shared" si="116"/>
        <v>307.14308208950973</v>
      </c>
      <c r="BI191" s="58">
        <f ca="1">AVERAGE(OFFSET($BH$3,0,0,'Données projet'!$E$11+1,1))-AVERAGE(OFFSET($H$3,0,0,'Données projet'!$E$11+1,1))</f>
        <v>336.25341821407534</v>
      </c>
      <c r="BJ191" s="58">
        <f t="shared" si="146"/>
        <v>360.3246221345039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6.5089786402803745E-2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6.5089786402803745E-2</v>
      </c>
      <c r="BT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projet'!$B$12,Paramètres!$A$1:$I$89,3,0)*VLOOKUP('Données projet'!$B$12,Paramètres!$A$1:$I$89,5,0)</f>
        <v>4.6111381379887463E-14</v>
      </c>
      <c r="CA191" s="14">
        <f t="shared" si="170"/>
        <v>7.5804141040779151E-13</v>
      </c>
      <c r="CB191" s="22">
        <f t="shared" si="171"/>
        <v>1.4005661123635408E-12</v>
      </c>
      <c r="CC191" s="58">
        <f t="shared" si="119"/>
        <v>289.91839713868166</v>
      </c>
      <c r="CD191" s="58">
        <f ca="1">AVERAGE(OFFSET($CC$3,0,0,'Données projet'!$E$12+1,1))-AVERAGE(OFFSET($H$3,0,0,'Données projet'!$E$12+1,1))</f>
        <v>308.58270639204238</v>
      </c>
      <c r="CE191" s="58">
        <f t="shared" si="148"/>
        <v>258.90832875500325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5.4092197387944907E-14</v>
      </c>
      <c r="CV191" s="14">
        <f t="shared" si="173"/>
        <v>8.7287050538073676E-13</v>
      </c>
      <c r="CW191" s="22">
        <f t="shared" si="174"/>
        <v>1.6144600406554537E-12</v>
      </c>
      <c r="CX191" s="58">
        <f t="shared" si="122"/>
        <v>289.91839713868183</v>
      </c>
      <c r="CY191" s="58">
        <f ca="1">AVERAGE(OFFSET($CX$3,0,0,'Données projet'!$E$13+1,1))-AVERAGE(OFFSET($H$3,0,0,'Données projet'!$E$13+1,1))</f>
        <v>397.61813291201469</v>
      </c>
      <c r="CZ191" s="58">
        <f t="shared" si="150"/>
        <v>320.30651625485064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3.9766297331585897E-2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3.9766297331585897E-2</v>
      </c>
      <c r="DJ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58" t="e">
        <f t="shared" si="125"/>
        <v>#N/A</v>
      </c>
      <c r="DT191" s="58" t="e">
        <f ca="1">AVERAGE(OFFSET($DS$3,0,0,'Données projet'!$E$14+1,1))-AVERAGE(OFFSET($H$3,0,0,'Données projet'!$E$14+1,1))</f>
        <v>#N/A</v>
      </c>
      <c r="DU191" s="58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58" t="e">
        <f t="shared" si="128"/>
        <v>#N/A</v>
      </c>
      <c r="EO191" s="58" t="e">
        <f ca="1">AVERAGE(OFFSET($EN$3,0,0,'Données projet'!$E$15+1,1))-AVERAGE(OFFSET($H$3,0,0,'Données projet'!$E$15+1,1))</f>
        <v>#N/A</v>
      </c>
      <c r="EP191" s="58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58" t="e">
        <f t="shared" si="131"/>
        <v>#N/A</v>
      </c>
      <c r="FJ191" s="58" t="e">
        <f ca="1">AVERAGE(OFFSET($FI$3,0,0,'Données projet'!$E$16+1,1))-AVERAGE(OFFSET($H$3,0,0,'Données projet'!$E$16+1,1))</f>
        <v>#N/A</v>
      </c>
      <c r="FK191" s="58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58" t="e">
        <f t="shared" si="134"/>
        <v>#N/A</v>
      </c>
      <c r="GE191" s="58" t="e">
        <f ca="1">AVERAGE(OFFSET($GD$3,0,0,'Données projet'!$E$17+1,1))-AVERAGE(OFFSET($H$3,0,0,'Données projet'!$E$17+1,1))</f>
        <v>#N/A</v>
      </c>
      <c r="GF191" s="58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58" t="e">
        <f t="shared" si="137"/>
        <v>#N/A</v>
      </c>
      <c r="GZ191" s="58" t="e">
        <f ca="1">AVERAGE(OFFSET($GY$3,0,0,'Données projet'!$E$18+1,1))-AVERAGE(OFFSET($H$3,0,0,'Données projet'!$E$18+1,1))</f>
        <v>#N/A</v>
      </c>
      <c r="HA191" s="58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0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3">
        <f t="shared" si="110"/>
        <v>183.33333333333334</v>
      </c>
      <c r="I192" s="6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1.0231815394945443E-12</v>
      </c>
      <c r="O192" s="14">
        <f>N192*VLOOKUP('Données projet'!$B$9,Paramètres!$A$1:$I$89,3,0)*VLOOKUP('Données projet'!$B$9,Paramètres!$A$1:$I$89,5,0)</f>
        <v>8.6192812887020418E-13</v>
      </c>
      <c r="P192" s="14">
        <f t="shared" si="141"/>
        <v>1.007707029837753E-11</v>
      </c>
      <c r="Q192" s="22">
        <f t="shared" si="162"/>
        <v>1.9052088927456466E-11</v>
      </c>
      <c r="R192" s="58">
        <f t="shared" si="109"/>
        <v>289.9776386470229</v>
      </c>
      <c r="S192" s="58">
        <f ca="1">AVERAGE(OFFSET($R$3,0,0,'Données projet'!$E$9+1,1))-AVERAGE(OFFSET($H$3,0,0,'Données projet'!$E$9+1,1))</f>
        <v>527.70171871461309</v>
      </c>
      <c r="T192" s="58">
        <f t="shared" si="142"/>
        <v>281.06176764290592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7.4487616075202823E-14</v>
      </c>
      <c r="AK192" s="14">
        <f t="shared" si="164"/>
        <v>1.1580453144473142E-12</v>
      </c>
      <c r="AL192" s="22">
        <f t="shared" si="165"/>
        <v>2.1466615206600508E-12</v>
      </c>
      <c r="AM192" s="58">
        <f t="shared" si="113"/>
        <v>289.97763864700602</v>
      </c>
      <c r="AN192" s="58">
        <f ca="1">AVERAGE(OFFSET($AM$3,0,0,'Données projet'!$E$10+1,1))-AVERAGE(OFFSET($H$3,0,0,'Données projet'!$E$10+1,1))</f>
        <v>302.53318056366777</v>
      </c>
      <c r="AO192" s="58">
        <f t="shared" si="144"/>
        <v>318.32262615164541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3.3235942298045655E-2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3.3235942298045655E-2</v>
      </c>
      <c r="AY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9.1000000000003638</v>
      </c>
      <c r="BE192" s="14">
        <f>BD192*VLOOKUP('Données projet'!$B$11,Paramètres!$A$1:$I$89,3,0)*VLOOKUP('Données projet'!$B$11,Paramètres!$A$1:$I$89,5,0)</f>
        <v>7.2399600000002895</v>
      </c>
      <c r="BF192" s="14">
        <f t="shared" si="167"/>
        <v>2.6498112636338633</v>
      </c>
      <c r="BG192" s="22">
        <f t="shared" si="168"/>
        <v>17.224684950829481</v>
      </c>
      <c r="BH192" s="58">
        <f t="shared" si="116"/>
        <v>307.20232359783336</v>
      </c>
      <c r="BI192" s="58">
        <f ca="1">AVERAGE(OFFSET($BH$3,0,0,'Données projet'!$E$11+1,1))-AVERAGE(OFFSET($H$3,0,0,'Données projet'!$E$11+1,1))</f>
        <v>336.25341821407534</v>
      </c>
      <c r="BJ192" s="58">
        <f t="shared" si="146"/>
        <v>360.3246221345039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6.330990277069598E-2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6.330990277069598E-2</v>
      </c>
      <c r="BT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projet'!$B$12,Paramètres!$A$1:$I$89,3,0)*VLOOKUP('Données projet'!$B$12,Paramètres!$A$1:$I$89,5,0)</f>
        <v>4.6111381379887463E-14</v>
      </c>
      <c r="CA192" s="14">
        <f t="shared" si="170"/>
        <v>7.5804141040779151E-13</v>
      </c>
      <c r="CB192" s="22">
        <f t="shared" si="171"/>
        <v>1.4005661123635408E-12</v>
      </c>
      <c r="CC192" s="58">
        <f t="shared" si="119"/>
        <v>289.97763864700528</v>
      </c>
      <c r="CD192" s="58">
        <f ca="1">AVERAGE(OFFSET($CC$3,0,0,'Données projet'!$E$12+1,1))-AVERAGE(OFFSET($H$3,0,0,'Données projet'!$E$12+1,1))</f>
        <v>308.58270639204238</v>
      </c>
      <c r="CE192" s="58">
        <f t="shared" si="148"/>
        <v>258.90832875500325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5.4092197387944907E-14</v>
      </c>
      <c r="CV192" s="14">
        <f t="shared" si="173"/>
        <v>8.7287050538073676E-13</v>
      </c>
      <c r="CW192" s="22">
        <f t="shared" si="174"/>
        <v>1.6144600406554537E-12</v>
      </c>
      <c r="CX192" s="58">
        <f t="shared" si="122"/>
        <v>289.97763864700545</v>
      </c>
      <c r="CY192" s="58">
        <f ca="1">AVERAGE(OFFSET($CX$3,0,0,'Données projet'!$E$13+1,1))-AVERAGE(OFFSET($H$3,0,0,'Données projet'!$E$13+1,1))</f>
        <v>397.61813291201469</v>
      </c>
      <c r="CZ192" s="58">
        <f t="shared" si="150"/>
        <v>320.30651625485064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3.8678885839834989E-2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3.8678885839834989E-2</v>
      </c>
      <c r="DJ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58" t="e">
        <f t="shared" si="125"/>
        <v>#N/A</v>
      </c>
      <c r="DT192" s="58" t="e">
        <f ca="1">AVERAGE(OFFSET($DS$3,0,0,'Données projet'!$E$14+1,1))-AVERAGE(OFFSET($H$3,0,0,'Données projet'!$E$14+1,1))</f>
        <v>#N/A</v>
      </c>
      <c r="DU192" s="58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58" t="e">
        <f t="shared" si="128"/>
        <v>#N/A</v>
      </c>
      <c r="EO192" s="58" t="e">
        <f ca="1">AVERAGE(OFFSET($EN$3,0,0,'Données projet'!$E$15+1,1))-AVERAGE(OFFSET($H$3,0,0,'Données projet'!$E$15+1,1))</f>
        <v>#N/A</v>
      </c>
      <c r="EP192" s="58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58" t="e">
        <f t="shared" si="131"/>
        <v>#N/A</v>
      </c>
      <c r="FJ192" s="58" t="e">
        <f ca="1">AVERAGE(OFFSET($FI$3,0,0,'Données projet'!$E$16+1,1))-AVERAGE(OFFSET($H$3,0,0,'Données projet'!$E$16+1,1))</f>
        <v>#N/A</v>
      </c>
      <c r="FK192" s="58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58" t="e">
        <f t="shared" si="134"/>
        <v>#N/A</v>
      </c>
      <c r="GE192" s="58" t="e">
        <f ca="1">AVERAGE(OFFSET($GD$3,0,0,'Données projet'!$E$17+1,1))-AVERAGE(OFFSET($H$3,0,0,'Données projet'!$E$17+1,1))</f>
        <v>#N/A</v>
      </c>
      <c r="GF192" s="58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58" t="e">
        <f t="shared" si="137"/>
        <v>#N/A</v>
      </c>
      <c r="GZ192" s="58" t="e">
        <f ca="1">AVERAGE(OFFSET($GY$3,0,0,'Données projet'!$E$18+1,1))-AVERAGE(OFFSET($H$3,0,0,'Données projet'!$E$18+1,1))</f>
        <v>#N/A</v>
      </c>
      <c r="HA192" s="58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0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3">
        <f t="shared" si="110"/>
        <v>183.33333333333334</v>
      </c>
      <c r="I193" s="6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1.0231815394945443E-12</v>
      </c>
      <c r="O193" s="14">
        <f>N193*VLOOKUP('Données projet'!$B$9,Paramètres!$A$1:$I$89,3,0)*VLOOKUP('Données projet'!$B$9,Paramètres!$A$1:$I$89,5,0)</f>
        <v>8.6192812887020418E-13</v>
      </c>
      <c r="P193" s="14">
        <f t="shared" si="141"/>
        <v>1.007707029837753E-11</v>
      </c>
      <c r="Q193" s="22">
        <f t="shared" si="162"/>
        <v>1.9052088927456466E-11</v>
      </c>
      <c r="R193" s="58">
        <f t="shared" si="109"/>
        <v>290.03585244762132</v>
      </c>
      <c r="S193" s="58">
        <f ca="1">AVERAGE(OFFSET($R$3,0,0,'Données projet'!$E$9+1,1))-AVERAGE(OFFSET($H$3,0,0,'Données projet'!$E$9+1,1))</f>
        <v>527.70171871461309</v>
      </c>
      <c r="T193" s="58">
        <f t="shared" si="142"/>
        <v>281.06176764290592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7.4487616075202823E-14</v>
      </c>
      <c r="AK193" s="14">
        <f t="shared" si="164"/>
        <v>1.1580453144473142E-12</v>
      </c>
      <c r="AL193" s="22">
        <f t="shared" si="165"/>
        <v>2.1466615206600508E-12</v>
      </c>
      <c r="AM193" s="58">
        <f t="shared" si="113"/>
        <v>290.03585244760444</v>
      </c>
      <c r="AN193" s="58">
        <f ca="1">AVERAGE(OFFSET($AM$3,0,0,'Données projet'!$E$10+1,1))-AVERAGE(OFFSET($H$3,0,0,'Données projet'!$E$10+1,1))</f>
        <v>302.53318056366777</v>
      </c>
      <c r="AO193" s="58">
        <f t="shared" si="144"/>
        <v>318.32262615164541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3.232710370810335E-2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3.232710370810335E-2</v>
      </c>
      <c r="AY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9.1000000000003638</v>
      </c>
      <c r="BE193" s="14">
        <f>BD193*VLOOKUP('Données projet'!$B$11,Paramètres!$A$1:$I$89,3,0)*VLOOKUP('Données projet'!$B$11,Paramètres!$A$1:$I$89,5,0)</f>
        <v>7.2399600000002895</v>
      </c>
      <c r="BF193" s="14">
        <f t="shared" si="167"/>
        <v>2.6498112636338633</v>
      </c>
      <c r="BG193" s="22">
        <f t="shared" si="168"/>
        <v>17.224684950829481</v>
      </c>
      <c r="BH193" s="58">
        <f t="shared" si="116"/>
        <v>307.26053739843178</v>
      </c>
      <c r="BI193" s="58">
        <f ca="1">AVERAGE(OFFSET($BH$3,0,0,'Données projet'!$E$11+1,1))-AVERAGE(OFFSET($H$3,0,0,'Données projet'!$E$11+1,1))</f>
        <v>336.25341821407534</v>
      </c>
      <c r="BJ193" s="58">
        <f t="shared" si="146"/>
        <v>360.3246221345039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6.1578690150108209E-2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6.1578690150108209E-2</v>
      </c>
      <c r="BT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projet'!$B$12,Paramètres!$A$1:$I$89,3,0)*VLOOKUP('Données projet'!$B$12,Paramètres!$A$1:$I$89,5,0)</f>
        <v>4.6111381379887463E-14</v>
      </c>
      <c r="CA193" s="14">
        <f t="shared" si="170"/>
        <v>7.5804141040779151E-13</v>
      </c>
      <c r="CB193" s="22">
        <f t="shared" si="171"/>
        <v>1.4005661123635408E-12</v>
      </c>
      <c r="CC193" s="58">
        <f t="shared" si="119"/>
        <v>290.0358524476037</v>
      </c>
      <c r="CD193" s="58">
        <f ca="1">AVERAGE(OFFSET($CC$3,0,0,'Données projet'!$E$12+1,1))-AVERAGE(OFFSET($H$3,0,0,'Données projet'!$E$12+1,1))</f>
        <v>308.58270639204238</v>
      </c>
      <c r="CE193" s="58">
        <f t="shared" si="148"/>
        <v>258.90832875500325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5.4092197387944907E-14</v>
      </c>
      <c r="CV193" s="14">
        <f t="shared" si="173"/>
        <v>8.7287050538073676E-13</v>
      </c>
      <c r="CW193" s="22">
        <f t="shared" si="174"/>
        <v>1.6144600406554537E-12</v>
      </c>
      <c r="CX193" s="58">
        <f t="shared" si="122"/>
        <v>290.03585244760387</v>
      </c>
      <c r="CY193" s="58">
        <f ca="1">AVERAGE(OFFSET($CX$3,0,0,'Données projet'!$E$13+1,1))-AVERAGE(OFFSET($H$3,0,0,'Données projet'!$E$13+1,1))</f>
        <v>397.61813291201469</v>
      </c>
      <c r="CZ193" s="58">
        <f t="shared" si="150"/>
        <v>320.30651625485064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3.7621209672510494E-2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3.7621209672510494E-2</v>
      </c>
      <c r="DJ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58" t="e">
        <f t="shared" si="125"/>
        <v>#N/A</v>
      </c>
      <c r="DT193" s="58" t="e">
        <f ca="1">AVERAGE(OFFSET($DS$3,0,0,'Données projet'!$E$14+1,1))-AVERAGE(OFFSET($H$3,0,0,'Données projet'!$E$14+1,1))</f>
        <v>#N/A</v>
      </c>
      <c r="DU193" s="58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58" t="e">
        <f t="shared" si="128"/>
        <v>#N/A</v>
      </c>
      <c r="EO193" s="58" t="e">
        <f ca="1">AVERAGE(OFFSET($EN$3,0,0,'Données projet'!$E$15+1,1))-AVERAGE(OFFSET($H$3,0,0,'Données projet'!$E$15+1,1))</f>
        <v>#N/A</v>
      </c>
      <c r="EP193" s="58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58" t="e">
        <f t="shared" si="131"/>
        <v>#N/A</v>
      </c>
      <c r="FJ193" s="58" t="e">
        <f ca="1">AVERAGE(OFFSET($FI$3,0,0,'Données projet'!$E$16+1,1))-AVERAGE(OFFSET($H$3,0,0,'Données projet'!$E$16+1,1))</f>
        <v>#N/A</v>
      </c>
      <c r="FK193" s="58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58" t="e">
        <f t="shared" si="134"/>
        <v>#N/A</v>
      </c>
      <c r="GE193" s="58" t="e">
        <f ca="1">AVERAGE(OFFSET($GD$3,0,0,'Données projet'!$E$17+1,1))-AVERAGE(OFFSET($H$3,0,0,'Données projet'!$E$17+1,1))</f>
        <v>#N/A</v>
      </c>
      <c r="GF193" s="58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58" t="e">
        <f t="shared" si="137"/>
        <v>#N/A</v>
      </c>
      <c r="GZ193" s="58" t="e">
        <f ca="1">AVERAGE(OFFSET($GY$3,0,0,'Données projet'!$E$18+1,1))-AVERAGE(OFFSET($H$3,0,0,'Données projet'!$E$18+1,1))</f>
        <v>#N/A</v>
      </c>
      <c r="HA193" s="58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0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3">
        <f t="shared" si="110"/>
        <v>183.33333333333334</v>
      </c>
      <c r="I194" s="6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1.0231815394945443E-12</v>
      </c>
      <c r="O194" s="14">
        <f>N194*VLOOKUP('Données projet'!$B$9,Paramètres!$A$1:$I$89,3,0)*VLOOKUP('Données projet'!$B$9,Paramètres!$A$1:$I$89,5,0)</f>
        <v>8.6192812887020418E-13</v>
      </c>
      <c r="P194" s="14">
        <f t="shared" si="141"/>
        <v>1.007707029837753E-11</v>
      </c>
      <c r="Q194" s="22">
        <f t="shared" si="162"/>
        <v>1.9052088927456466E-11</v>
      </c>
      <c r="R194" s="58">
        <f t="shared" si="109"/>
        <v>290.09305636892589</v>
      </c>
      <c r="S194" s="58">
        <f ca="1">AVERAGE(OFFSET($R$3,0,0,'Données projet'!$E$9+1,1))-AVERAGE(OFFSET($H$3,0,0,'Données projet'!$E$9+1,1))</f>
        <v>527.70171871461309</v>
      </c>
      <c r="T194" s="58">
        <f t="shared" si="142"/>
        <v>281.06176764290592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7.4487616075202823E-14</v>
      </c>
      <c r="AK194" s="14">
        <f t="shared" si="164"/>
        <v>1.1580453144473142E-12</v>
      </c>
      <c r="AL194" s="22">
        <f t="shared" si="165"/>
        <v>2.1466615206600508E-12</v>
      </c>
      <c r="AM194" s="58">
        <f t="shared" si="113"/>
        <v>290.093056368909</v>
      </c>
      <c r="AN194" s="58">
        <f ca="1">AVERAGE(OFFSET($AM$3,0,0,'Données projet'!$E$10+1,1))-AVERAGE(OFFSET($H$3,0,0,'Données projet'!$E$10+1,1))</f>
        <v>302.53318056366777</v>
      </c>
      <c r="AO194" s="58">
        <f t="shared" si="144"/>
        <v>318.32262615164541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3.1443117357196765E-2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3.1443117357196765E-2</v>
      </c>
      <c r="AY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9.1000000000003638</v>
      </c>
      <c r="BE194" s="14">
        <f>BD194*VLOOKUP('Données projet'!$B$11,Paramètres!$A$1:$I$89,3,0)*VLOOKUP('Données projet'!$B$11,Paramètres!$A$1:$I$89,5,0)</f>
        <v>7.2399600000002895</v>
      </c>
      <c r="BF194" s="14">
        <f t="shared" si="167"/>
        <v>2.6498112636338633</v>
      </c>
      <c r="BG194" s="22">
        <f t="shared" si="168"/>
        <v>17.224684950829481</v>
      </c>
      <c r="BH194" s="58">
        <f t="shared" si="116"/>
        <v>307.31774131973634</v>
      </c>
      <c r="BI194" s="58">
        <f ca="1">AVERAGE(OFFSET($BH$3,0,0,'Données projet'!$E$11+1,1))-AVERAGE(OFFSET($H$3,0,0,'Données projet'!$E$11+1,1))</f>
        <v>336.25341821407534</v>
      </c>
      <c r="BJ194" s="58">
        <f t="shared" si="146"/>
        <v>360.3246221345039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5.9894817629670923E-2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5.9894817629670923E-2</v>
      </c>
      <c r="BT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projet'!$B$12,Paramètres!$A$1:$I$89,3,0)*VLOOKUP('Données projet'!$B$12,Paramètres!$A$1:$I$89,5,0)</f>
        <v>4.6111381379887463E-14</v>
      </c>
      <c r="CA194" s="14">
        <f t="shared" si="170"/>
        <v>7.5804141040779151E-13</v>
      </c>
      <c r="CB194" s="22">
        <f t="shared" si="171"/>
        <v>1.4005661123635408E-12</v>
      </c>
      <c r="CC194" s="58">
        <f t="shared" si="119"/>
        <v>290.09305636890826</v>
      </c>
      <c r="CD194" s="58">
        <f ca="1">AVERAGE(OFFSET($CC$3,0,0,'Données projet'!$E$12+1,1))-AVERAGE(OFFSET($H$3,0,0,'Données projet'!$E$12+1,1))</f>
        <v>308.58270639204238</v>
      </c>
      <c r="CE194" s="58">
        <f t="shared" si="148"/>
        <v>258.90832875500325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5.4092197387944907E-14</v>
      </c>
      <c r="CV194" s="14">
        <f t="shared" si="173"/>
        <v>8.7287050538073676E-13</v>
      </c>
      <c r="CW194" s="22">
        <f t="shared" si="174"/>
        <v>1.6144600406554537E-12</v>
      </c>
      <c r="CX194" s="58">
        <f t="shared" si="122"/>
        <v>290.09305636890844</v>
      </c>
      <c r="CY194" s="58">
        <f ca="1">AVERAGE(OFFSET($CX$3,0,0,'Données projet'!$E$13+1,1))-AVERAGE(OFFSET($H$3,0,0,'Données projet'!$E$13+1,1))</f>
        <v>397.61813291201469</v>
      </c>
      <c r="CZ194" s="58">
        <f t="shared" si="150"/>
        <v>320.30651625485064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3.6592455715602261E-2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3.6592455715602261E-2</v>
      </c>
      <c r="DJ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58" t="e">
        <f t="shared" si="125"/>
        <v>#N/A</v>
      </c>
      <c r="DT194" s="58" t="e">
        <f ca="1">AVERAGE(OFFSET($DS$3,0,0,'Données projet'!$E$14+1,1))-AVERAGE(OFFSET($H$3,0,0,'Données projet'!$E$14+1,1))</f>
        <v>#N/A</v>
      </c>
      <c r="DU194" s="58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58" t="e">
        <f t="shared" si="128"/>
        <v>#N/A</v>
      </c>
      <c r="EO194" s="58" t="e">
        <f ca="1">AVERAGE(OFFSET($EN$3,0,0,'Données projet'!$E$15+1,1))-AVERAGE(OFFSET($H$3,0,0,'Données projet'!$E$15+1,1))</f>
        <v>#N/A</v>
      </c>
      <c r="EP194" s="58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58" t="e">
        <f t="shared" si="131"/>
        <v>#N/A</v>
      </c>
      <c r="FJ194" s="58" t="e">
        <f ca="1">AVERAGE(OFFSET($FI$3,0,0,'Données projet'!$E$16+1,1))-AVERAGE(OFFSET($H$3,0,0,'Données projet'!$E$16+1,1))</f>
        <v>#N/A</v>
      </c>
      <c r="FK194" s="58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58" t="e">
        <f t="shared" si="134"/>
        <v>#N/A</v>
      </c>
      <c r="GE194" s="58" t="e">
        <f ca="1">AVERAGE(OFFSET($GD$3,0,0,'Données projet'!$E$17+1,1))-AVERAGE(OFFSET($H$3,0,0,'Données projet'!$E$17+1,1))</f>
        <v>#N/A</v>
      </c>
      <c r="GF194" s="58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58" t="e">
        <f t="shared" si="137"/>
        <v>#N/A</v>
      </c>
      <c r="GZ194" s="58" t="e">
        <f ca="1">AVERAGE(OFFSET($GY$3,0,0,'Données projet'!$E$18+1,1))-AVERAGE(OFFSET($H$3,0,0,'Données projet'!$E$18+1,1))</f>
        <v>#N/A</v>
      </c>
      <c r="HA194" s="58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0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3">
        <f t="shared" si="110"/>
        <v>183.33333333333334</v>
      </c>
      <c r="I195" s="6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1.0231815394945443E-12</v>
      </c>
      <c r="O195" s="14">
        <f>N195*VLOOKUP('Données projet'!$B$9,Paramètres!$A$1:$I$89,3,0)*VLOOKUP('Données projet'!$B$9,Paramètres!$A$1:$I$89,5,0)</f>
        <v>8.6192812887020418E-13</v>
      </c>
      <c r="P195" s="14">
        <f t="shared" si="141"/>
        <v>1.007707029837753E-11</v>
      </c>
      <c r="Q195" s="22">
        <f t="shared" si="162"/>
        <v>1.9052088927456466E-11</v>
      </c>
      <c r="R195" s="58">
        <f t="shared" ref="R195:R203" si="191">Q195+(I195+J195)*44/12</f>
        <v>290.1492679300847</v>
      </c>
      <c r="S195" s="58">
        <f ca="1">AVERAGE(OFFSET($R$3,0,0,'Données projet'!$E$9+1,1))-AVERAGE(OFFSET($H$3,0,0,'Données projet'!$E$9+1,1))</f>
        <v>527.70171871461309</v>
      </c>
      <c r="T195" s="58">
        <f t="shared" si="142"/>
        <v>281.06176764290592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7.4487616075202823E-14</v>
      </c>
      <c r="AK195" s="14">
        <f t="shared" si="164"/>
        <v>1.1580453144473142E-12</v>
      </c>
      <c r="AL195" s="22">
        <f t="shared" si="165"/>
        <v>2.1466615206600508E-12</v>
      </c>
      <c r="AM195" s="58">
        <f t="shared" si="113"/>
        <v>290.14926793006782</v>
      </c>
      <c r="AN195" s="58">
        <f ca="1">AVERAGE(OFFSET($AM$3,0,0,'Données projet'!$E$10+1,1))-AVERAGE(OFFSET($H$3,0,0,'Données projet'!$E$10+1,1))</f>
        <v>302.53318056366777</v>
      </c>
      <c r="AO195" s="58">
        <f t="shared" si="144"/>
        <v>318.32262615164541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3.0583303659542541E-2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3.0583303659542541E-2</v>
      </c>
      <c r="AY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9.1000000000003638</v>
      </c>
      <c r="BE195" s="14">
        <f>BD195*VLOOKUP('Données projet'!$B$11,Paramètres!$A$1:$I$89,3,0)*VLOOKUP('Données projet'!$B$11,Paramètres!$A$1:$I$89,5,0)</f>
        <v>7.2399600000002895</v>
      </c>
      <c r="BF195" s="14">
        <f t="shared" si="167"/>
        <v>2.6498112636338633</v>
      </c>
      <c r="BG195" s="22">
        <f t="shared" si="168"/>
        <v>17.224684950829481</v>
      </c>
      <c r="BH195" s="58">
        <f t="shared" si="116"/>
        <v>307.37395288089516</v>
      </c>
      <c r="BI195" s="58">
        <f ca="1">AVERAGE(OFFSET($BH$3,0,0,'Données projet'!$E$11+1,1))-AVERAGE(OFFSET($H$3,0,0,'Données projet'!$E$11+1,1))</f>
        <v>336.25341821407534</v>
      </c>
      <c r="BJ195" s="58">
        <f t="shared" si="146"/>
        <v>360.3246221345039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5.8256990691856005E-2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5.8256990691856005E-2</v>
      </c>
      <c r="BT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projet'!$B$12,Paramètres!$A$1:$I$89,3,0)*VLOOKUP('Données projet'!$B$12,Paramètres!$A$1:$I$89,5,0)</f>
        <v>4.6111381379887463E-14</v>
      </c>
      <c r="CA195" s="14">
        <f t="shared" si="170"/>
        <v>7.5804141040779151E-13</v>
      </c>
      <c r="CB195" s="22">
        <f t="shared" si="171"/>
        <v>1.4005661123635408E-12</v>
      </c>
      <c r="CC195" s="58">
        <f t="shared" si="119"/>
        <v>290.14926793006708</v>
      </c>
      <c r="CD195" s="58">
        <f ca="1">AVERAGE(OFFSET($CC$3,0,0,'Données projet'!$E$12+1,1))-AVERAGE(OFFSET($H$3,0,0,'Données projet'!$E$12+1,1))</f>
        <v>308.58270639204238</v>
      </c>
      <c r="CE195" s="58">
        <f t="shared" si="148"/>
        <v>258.90832875500325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5.4092197387944907E-14</v>
      </c>
      <c r="CV195" s="14">
        <f t="shared" si="173"/>
        <v>8.7287050538073676E-13</v>
      </c>
      <c r="CW195" s="22">
        <f t="shared" si="174"/>
        <v>1.6144600406554537E-12</v>
      </c>
      <c r="CX195" s="58">
        <f t="shared" si="122"/>
        <v>290.14926793006725</v>
      </c>
      <c r="CY195" s="58">
        <f ca="1">AVERAGE(OFFSET($CX$3,0,0,'Données projet'!$E$13+1,1))-AVERAGE(OFFSET($H$3,0,0,'Données projet'!$E$13+1,1))</f>
        <v>397.61813291201469</v>
      </c>
      <c r="CZ195" s="58">
        <f t="shared" si="150"/>
        <v>320.30651625485064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3.5591833089745506E-2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3.5591833089745506E-2</v>
      </c>
      <c r="DJ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58" t="e">
        <f t="shared" si="125"/>
        <v>#N/A</v>
      </c>
      <c r="DT195" s="58" t="e">
        <f ca="1">AVERAGE(OFFSET($DS$3,0,0,'Données projet'!$E$14+1,1))-AVERAGE(OFFSET($H$3,0,0,'Données projet'!$E$14+1,1))</f>
        <v>#N/A</v>
      </c>
      <c r="DU195" s="58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58" t="e">
        <f t="shared" si="128"/>
        <v>#N/A</v>
      </c>
      <c r="EO195" s="58" t="e">
        <f ca="1">AVERAGE(OFFSET($EN$3,0,0,'Données projet'!$E$15+1,1))-AVERAGE(OFFSET($H$3,0,0,'Données projet'!$E$15+1,1))</f>
        <v>#N/A</v>
      </c>
      <c r="EP195" s="58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58" t="e">
        <f t="shared" si="131"/>
        <v>#N/A</v>
      </c>
      <c r="FJ195" s="58" t="e">
        <f ca="1">AVERAGE(OFFSET($FI$3,0,0,'Données projet'!$E$16+1,1))-AVERAGE(OFFSET($H$3,0,0,'Données projet'!$E$16+1,1))</f>
        <v>#N/A</v>
      </c>
      <c r="FK195" s="58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58" t="e">
        <f t="shared" si="134"/>
        <v>#N/A</v>
      </c>
      <c r="GE195" s="58" t="e">
        <f ca="1">AVERAGE(OFFSET($GD$3,0,0,'Données projet'!$E$17+1,1))-AVERAGE(OFFSET($H$3,0,0,'Données projet'!$E$17+1,1))</f>
        <v>#N/A</v>
      </c>
      <c r="GF195" s="58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58" t="e">
        <f t="shared" si="137"/>
        <v>#N/A</v>
      </c>
      <c r="GZ195" s="58" t="e">
        <f ca="1">AVERAGE(OFFSET($GY$3,0,0,'Données projet'!$E$18+1,1))-AVERAGE(OFFSET($H$3,0,0,'Données projet'!$E$18+1,1))</f>
        <v>#N/A</v>
      </c>
      <c r="HA195" s="58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0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3">
        <f t="shared" ref="H196:H203" si="192">(B196+E196+F196)*44/12+(C196+D196)*0.475*44/12</f>
        <v>183.33333333333334</v>
      </c>
      <c r="I196" s="6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1.0231815394945443E-12</v>
      </c>
      <c r="O196" s="14">
        <f>N196*VLOOKUP('Données projet'!$B$9,Paramètres!$A$1:$I$89,3,0)*VLOOKUP('Données projet'!$B$9,Paramètres!$A$1:$I$89,5,0)</f>
        <v>8.6192812887020418E-13</v>
      </c>
      <c r="P196" s="14">
        <f t="shared" si="141"/>
        <v>1.007707029837753E-11</v>
      </c>
      <c r="Q196" s="22">
        <f t="shared" si="162"/>
        <v>1.9052088927456466E-11</v>
      </c>
      <c r="R196" s="58">
        <f t="shared" si="191"/>
        <v>290.20450434632755</v>
      </c>
      <c r="S196" s="58">
        <f ca="1">AVERAGE(OFFSET($R$3,0,0,'Données projet'!$E$9+1,1))-AVERAGE(OFFSET($H$3,0,0,'Données projet'!$E$9+1,1))</f>
        <v>527.70171871461309</v>
      </c>
      <c r="T196" s="58">
        <f t="shared" si="142"/>
        <v>281.06176764290592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7.4487616075202823E-14</v>
      </c>
      <c r="AK196" s="14">
        <f t="shared" si="164"/>
        <v>1.1580453144473142E-12</v>
      </c>
      <c r="AL196" s="22">
        <f t="shared" si="165"/>
        <v>2.1466615206600508E-12</v>
      </c>
      <c r="AM196" s="58">
        <f t="shared" ref="AM196:AM203" si="193">AL196+(AD196+AE196)*44/12</f>
        <v>290.20450434631067</v>
      </c>
      <c r="AN196" s="58">
        <f ca="1">AVERAGE(OFFSET($AM$3,0,0,'Données projet'!$E$10+1,1))-AVERAGE(OFFSET($H$3,0,0,'Données projet'!$E$10+1,1))</f>
        <v>302.53318056366777</v>
      </c>
      <c r="AO196" s="58">
        <f t="shared" si="144"/>
        <v>318.32262615164541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2.9747001612666309E-2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2.9747001612666309E-2</v>
      </c>
      <c r="AY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9.1000000000003638</v>
      </c>
      <c r="BE196" s="14">
        <f>BD196*VLOOKUP('Données projet'!$B$11,Paramètres!$A$1:$I$89,3,0)*VLOOKUP('Données projet'!$B$11,Paramètres!$A$1:$I$89,5,0)</f>
        <v>7.2399600000002895</v>
      </c>
      <c r="BF196" s="14">
        <f t="shared" si="167"/>
        <v>2.6498112636338633</v>
      </c>
      <c r="BG196" s="22">
        <f t="shared" si="168"/>
        <v>17.224684950829481</v>
      </c>
      <c r="BH196" s="58">
        <f t="shared" ref="BH196:BH203" si="194">BG196+(AY196+AZ196)*44/12</f>
        <v>307.42918929713801</v>
      </c>
      <c r="BI196" s="58">
        <f ca="1">AVERAGE(OFFSET($BH$3,0,0,'Données projet'!$E$11+1,1))-AVERAGE(OFFSET($H$3,0,0,'Données projet'!$E$11+1,1))</f>
        <v>336.25341821407534</v>
      </c>
      <c r="BJ196" s="58">
        <f t="shared" si="146"/>
        <v>360.3246221345039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5.6663950217785211E-2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5.6663950217785211E-2</v>
      </c>
      <c r="BT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projet'!$B$12,Paramètres!$A$1:$I$89,3,0)*VLOOKUP('Données projet'!$B$12,Paramètres!$A$1:$I$89,5,0)</f>
        <v>4.6111381379887463E-14</v>
      </c>
      <c r="CA196" s="14">
        <f t="shared" si="170"/>
        <v>7.5804141040779151E-13</v>
      </c>
      <c r="CB196" s="22">
        <f t="shared" si="171"/>
        <v>1.4005661123635408E-12</v>
      </c>
      <c r="CC196" s="58">
        <f t="shared" ref="CC196:CC203" si="195">CB196+(BT196+BU196)*44/12</f>
        <v>290.20450434630993</v>
      </c>
      <c r="CD196" s="58">
        <f ca="1">AVERAGE(OFFSET($CC$3,0,0,'Données projet'!$E$12+1,1))-AVERAGE(OFFSET($H$3,0,0,'Données projet'!$E$12+1,1))</f>
        <v>308.58270639204238</v>
      </c>
      <c r="CE196" s="58">
        <f t="shared" si="148"/>
        <v>258.90832875500325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5.4092197387944907E-14</v>
      </c>
      <c r="CV196" s="14">
        <f t="shared" si="173"/>
        <v>8.7287050538073676E-13</v>
      </c>
      <c r="CW196" s="22">
        <f t="shared" si="174"/>
        <v>1.6144600406554537E-12</v>
      </c>
      <c r="CX196" s="58">
        <f t="shared" ref="CX196:CX203" si="196">CW196+(CO196+CP196)*44/12</f>
        <v>290.2045043463101</v>
      </c>
      <c r="CY196" s="58">
        <f ca="1">AVERAGE(OFFSET($CX$3,0,0,'Données projet'!$E$13+1,1))-AVERAGE(OFFSET($H$3,0,0,'Données projet'!$E$13+1,1))</f>
        <v>397.61813291201469</v>
      </c>
      <c r="CZ196" s="58">
        <f t="shared" si="150"/>
        <v>320.30651625485064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3.4618572542213261E-2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3.4618572542213261E-2</v>
      </c>
      <c r="DJ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58" t="e">
        <f t="shared" ref="DS196:DS203" si="197">DR196+(DJ196+DK196)*44/12</f>
        <v>#N/A</v>
      </c>
      <c r="DT196" s="58" t="e">
        <f ca="1">AVERAGE(OFFSET($DS$3,0,0,'Données projet'!$E$14+1,1))-AVERAGE(OFFSET($H$3,0,0,'Données projet'!$E$14+1,1))</f>
        <v>#N/A</v>
      </c>
      <c r="DU196" s="58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58" t="e">
        <f t="shared" ref="EN196:EN203" si="198">EM196+(EE196+EF196)*44/12</f>
        <v>#N/A</v>
      </c>
      <c r="EO196" s="58" t="e">
        <f ca="1">AVERAGE(OFFSET($EN$3,0,0,'Données projet'!$E$15+1,1))-AVERAGE(OFFSET($H$3,0,0,'Données projet'!$E$15+1,1))</f>
        <v>#N/A</v>
      </c>
      <c r="EP196" s="58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58" t="e">
        <f t="shared" ref="FI196:FI203" si="199">FH196+(EZ196+FA196)*44/12</f>
        <v>#N/A</v>
      </c>
      <c r="FJ196" s="58" t="e">
        <f ca="1">AVERAGE(OFFSET($FI$3,0,0,'Données projet'!$E$16+1,1))-AVERAGE(OFFSET($H$3,0,0,'Données projet'!$E$16+1,1))</f>
        <v>#N/A</v>
      </c>
      <c r="FK196" s="58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58" t="e">
        <f t="shared" ref="GD196:GD203" si="200">GC196+(FU196+FV196)*44/12</f>
        <v>#N/A</v>
      </c>
      <c r="GE196" s="58" t="e">
        <f ca="1">AVERAGE(OFFSET($GD$3,0,0,'Données projet'!$E$17+1,1))-AVERAGE(OFFSET($H$3,0,0,'Données projet'!$E$17+1,1))</f>
        <v>#N/A</v>
      </c>
      <c r="GF196" s="58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58" t="e">
        <f t="shared" ref="GY196:GY203" si="201">GX196+(GP196+GQ196)*44/12</f>
        <v>#N/A</v>
      </c>
      <c r="GZ196" s="58" t="e">
        <f ca="1">AVERAGE(OFFSET($GY$3,0,0,'Données projet'!$E$18+1,1))-AVERAGE(OFFSET($H$3,0,0,'Données projet'!$E$18+1,1))</f>
        <v>#N/A</v>
      </c>
      <c r="HA196" s="58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0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3">
        <f t="shared" si="192"/>
        <v>183.33333333333334</v>
      </c>
      <c r="I197" s="6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1.0231815394945443E-12</v>
      </c>
      <c r="O197" s="14">
        <f>N197*VLOOKUP('Données projet'!$B$9,Paramètres!$A$1:$I$89,3,0)*VLOOKUP('Données projet'!$B$9,Paramètres!$A$1:$I$89,5,0)</f>
        <v>8.6192812887020418E-13</v>
      </c>
      <c r="P197" s="14">
        <f t="shared" ref="P197:P203" si="203">EXP(-1.0587+0.8836*LN(O197)+0.284)</f>
        <v>1.007707029837753E-11</v>
      </c>
      <c r="Q197" s="22">
        <f t="shared" si="162"/>
        <v>1.9052088927456466E-11</v>
      </c>
      <c r="R197" s="58">
        <f t="shared" si="191"/>
        <v>290.25878253423878</v>
      </c>
      <c r="S197" s="58">
        <f ca="1">AVERAGE(OFFSET($R$3,0,0,'Données projet'!$E$9+1,1))-AVERAGE(OFFSET($H$3,0,0,'Données projet'!$E$9+1,1))</f>
        <v>527.70171871461309</v>
      </c>
      <c r="T197" s="58">
        <f t="shared" ref="T197:T203" si="204">$T$3</f>
        <v>281.06176764290592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7.4487616075202823E-14</v>
      </c>
      <c r="AK197" s="14">
        <f t="shared" si="164"/>
        <v>1.1580453144473142E-12</v>
      </c>
      <c r="AL197" s="22">
        <f t="shared" si="165"/>
        <v>2.1466615206600508E-12</v>
      </c>
      <c r="AM197" s="58">
        <f t="shared" si="193"/>
        <v>290.25878253422189</v>
      </c>
      <c r="AN197" s="58">
        <f ca="1">AVERAGE(OFFSET($AM$3,0,0,'Données projet'!$E$10+1,1))-AVERAGE(OFFSET($H$3,0,0,'Données projet'!$E$10+1,1))</f>
        <v>302.53318056366777</v>
      </c>
      <c r="AO197" s="58">
        <f t="shared" ref="AO197:AO203" si="205">$AO$3</f>
        <v>318.32262615164541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2.893356828924112E-2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2.893356828924112E-2</v>
      </c>
      <c r="AY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9.1000000000003638</v>
      </c>
      <c r="BE197" s="14">
        <f>BD197*VLOOKUP('Données projet'!$B$11,Paramètres!$A$1:$I$89,3,0)*VLOOKUP('Données projet'!$B$11,Paramètres!$A$1:$I$89,5,0)</f>
        <v>7.2399600000002895</v>
      </c>
      <c r="BF197" s="14">
        <f t="shared" si="167"/>
        <v>2.6498112636338633</v>
      </c>
      <c r="BG197" s="22">
        <f t="shared" si="168"/>
        <v>17.224684950829481</v>
      </c>
      <c r="BH197" s="58">
        <f t="shared" si="194"/>
        <v>307.48346748504923</v>
      </c>
      <c r="BI197" s="58">
        <f ca="1">AVERAGE(OFFSET($BH$3,0,0,'Données projet'!$E$11+1,1))-AVERAGE(OFFSET($H$3,0,0,'Données projet'!$E$11+1,1))</f>
        <v>336.25341821407534</v>
      </c>
      <c r="BJ197" s="58">
        <f t="shared" ref="BJ197:BJ203" si="206">$BJ$3</f>
        <v>360.3246221345039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5.5114471519252237E-2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5.5114471519252237E-2</v>
      </c>
      <c r="BT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projet'!$B$12,Paramètres!$A$1:$I$89,3,0)*VLOOKUP('Données projet'!$B$12,Paramètres!$A$1:$I$89,5,0)</f>
        <v>4.6111381379887463E-14</v>
      </c>
      <c r="CA197" s="14">
        <f t="shared" si="170"/>
        <v>7.5804141040779151E-13</v>
      </c>
      <c r="CB197" s="22">
        <f t="shared" si="171"/>
        <v>1.4005661123635408E-12</v>
      </c>
      <c r="CC197" s="58">
        <f t="shared" si="195"/>
        <v>290.25878253422115</v>
      </c>
      <c r="CD197" s="58">
        <f ca="1">AVERAGE(OFFSET($CC$3,0,0,'Données projet'!$E$12+1,1))-AVERAGE(OFFSET($H$3,0,0,'Données projet'!$E$12+1,1))</f>
        <v>308.58270639204238</v>
      </c>
      <c r="CE197" s="58">
        <f t="shared" ref="CE197:CE203" si="207">$CE$3</f>
        <v>258.90832875500325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5.4092197387944907E-14</v>
      </c>
      <c r="CV197" s="14">
        <f t="shared" si="173"/>
        <v>8.7287050538073676E-13</v>
      </c>
      <c r="CW197" s="22">
        <f t="shared" si="174"/>
        <v>1.6144600406554537E-12</v>
      </c>
      <c r="CX197" s="58">
        <f t="shared" si="196"/>
        <v>290.25878253422133</v>
      </c>
      <c r="CY197" s="58">
        <f ca="1">AVERAGE(OFFSET($CX$3,0,0,'Données projet'!$E$13+1,1))-AVERAGE(OFFSET($H$3,0,0,'Données projet'!$E$13+1,1))</f>
        <v>397.61813291201469</v>
      </c>
      <c r="CZ197" s="58">
        <f t="shared" ref="CZ197:CZ203" si="208">$CZ$3</f>
        <v>320.30651625485064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3.3671925855534829E-2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3.3671925855534829E-2</v>
      </c>
      <c r="DJ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58" t="e">
        <f t="shared" si="197"/>
        <v>#N/A</v>
      </c>
      <c r="DT197" s="58" t="e">
        <f ca="1">AVERAGE(OFFSET($DS$3,0,0,'Données projet'!$E$14+1,1))-AVERAGE(OFFSET($H$3,0,0,'Données projet'!$E$14+1,1))</f>
        <v>#N/A</v>
      </c>
      <c r="DU197" s="58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58" t="e">
        <f t="shared" si="198"/>
        <v>#N/A</v>
      </c>
      <c r="EO197" s="58" t="e">
        <f ca="1">AVERAGE(OFFSET($EN$3,0,0,'Données projet'!$E$15+1,1))-AVERAGE(OFFSET($H$3,0,0,'Données projet'!$E$15+1,1))</f>
        <v>#N/A</v>
      </c>
      <c r="EP197" s="58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58" t="e">
        <f t="shared" si="199"/>
        <v>#N/A</v>
      </c>
      <c r="FJ197" s="58" t="e">
        <f ca="1">AVERAGE(OFFSET($FI$3,0,0,'Données projet'!$E$16+1,1))-AVERAGE(OFFSET($H$3,0,0,'Données projet'!$E$16+1,1))</f>
        <v>#N/A</v>
      </c>
      <c r="FK197" s="58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58" t="e">
        <f t="shared" si="200"/>
        <v>#N/A</v>
      </c>
      <c r="GE197" s="58" t="e">
        <f ca="1">AVERAGE(OFFSET($GD$3,0,0,'Données projet'!$E$17+1,1))-AVERAGE(OFFSET($H$3,0,0,'Données projet'!$E$17+1,1))</f>
        <v>#N/A</v>
      </c>
      <c r="GF197" s="58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58" t="e">
        <f t="shared" si="201"/>
        <v>#N/A</v>
      </c>
      <c r="GZ197" s="58" t="e">
        <f ca="1">AVERAGE(OFFSET($GY$3,0,0,'Données projet'!$E$18+1,1))-AVERAGE(OFFSET($H$3,0,0,'Données projet'!$E$18+1,1))</f>
        <v>#N/A</v>
      </c>
      <c r="HA197" s="58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0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3">
        <f t="shared" si="192"/>
        <v>183.33333333333334</v>
      </c>
      <c r="I198" s="6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1.0231815394945443E-12</v>
      </c>
      <c r="O198" s="14">
        <f>N198*VLOOKUP('Données projet'!$B$9,Paramètres!$A$1:$I$89,3,0)*VLOOKUP('Données projet'!$B$9,Paramètres!$A$1:$I$89,5,0)</f>
        <v>8.6192812887020418E-13</v>
      </c>
      <c r="P198" s="14">
        <f t="shared" si="203"/>
        <v>1.007707029837753E-11</v>
      </c>
      <c r="Q198" s="22">
        <f t="shared" si="162"/>
        <v>1.9052088927456466E-11</v>
      </c>
      <c r="R198" s="58">
        <f t="shared" si="191"/>
        <v>290.31211911693754</v>
      </c>
      <c r="S198" s="58">
        <f ca="1">AVERAGE(OFFSET($R$3,0,0,'Données projet'!$E$9+1,1))-AVERAGE(OFFSET($H$3,0,0,'Données projet'!$E$9+1,1))</f>
        <v>527.70171871461309</v>
      </c>
      <c r="T198" s="58">
        <f t="shared" si="204"/>
        <v>281.06176764290592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7.4487616075202823E-14</v>
      </c>
      <c r="AK198" s="14">
        <f t="shared" si="164"/>
        <v>1.1580453144473142E-12</v>
      </c>
      <c r="AL198" s="22">
        <f t="shared" si="165"/>
        <v>2.1466615206600508E-12</v>
      </c>
      <c r="AM198" s="58">
        <f t="shared" si="193"/>
        <v>290.31211911692066</v>
      </c>
      <c r="AN198" s="58">
        <f ca="1">AVERAGE(OFFSET($AM$3,0,0,'Données projet'!$E$10+1,1))-AVERAGE(OFFSET($H$3,0,0,'Données projet'!$E$10+1,1))</f>
        <v>302.53318056366777</v>
      </c>
      <c r="AO198" s="58">
        <f t="shared" si="205"/>
        <v>318.32262615164541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2.8142378342821593E-2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2.8142378342821593E-2</v>
      </c>
      <c r="AY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9.1000000000003638</v>
      </c>
      <c r="BE198" s="14">
        <f>BD198*VLOOKUP('Données projet'!$B$11,Paramètres!$A$1:$I$89,3,0)*VLOOKUP('Données projet'!$B$11,Paramètres!$A$1:$I$89,5,0)</f>
        <v>7.2399600000002895</v>
      </c>
      <c r="BF198" s="14">
        <f t="shared" si="167"/>
        <v>2.6498112636338633</v>
      </c>
      <c r="BG198" s="22">
        <f t="shared" si="168"/>
        <v>17.224684950829481</v>
      </c>
      <c r="BH198" s="58">
        <f t="shared" si="194"/>
        <v>307.53680406774799</v>
      </c>
      <c r="BI198" s="58">
        <f ca="1">AVERAGE(OFFSET($BH$3,0,0,'Données projet'!$E$11+1,1))-AVERAGE(OFFSET($H$3,0,0,'Données projet'!$E$11+1,1))</f>
        <v>336.25341821407534</v>
      </c>
      <c r="BJ198" s="58">
        <f t="shared" si="206"/>
        <v>360.3246221345039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5.360736339721419E-2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5.360736339721419E-2</v>
      </c>
      <c r="BT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projet'!$B$12,Paramètres!$A$1:$I$89,3,0)*VLOOKUP('Données projet'!$B$12,Paramètres!$A$1:$I$89,5,0)</f>
        <v>4.6111381379887463E-14</v>
      </c>
      <c r="CA198" s="14">
        <f t="shared" si="170"/>
        <v>7.5804141040779151E-13</v>
      </c>
      <c r="CB198" s="22">
        <f t="shared" si="171"/>
        <v>1.4005661123635408E-12</v>
      </c>
      <c r="CC198" s="58">
        <f t="shared" si="195"/>
        <v>290.31211911691992</v>
      </c>
      <c r="CD198" s="58">
        <f ca="1">AVERAGE(OFFSET($CC$3,0,0,'Données projet'!$E$12+1,1))-AVERAGE(OFFSET($H$3,0,0,'Données projet'!$E$12+1,1))</f>
        <v>308.58270639204238</v>
      </c>
      <c r="CE198" s="58">
        <f t="shared" si="207"/>
        <v>258.90832875500325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5.4092197387944907E-14</v>
      </c>
      <c r="CV198" s="14">
        <f t="shared" si="173"/>
        <v>8.7287050538073676E-13</v>
      </c>
      <c r="CW198" s="22">
        <f t="shared" si="174"/>
        <v>1.6144600406554537E-12</v>
      </c>
      <c r="CX198" s="58">
        <f t="shared" si="196"/>
        <v>290.31211911692009</v>
      </c>
      <c r="CY198" s="58">
        <f ca="1">AVERAGE(OFFSET($CX$3,0,0,'Données projet'!$E$13+1,1))-AVERAGE(OFFSET($H$3,0,0,'Données projet'!$E$13+1,1))</f>
        <v>397.61813291201469</v>
      </c>
      <c r="CZ198" s="58">
        <f t="shared" si="208"/>
        <v>320.30651625485064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3.2751165272285609E-2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3.2751165272285609E-2</v>
      </c>
      <c r="DJ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58" t="e">
        <f t="shared" si="197"/>
        <v>#N/A</v>
      </c>
      <c r="DT198" s="58" t="e">
        <f ca="1">AVERAGE(OFFSET($DS$3,0,0,'Données projet'!$E$14+1,1))-AVERAGE(OFFSET($H$3,0,0,'Données projet'!$E$14+1,1))</f>
        <v>#N/A</v>
      </c>
      <c r="DU198" s="58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58" t="e">
        <f t="shared" si="198"/>
        <v>#N/A</v>
      </c>
      <c r="EO198" s="58" t="e">
        <f ca="1">AVERAGE(OFFSET($EN$3,0,0,'Données projet'!$E$15+1,1))-AVERAGE(OFFSET($H$3,0,0,'Données projet'!$E$15+1,1))</f>
        <v>#N/A</v>
      </c>
      <c r="EP198" s="58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58" t="e">
        <f t="shared" si="199"/>
        <v>#N/A</v>
      </c>
      <c r="FJ198" s="58" t="e">
        <f ca="1">AVERAGE(OFFSET($FI$3,0,0,'Données projet'!$E$16+1,1))-AVERAGE(OFFSET($H$3,0,0,'Données projet'!$E$16+1,1))</f>
        <v>#N/A</v>
      </c>
      <c r="FK198" s="58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58" t="e">
        <f t="shared" si="200"/>
        <v>#N/A</v>
      </c>
      <c r="GE198" s="58" t="e">
        <f ca="1">AVERAGE(OFFSET($GD$3,0,0,'Données projet'!$E$17+1,1))-AVERAGE(OFFSET($H$3,0,0,'Données projet'!$E$17+1,1))</f>
        <v>#N/A</v>
      </c>
      <c r="GF198" s="58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58" t="e">
        <f t="shared" si="201"/>
        <v>#N/A</v>
      </c>
      <c r="GZ198" s="58" t="e">
        <f ca="1">AVERAGE(OFFSET($GY$3,0,0,'Données projet'!$E$18+1,1))-AVERAGE(OFFSET($H$3,0,0,'Données projet'!$E$18+1,1))</f>
        <v>#N/A</v>
      </c>
      <c r="HA198" s="58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0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3">
        <f t="shared" si="192"/>
        <v>183.33333333333334</v>
      </c>
      <c r="I199" s="6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1.0231815394945443E-12</v>
      </c>
      <c r="O199" s="14">
        <f>N199*VLOOKUP('Données projet'!$B$9,Paramètres!$A$1:$I$89,3,0)*VLOOKUP('Données projet'!$B$9,Paramètres!$A$1:$I$89,5,0)</f>
        <v>8.6192812887020418E-13</v>
      </c>
      <c r="P199" s="14">
        <f t="shared" si="203"/>
        <v>1.007707029837753E-11</v>
      </c>
      <c r="Q199" s="22">
        <f t="shared" si="162"/>
        <v>1.9052088927456466E-11</v>
      </c>
      <c r="R199" s="58">
        <f t="shared" si="191"/>
        <v>290.36453042916924</v>
      </c>
      <c r="S199" s="58">
        <f ca="1">AVERAGE(OFFSET($R$3,0,0,'Données projet'!$E$9+1,1))-AVERAGE(OFFSET($H$3,0,0,'Données projet'!$E$9+1,1))</f>
        <v>527.70171871461309</v>
      </c>
      <c r="T199" s="58">
        <f t="shared" si="204"/>
        <v>281.06176764290592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7.4487616075202823E-14</v>
      </c>
      <c r="AK199" s="14">
        <f t="shared" si="164"/>
        <v>1.1580453144473142E-12</v>
      </c>
      <c r="AL199" s="22">
        <f t="shared" si="165"/>
        <v>2.1466615206600508E-12</v>
      </c>
      <c r="AM199" s="58">
        <f t="shared" si="193"/>
        <v>290.36453042915235</v>
      </c>
      <c r="AN199" s="58">
        <f ca="1">AVERAGE(OFFSET($AM$3,0,0,'Données projet'!$E$10+1,1))-AVERAGE(OFFSET($H$3,0,0,'Données projet'!$E$10+1,1))</f>
        <v>302.53318056366777</v>
      </c>
      <c r="AO199" s="58">
        <f t="shared" si="205"/>
        <v>318.32262615164541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2.7372823527093779E-2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2.7372823527093779E-2</v>
      </c>
      <c r="AY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9.1000000000003638</v>
      </c>
      <c r="BE199" s="14">
        <f>BD199*VLOOKUP('Données projet'!$B$11,Paramètres!$A$1:$I$89,3,0)*VLOOKUP('Données projet'!$B$11,Paramètres!$A$1:$I$89,5,0)</f>
        <v>7.2399600000002895</v>
      </c>
      <c r="BF199" s="14">
        <f t="shared" si="167"/>
        <v>2.6498112636338633</v>
      </c>
      <c r="BG199" s="22">
        <f t="shared" si="168"/>
        <v>17.224684950829481</v>
      </c>
      <c r="BH199" s="58">
        <f t="shared" si="194"/>
        <v>307.58921537997969</v>
      </c>
      <c r="BI199" s="58">
        <f ca="1">AVERAGE(OFFSET($BH$3,0,0,'Données projet'!$E$11+1,1))-AVERAGE(OFFSET($H$3,0,0,'Données projet'!$E$11+1,1))</f>
        <v>336.25341821407534</v>
      </c>
      <c r="BJ199" s="58">
        <f t="shared" si="206"/>
        <v>360.3246221345039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5.2141467226028651E-2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5.2141467226028651E-2</v>
      </c>
      <c r="BT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projet'!$B$12,Paramètres!$A$1:$I$89,3,0)*VLOOKUP('Données projet'!$B$12,Paramètres!$A$1:$I$89,5,0)</f>
        <v>4.6111381379887463E-14</v>
      </c>
      <c r="CA199" s="14">
        <f t="shared" si="170"/>
        <v>7.5804141040779151E-13</v>
      </c>
      <c r="CB199" s="22">
        <f t="shared" si="171"/>
        <v>1.4005661123635408E-12</v>
      </c>
      <c r="CC199" s="58">
        <f t="shared" si="195"/>
        <v>290.36453042915161</v>
      </c>
      <c r="CD199" s="58">
        <f ca="1">AVERAGE(OFFSET($CC$3,0,0,'Données projet'!$E$12+1,1))-AVERAGE(OFFSET($H$3,0,0,'Données projet'!$E$12+1,1))</f>
        <v>308.58270639204238</v>
      </c>
      <c r="CE199" s="58">
        <f t="shared" si="207"/>
        <v>258.90832875500325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5.4092197387944907E-14</v>
      </c>
      <c r="CV199" s="14">
        <f t="shared" si="173"/>
        <v>8.7287050538073676E-13</v>
      </c>
      <c r="CW199" s="22">
        <f t="shared" si="174"/>
        <v>1.6144600406554537E-12</v>
      </c>
      <c r="CX199" s="58">
        <f t="shared" si="196"/>
        <v>290.36453042915178</v>
      </c>
      <c r="CY199" s="58">
        <f ca="1">AVERAGE(OFFSET($CX$3,0,0,'Données projet'!$E$13+1,1))-AVERAGE(OFFSET($H$3,0,0,'Données projet'!$E$13+1,1))</f>
        <v>397.61813291201469</v>
      </c>
      <c r="CZ199" s="58">
        <f t="shared" si="208"/>
        <v>320.30651625485064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3.185558293560603E-2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3.185558293560603E-2</v>
      </c>
      <c r="DJ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58" t="e">
        <f t="shared" si="197"/>
        <v>#N/A</v>
      </c>
      <c r="DT199" s="58" t="e">
        <f ca="1">AVERAGE(OFFSET($DS$3,0,0,'Données projet'!$E$14+1,1))-AVERAGE(OFFSET($H$3,0,0,'Données projet'!$E$14+1,1))</f>
        <v>#N/A</v>
      </c>
      <c r="DU199" s="58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58" t="e">
        <f t="shared" si="198"/>
        <v>#N/A</v>
      </c>
      <c r="EO199" s="58" t="e">
        <f ca="1">AVERAGE(OFFSET($EN$3,0,0,'Données projet'!$E$15+1,1))-AVERAGE(OFFSET($H$3,0,0,'Données projet'!$E$15+1,1))</f>
        <v>#N/A</v>
      </c>
      <c r="EP199" s="58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58" t="e">
        <f t="shared" si="199"/>
        <v>#N/A</v>
      </c>
      <c r="FJ199" s="58" t="e">
        <f ca="1">AVERAGE(OFFSET($FI$3,0,0,'Données projet'!$E$16+1,1))-AVERAGE(OFFSET($H$3,0,0,'Données projet'!$E$16+1,1))</f>
        <v>#N/A</v>
      </c>
      <c r="FK199" s="58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58" t="e">
        <f t="shared" si="200"/>
        <v>#N/A</v>
      </c>
      <c r="GE199" s="58" t="e">
        <f ca="1">AVERAGE(OFFSET($GD$3,0,0,'Données projet'!$E$17+1,1))-AVERAGE(OFFSET($H$3,0,0,'Données projet'!$E$17+1,1))</f>
        <v>#N/A</v>
      </c>
      <c r="GF199" s="58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58" t="e">
        <f t="shared" si="201"/>
        <v>#N/A</v>
      </c>
      <c r="GZ199" s="58" t="e">
        <f ca="1">AVERAGE(OFFSET($GY$3,0,0,'Données projet'!$E$18+1,1))-AVERAGE(OFFSET($H$3,0,0,'Données projet'!$E$18+1,1))</f>
        <v>#N/A</v>
      </c>
      <c r="HA199" s="58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0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3">
        <f t="shared" si="192"/>
        <v>183.33333333333334</v>
      </c>
      <c r="I200" s="6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1.0231815394945443E-12</v>
      </c>
      <c r="O200" s="14">
        <f>N200*VLOOKUP('Données projet'!$B$9,Paramètres!$A$1:$I$89,3,0)*VLOOKUP('Données projet'!$B$9,Paramètres!$A$1:$I$89,5,0)</f>
        <v>8.6192812887020418E-13</v>
      </c>
      <c r="P200" s="14">
        <f t="shared" si="203"/>
        <v>1.007707029837753E-11</v>
      </c>
      <c r="Q200" s="22">
        <f t="shared" si="162"/>
        <v>1.9052088927456466E-11</v>
      </c>
      <c r="R200" s="58">
        <f t="shared" si="191"/>
        <v>290.41603252230783</v>
      </c>
      <c r="S200" s="58">
        <f ca="1">AVERAGE(OFFSET($R$3,0,0,'Données projet'!$E$9+1,1))-AVERAGE(OFFSET($H$3,0,0,'Données projet'!$E$9+1,1))</f>
        <v>527.70171871461309</v>
      </c>
      <c r="T200" s="58">
        <f t="shared" si="204"/>
        <v>281.06176764290592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7.4487616075202823E-14</v>
      </c>
      <c r="AK200" s="14">
        <f t="shared" si="164"/>
        <v>1.1580453144473142E-12</v>
      </c>
      <c r="AL200" s="22">
        <f t="shared" si="165"/>
        <v>2.1466615206600508E-12</v>
      </c>
      <c r="AM200" s="58">
        <f t="shared" si="193"/>
        <v>290.41603252229095</v>
      </c>
      <c r="AN200" s="58">
        <f ca="1">AVERAGE(OFFSET($AM$3,0,0,'Données projet'!$E$10+1,1))-AVERAGE(OFFSET($H$3,0,0,'Données projet'!$E$10+1,1))</f>
        <v>302.53318056366777</v>
      </c>
      <c r="AO200" s="58">
        <f t="shared" si="205"/>
        <v>318.32262615164541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2.6624312228271173E-2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2.6624312228271173E-2</v>
      </c>
      <c r="AY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9.1000000000003638</v>
      </c>
      <c r="BE200" s="14">
        <f>BD200*VLOOKUP('Données projet'!$B$11,Paramètres!$A$1:$I$89,3,0)*VLOOKUP('Données projet'!$B$11,Paramètres!$A$1:$I$89,5,0)</f>
        <v>7.2399600000002895</v>
      </c>
      <c r="BF200" s="14">
        <f t="shared" si="167"/>
        <v>2.6498112636338633</v>
      </c>
      <c r="BG200" s="22">
        <f t="shared" si="168"/>
        <v>17.224684950829481</v>
      </c>
      <c r="BH200" s="58">
        <f t="shared" si="194"/>
        <v>307.64071747311829</v>
      </c>
      <c r="BI200" s="58">
        <f ca="1">AVERAGE(OFFSET($BH$3,0,0,'Données projet'!$E$11+1,1))-AVERAGE(OFFSET($H$3,0,0,'Données projet'!$E$11+1,1))</f>
        <v>336.25341821407534</v>
      </c>
      <c r="BJ200" s="58">
        <f t="shared" si="206"/>
        <v>360.3246221345039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5.071565606273231E-2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5.071565606273231E-2</v>
      </c>
      <c r="BT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projet'!$B$12,Paramètres!$A$1:$I$89,3,0)*VLOOKUP('Données projet'!$B$12,Paramètres!$A$1:$I$89,5,0)</f>
        <v>4.6111381379887463E-14</v>
      </c>
      <c r="CA200" s="14">
        <f t="shared" si="170"/>
        <v>7.5804141040779151E-13</v>
      </c>
      <c r="CB200" s="22">
        <f t="shared" si="171"/>
        <v>1.4005661123635408E-12</v>
      </c>
      <c r="CC200" s="58">
        <f t="shared" si="195"/>
        <v>290.41603252229021</v>
      </c>
      <c r="CD200" s="58">
        <f ca="1">AVERAGE(OFFSET($CC$3,0,0,'Données projet'!$E$12+1,1))-AVERAGE(OFFSET($H$3,0,0,'Données projet'!$E$12+1,1))</f>
        <v>308.58270639204238</v>
      </c>
      <c r="CE200" s="58">
        <f t="shared" si="207"/>
        <v>258.90832875500325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5.4092197387944907E-14</v>
      </c>
      <c r="CV200" s="14">
        <f t="shared" si="173"/>
        <v>8.7287050538073676E-13</v>
      </c>
      <c r="CW200" s="22">
        <f t="shared" si="174"/>
        <v>1.6144600406554537E-12</v>
      </c>
      <c r="CX200" s="58">
        <f t="shared" si="196"/>
        <v>290.41603252229038</v>
      </c>
      <c r="CY200" s="58">
        <f ca="1">AVERAGE(OFFSET($CX$3,0,0,'Données projet'!$E$13+1,1))-AVERAGE(OFFSET($H$3,0,0,'Données projet'!$E$13+1,1))</f>
        <v>397.61813291201469</v>
      </c>
      <c r="CZ200" s="58">
        <f t="shared" si="208"/>
        <v>320.30651625485064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3.0984490345019582E-2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3.0984490345019582E-2</v>
      </c>
      <c r="DJ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58" t="e">
        <f t="shared" si="197"/>
        <v>#N/A</v>
      </c>
      <c r="DT200" s="58" t="e">
        <f ca="1">AVERAGE(OFFSET($DS$3,0,0,'Données projet'!$E$14+1,1))-AVERAGE(OFFSET($H$3,0,0,'Données projet'!$E$14+1,1))</f>
        <v>#N/A</v>
      </c>
      <c r="DU200" s="58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58" t="e">
        <f t="shared" si="198"/>
        <v>#N/A</v>
      </c>
      <c r="EO200" s="58" t="e">
        <f ca="1">AVERAGE(OFFSET($EN$3,0,0,'Données projet'!$E$15+1,1))-AVERAGE(OFFSET($H$3,0,0,'Données projet'!$E$15+1,1))</f>
        <v>#N/A</v>
      </c>
      <c r="EP200" s="58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58" t="e">
        <f t="shared" si="199"/>
        <v>#N/A</v>
      </c>
      <c r="FJ200" s="58" t="e">
        <f ca="1">AVERAGE(OFFSET($FI$3,0,0,'Données projet'!$E$16+1,1))-AVERAGE(OFFSET($H$3,0,0,'Données projet'!$E$16+1,1))</f>
        <v>#N/A</v>
      </c>
      <c r="FK200" s="58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58" t="e">
        <f t="shared" si="200"/>
        <v>#N/A</v>
      </c>
      <c r="GE200" s="58" t="e">
        <f ca="1">AVERAGE(OFFSET($GD$3,0,0,'Données projet'!$E$17+1,1))-AVERAGE(OFFSET($H$3,0,0,'Données projet'!$E$17+1,1))</f>
        <v>#N/A</v>
      </c>
      <c r="GF200" s="58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58" t="e">
        <f t="shared" si="201"/>
        <v>#N/A</v>
      </c>
      <c r="GZ200" s="58" t="e">
        <f ca="1">AVERAGE(OFFSET($GY$3,0,0,'Données projet'!$E$18+1,1))-AVERAGE(OFFSET($H$3,0,0,'Données projet'!$E$18+1,1))</f>
        <v>#N/A</v>
      </c>
      <c r="HA200" s="58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0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3">
        <f t="shared" si="192"/>
        <v>183.33333333333334</v>
      </c>
      <c r="I201" s="6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1.0231815394945443E-12</v>
      </c>
      <c r="O201" s="14">
        <f>N201*VLOOKUP('Données projet'!$B$9,Paramètres!$A$1:$I$89,3,0)*VLOOKUP('Données projet'!$B$9,Paramètres!$A$1:$I$89,5,0)</f>
        <v>8.6192812887020418E-13</v>
      </c>
      <c r="P201" s="14">
        <f t="shared" si="203"/>
        <v>1.007707029837753E-11</v>
      </c>
      <c r="Q201" s="22">
        <f t="shared" si="162"/>
        <v>1.9052088927456466E-11</v>
      </c>
      <c r="R201" s="58">
        <f t="shared" si="191"/>
        <v>290.46664116927195</v>
      </c>
      <c r="S201" s="58">
        <f ca="1">AVERAGE(OFFSET($R$3,0,0,'Données projet'!$E$9+1,1))-AVERAGE(OFFSET($H$3,0,0,'Données projet'!$E$9+1,1))</f>
        <v>527.70171871461309</v>
      </c>
      <c r="T201" s="58">
        <f t="shared" si="204"/>
        <v>281.06176764290592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7.4487616075202823E-14</v>
      </c>
      <c r="AK201" s="14">
        <f t="shared" si="164"/>
        <v>1.1580453144473142E-12</v>
      </c>
      <c r="AL201" s="22">
        <f t="shared" si="165"/>
        <v>2.1466615206600508E-12</v>
      </c>
      <c r="AM201" s="58">
        <f t="shared" si="193"/>
        <v>290.46664116925507</v>
      </c>
      <c r="AN201" s="58">
        <f ca="1">AVERAGE(OFFSET($AM$3,0,0,'Données projet'!$E$10+1,1))-AVERAGE(OFFSET($H$3,0,0,'Données projet'!$E$10+1,1))</f>
        <v>302.53318056366777</v>
      </c>
      <c r="AO201" s="58">
        <f t="shared" si="205"/>
        <v>318.32262615164541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2.5896269010277369E-2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2.5896269010277369E-2</v>
      </c>
      <c r="AY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9.1000000000003638</v>
      </c>
      <c r="BE201" s="14">
        <f>BD201*VLOOKUP('Données projet'!$B$11,Paramètres!$A$1:$I$89,3,0)*VLOOKUP('Données projet'!$B$11,Paramètres!$A$1:$I$89,5,0)</f>
        <v>7.2399600000002895</v>
      </c>
      <c r="BF201" s="14">
        <f t="shared" si="167"/>
        <v>2.6498112636338633</v>
      </c>
      <c r="BG201" s="22">
        <f t="shared" si="168"/>
        <v>17.224684950829481</v>
      </c>
      <c r="BH201" s="58">
        <f t="shared" si="194"/>
        <v>307.69132612008241</v>
      </c>
      <c r="BI201" s="58">
        <f ca="1">AVERAGE(OFFSET($BH$3,0,0,'Données projet'!$E$11+1,1))-AVERAGE(OFFSET($H$3,0,0,'Données projet'!$E$11+1,1))</f>
        <v>336.25341821407534</v>
      </c>
      <c r="BJ201" s="58">
        <f t="shared" si="206"/>
        <v>360.3246221345039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4.9328833780676457E-2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4.9328833780676457E-2</v>
      </c>
      <c r="BT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projet'!$B$12,Paramètres!$A$1:$I$89,3,0)*VLOOKUP('Données projet'!$B$12,Paramètres!$A$1:$I$89,5,0)</f>
        <v>4.6111381379887463E-14</v>
      </c>
      <c r="CA201" s="14">
        <f t="shared" si="170"/>
        <v>7.5804141040779151E-13</v>
      </c>
      <c r="CB201" s="22">
        <f t="shared" si="171"/>
        <v>1.4005661123635408E-12</v>
      </c>
      <c r="CC201" s="58">
        <f t="shared" si="195"/>
        <v>290.46664116925433</v>
      </c>
      <c r="CD201" s="58">
        <f ca="1">AVERAGE(OFFSET($CC$3,0,0,'Données projet'!$E$12+1,1))-AVERAGE(OFFSET($H$3,0,0,'Données projet'!$E$12+1,1))</f>
        <v>308.58270639204238</v>
      </c>
      <c r="CE201" s="58">
        <f t="shared" si="207"/>
        <v>258.90832875500325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5.4092197387944907E-14</v>
      </c>
      <c r="CV201" s="14">
        <f t="shared" si="173"/>
        <v>8.7287050538073676E-13</v>
      </c>
      <c r="CW201" s="22">
        <f t="shared" si="174"/>
        <v>1.6144600406554537E-12</v>
      </c>
      <c r="CX201" s="58">
        <f t="shared" si="196"/>
        <v>290.4666411692545</v>
      </c>
      <c r="CY201" s="58">
        <f ca="1">AVERAGE(OFFSET($CX$3,0,0,'Données projet'!$E$13+1,1))-AVERAGE(OFFSET($H$3,0,0,'Données projet'!$E$13+1,1))</f>
        <v>397.61813291201469</v>
      </c>
      <c r="CZ201" s="58">
        <f t="shared" si="208"/>
        <v>320.30651625485064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3.0137217827131489E-2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3.0137217827131489E-2</v>
      </c>
      <c r="DJ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58" t="e">
        <f t="shared" si="197"/>
        <v>#N/A</v>
      </c>
      <c r="DT201" s="58" t="e">
        <f ca="1">AVERAGE(OFFSET($DS$3,0,0,'Données projet'!$E$14+1,1))-AVERAGE(OFFSET($H$3,0,0,'Données projet'!$E$14+1,1))</f>
        <v>#N/A</v>
      </c>
      <c r="DU201" s="58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58" t="e">
        <f t="shared" si="198"/>
        <v>#N/A</v>
      </c>
      <c r="EO201" s="58" t="e">
        <f ca="1">AVERAGE(OFFSET($EN$3,0,0,'Données projet'!$E$15+1,1))-AVERAGE(OFFSET($H$3,0,0,'Données projet'!$E$15+1,1))</f>
        <v>#N/A</v>
      </c>
      <c r="EP201" s="58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58" t="e">
        <f t="shared" si="199"/>
        <v>#N/A</v>
      </c>
      <c r="FJ201" s="58" t="e">
        <f ca="1">AVERAGE(OFFSET($FI$3,0,0,'Données projet'!$E$16+1,1))-AVERAGE(OFFSET($H$3,0,0,'Données projet'!$E$16+1,1))</f>
        <v>#N/A</v>
      </c>
      <c r="FK201" s="58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58" t="e">
        <f t="shared" si="200"/>
        <v>#N/A</v>
      </c>
      <c r="GE201" s="58" t="e">
        <f ca="1">AVERAGE(OFFSET($GD$3,0,0,'Données projet'!$E$17+1,1))-AVERAGE(OFFSET($H$3,0,0,'Données projet'!$E$17+1,1))</f>
        <v>#N/A</v>
      </c>
      <c r="GF201" s="58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58" t="e">
        <f t="shared" si="201"/>
        <v>#N/A</v>
      </c>
      <c r="GZ201" s="58" t="e">
        <f ca="1">AVERAGE(OFFSET($GY$3,0,0,'Données projet'!$E$18+1,1))-AVERAGE(OFFSET($H$3,0,0,'Données projet'!$E$18+1,1))</f>
        <v>#N/A</v>
      </c>
      <c r="HA201" s="58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0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3">
        <f t="shared" si="192"/>
        <v>183.33333333333334</v>
      </c>
      <c r="I202" s="6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1.0231815394945443E-12</v>
      </c>
      <c r="O202" s="14">
        <f>N202*VLOOKUP('Données projet'!$B$9,Paramètres!$A$1:$I$89,3,0)*VLOOKUP('Données projet'!$B$9,Paramètres!$A$1:$I$89,5,0)</f>
        <v>8.6192812887020418E-13</v>
      </c>
      <c r="P202" s="14">
        <f t="shared" si="203"/>
        <v>1.007707029837753E-11</v>
      </c>
      <c r="Q202" s="22">
        <f t="shared" si="162"/>
        <v>1.9052088927456466E-11</v>
      </c>
      <c r="R202" s="58">
        <f t="shared" si="191"/>
        <v>290.51637186935517</v>
      </c>
      <c r="S202" s="58">
        <f ca="1">AVERAGE(OFFSET($R$3,0,0,'Données projet'!$E$9+1,1))-AVERAGE(OFFSET($H$3,0,0,'Données projet'!$E$9+1,1))</f>
        <v>527.70171871461309</v>
      </c>
      <c r="T202" s="58">
        <f t="shared" si="204"/>
        <v>281.06176764290592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7.4487616075202823E-14</v>
      </c>
      <c r="AK202" s="14">
        <f t="shared" si="164"/>
        <v>1.1580453144473142E-12</v>
      </c>
      <c r="AL202" s="22">
        <f t="shared" si="165"/>
        <v>2.1466615206600508E-12</v>
      </c>
      <c r="AM202" s="58">
        <f t="shared" si="193"/>
        <v>290.51637186933829</v>
      </c>
      <c r="AN202" s="58">
        <f ca="1">AVERAGE(OFFSET($AM$3,0,0,'Données projet'!$E$10+1,1))-AVERAGE(OFFSET($H$3,0,0,'Données projet'!$E$10+1,1))</f>
        <v>302.53318056366777</v>
      </c>
      <c r="AO202" s="58">
        <f t="shared" si="205"/>
        <v>318.32262615164541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2.5188134172365734E-2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2.5188134172365734E-2</v>
      </c>
      <c r="AY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9.1000000000003638</v>
      </c>
      <c r="BE202" s="14">
        <f>BD202*VLOOKUP('Données projet'!$B$11,Paramètres!$A$1:$I$89,3,0)*VLOOKUP('Données projet'!$B$11,Paramètres!$A$1:$I$89,5,0)</f>
        <v>7.2399600000002895</v>
      </c>
      <c r="BF202" s="14">
        <f t="shared" si="167"/>
        <v>2.6498112636338633</v>
      </c>
      <c r="BG202" s="22">
        <f t="shared" si="168"/>
        <v>17.224684950829481</v>
      </c>
      <c r="BH202" s="58">
        <f t="shared" si="194"/>
        <v>307.74105682016562</v>
      </c>
      <c r="BI202" s="58">
        <f ca="1">AVERAGE(OFFSET($BH$3,0,0,'Données projet'!$E$11+1,1))-AVERAGE(OFFSET($H$3,0,0,'Données projet'!$E$11+1,1))</f>
        <v>336.25341821407534</v>
      </c>
      <c r="BJ202" s="58">
        <f t="shared" si="206"/>
        <v>360.3246221345039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4.7979934226853233E-2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4.7979934226853233E-2</v>
      </c>
      <c r="BT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projet'!$B$12,Paramètres!$A$1:$I$89,3,0)*VLOOKUP('Données projet'!$B$12,Paramètres!$A$1:$I$89,5,0)</f>
        <v>4.6111381379887463E-14</v>
      </c>
      <c r="CA202" s="14">
        <f t="shared" si="170"/>
        <v>7.5804141040779151E-13</v>
      </c>
      <c r="CB202" s="22">
        <f t="shared" si="171"/>
        <v>1.4005661123635408E-12</v>
      </c>
      <c r="CC202" s="58">
        <f t="shared" si="195"/>
        <v>290.51637186933755</v>
      </c>
      <c r="CD202" s="58">
        <f ca="1">AVERAGE(OFFSET($CC$3,0,0,'Données projet'!$E$12+1,1))-AVERAGE(OFFSET($H$3,0,0,'Données projet'!$E$12+1,1))</f>
        <v>308.58270639204238</v>
      </c>
      <c r="CE202" s="58">
        <f t="shared" si="207"/>
        <v>258.90832875500325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5.4092197387944907E-14</v>
      </c>
      <c r="CV202" s="14">
        <f t="shared" si="173"/>
        <v>8.7287050538073676E-13</v>
      </c>
      <c r="CW202" s="22">
        <f t="shared" si="174"/>
        <v>1.6144600406554537E-12</v>
      </c>
      <c r="CX202" s="58">
        <f t="shared" si="196"/>
        <v>290.51637186933772</v>
      </c>
      <c r="CY202" s="58">
        <f ca="1">AVERAGE(OFFSET($CX$3,0,0,'Données projet'!$E$13+1,1))-AVERAGE(OFFSET($H$3,0,0,'Données projet'!$E$13+1,1))</f>
        <v>397.61813291201469</v>
      </c>
      <c r="CZ202" s="58">
        <f t="shared" si="208"/>
        <v>320.30651625485064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2.9313114020801171E-2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2.9313114020801171E-2</v>
      </c>
      <c r="DJ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58" t="e">
        <f t="shared" si="197"/>
        <v>#N/A</v>
      </c>
      <c r="DT202" s="58" t="e">
        <f ca="1">AVERAGE(OFFSET($DS$3,0,0,'Données projet'!$E$14+1,1))-AVERAGE(OFFSET($H$3,0,0,'Données projet'!$E$14+1,1))</f>
        <v>#N/A</v>
      </c>
      <c r="DU202" s="58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58" t="e">
        <f t="shared" si="198"/>
        <v>#N/A</v>
      </c>
      <c r="EO202" s="58" t="e">
        <f ca="1">AVERAGE(OFFSET($EN$3,0,0,'Données projet'!$E$15+1,1))-AVERAGE(OFFSET($H$3,0,0,'Données projet'!$E$15+1,1))</f>
        <v>#N/A</v>
      </c>
      <c r="EP202" s="58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58" t="e">
        <f t="shared" si="199"/>
        <v>#N/A</v>
      </c>
      <c r="FJ202" s="58" t="e">
        <f ca="1">AVERAGE(OFFSET($FI$3,0,0,'Données projet'!$E$16+1,1))-AVERAGE(OFFSET($H$3,0,0,'Données projet'!$E$16+1,1))</f>
        <v>#N/A</v>
      </c>
      <c r="FK202" s="58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58" t="e">
        <f t="shared" si="200"/>
        <v>#N/A</v>
      </c>
      <c r="GE202" s="58" t="e">
        <f ca="1">AVERAGE(OFFSET($GD$3,0,0,'Données projet'!$E$17+1,1))-AVERAGE(OFFSET($H$3,0,0,'Données projet'!$E$17+1,1))</f>
        <v>#N/A</v>
      </c>
      <c r="GF202" s="58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58" t="e">
        <f t="shared" si="201"/>
        <v>#N/A</v>
      </c>
      <c r="GZ202" s="58" t="e">
        <f ca="1">AVERAGE(OFFSET($GY$3,0,0,'Données projet'!$E$18+1,1))-AVERAGE(OFFSET($H$3,0,0,'Données projet'!$E$18+1,1))</f>
        <v>#N/A</v>
      </c>
      <c r="HA202" s="58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0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3">
        <f t="shared" si="192"/>
        <v>183.33333333333334</v>
      </c>
      <c r="I203" s="6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1.0231815394945443E-12</v>
      </c>
      <c r="O203" s="14">
        <f>N203*VLOOKUP('Données projet'!$B$9,Paramètres!$A$1:$I$89,3,0)*VLOOKUP('Données projet'!$B$9,Paramètres!$A$1:$I$89,5,0)</f>
        <v>8.6192812887020418E-13</v>
      </c>
      <c r="P203" s="14">
        <f t="shared" si="203"/>
        <v>1.007707029837753E-11</v>
      </c>
      <c r="Q203" s="22">
        <f t="shared" si="162"/>
        <v>1.9052088927456466E-11</v>
      </c>
      <c r="R203" s="58">
        <f t="shared" si="191"/>
        <v>290.56523985297315</v>
      </c>
      <c r="S203" s="58">
        <f ca="1">AVERAGE(OFFSET($R$3,0,0,'Données projet'!$E$9+1,1))-AVERAGE(OFFSET($H$3,0,0,'Données projet'!$E$9+1,1))</f>
        <v>527.70171871461309</v>
      </c>
      <c r="T203" s="58">
        <f t="shared" si="204"/>
        <v>281.06176764290592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7.4487616075202823E-14</v>
      </c>
      <c r="AK203" s="14">
        <f t="shared" si="164"/>
        <v>1.1580453144473142E-12</v>
      </c>
      <c r="AL203" s="22">
        <f t="shared" si="165"/>
        <v>2.1466615206600508E-12</v>
      </c>
      <c r="AM203" s="58">
        <f t="shared" si="193"/>
        <v>290.56523985295627</v>
      </c>
      <c r="AN203" s="58">
        <f ca="1">AVERAGE(OFFSET($AM$3,0,0,'Données projet'!$E$10+1,1))-AVERAGE(OFFSET($H$3,0,0,'Données projet'!$E$10+1,1))</f>
        <v>302.53318056366777</v>
      </c>
      <c r="AO203" s="58">
        <f t="shared" si="205"/>
        <v>318.32262615164541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2.4499363318835985E-2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2.4499363318835985E-2</v>
      </c>
      <c r="AY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9.1000000000003638</v>
      </c>
      <c r="BE203" s="14">
        <f>BD203*VLOOKUP('Données projet'!$B$11,Paramètres!$A$1:$I$89,3,0)*VLOOKUP('Données projet'!$B$11,Paramètres!$A$1:$I$89,5,0)</f>
        <v>7.2399600000002895</v>
      </c>
      <c r="BF203" s="14">
        <f t="shared" si="167"/>
        <v>2.6498112636338633</v>
      </c>
      <c r="BG203" s="22">
        <f t="shared" si="168"/>
        <v>17.224684950829481</v>
      </c>
      <c r="BH203" s="58">
        <f t="shared" si="194"/>
        <v>307.78992480378361</v>
      </c>
      <c r="BI203" s="58">
        <f ca="1">AVERAGE(OFFSET($BH$3,0,0,'Données projet'!$E$11+1,1))-AVERAGE(OFFSET($H$3,0,0,'Données projet'!$E$11+1,1))</f>
        <v>336.25341821407534</v>
      </c>
      <c r="BJ203" s="58">
        <f t="shared" si="206"/>
        <v>360.3246221345039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4.6667920402264848E-2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4.6667920402264848E-2</v>
      </c>
      <c r="BT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projet'!$B$12,Paramètres!$A$1:$I$89,3,0)*VLOOKUP('Données projet'!$B$12,Paramètres!$A$1:$I$89,5,0)</f>
        <v>4.6111381379887463E-14</v>
      </c>
      <c r="CA203" s="14">
        <f t="shared" si="170"/>
        <v>7.5804141040779151E-13</v>
      </c>
      <c r="CB203" s="22">
        <f t="shared" si="171"/>
        <v>1.4005661123635408E-12</v>
      </c>
      <c r="CC203" s="58">
        <f t="shared" si="195"/>
        <v>290.56523985295553</v>
      </c>
      <c r="CD203" s="58">
        <f ca="1">AVERAGE(OFFSET($CC$3,0,0,'Données projet'!$E$12+1,1))-AVERAGE(OFFSET($H$3,0,0,'Données projet'!$E$12+1,1))</f>
        <v>308.58270639204238</v>
      </c>
      <c r="CE203" s="58">
        <f t="shared" si="207"/>
        <v>258.90832875500325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5.4092197387944907E-14</v>
      </c>
      <c r="CV203" s="14">
        <f t="shared" si="173"/>
        <v>8.7287050538073676E-13</v>
      </c>
      <c r="CW203" s="22">
        <f t="shared" si="174"/>
        <v>1.6144600406554537E-12</v>
      </c>
      <c r="CX203" s="58">
        <f t="shared" si="196"/>
        <v>290.5652398529557</v>
      </c>
      <c r="CY203" s="58">
        <f ca="1">AVERAGE(OFFSET($CX$3,0,0,'Données projet'!$E$13+1,1))-AVERAGE(OFFSET($H$3,0,0,'Données projet'!$E$13+1,1))</f>
        <v>397.61813291201469</v>
      </c>
      <c r="CZ203" s="58">
        <f t="shared" si="208"/>
        <v>320.30651625485064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2.8511545376392694E-2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2.8511545376392694E-2</v>
      </c>
      <c r="DJ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58" t="e">
        <f t="shared" si="197"/>
        <v>#N/A</v>
      </c>
      <c r="DT203" s="58" t="e">
        <f ca="1">AVERAGE(OFFSET($DS$3,0,0,'Données projet'!$E$14+1,1))-AVERAGE(OFFSET($H$3,0,0,'Données projet'!$E$14+1,1))</f>
        <v>#N/A</v>
      </c>
      <c r="DU203" s="58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58" t="e">
        <f t="shared" si="198"/>
        <v>#N/A</v>
      </c>
      <c r="EO203" s="58" t="e">
        <f ca="1">AVERAGE(OFFSET($EN$3,0,0,'Données projet'!$E$15+1,1))-AVERAGE(OFFSET($H$3,0,0,'Données projet'!$E$15+1,1))</f>
        <v>#N/A</v>
      </c>
      <c r="EP203" s="58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58" t="e">
        <f t="shared" si="199"/>
        <v>#N/A</v>
      </c>
      <c r="FJ203" s="58" t="e">
        <f ca="1">AVERAGE(OFFSET($FI$3,0,0,'Données projet'!$E$16+1,1))-AVERAGE(OFFSET($H$3,0,0,'Données projet'!$E$16+1,1))</f>
        <v>#N/A</v>
      </c>
      <c r="FK203" s="58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58" t="e">
        <f t="shared" si="200"/>
        <v>#N/A</v>
      </c>
      <c r="GE203" s="58" t="e">
        <f ca="1">AVERAGE(OFFSET($GD$3,0,0,'Données projet'!$E$17+1,1))-AVERAGE(OFFSET($H$3,0,0,'Données projet'!$E$17+1,1))</f>
        <v>#N/A</v>
      </c>
      <c r="GF203" s="58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58" t="e">
        <f t="shared" si="201"/>
        <v>#N/A</v>
      </c>
      <c r="GZ203" s="58" t="e">
        <f ca="1">AVERAGE(OFFSET($GY$3,0,0,'Données projet'!$E$18+1,1))-AVERAGE(OFFSET($H$3,0,0,'Données projet'!$E$18+1,1))</f>
        <v>#N/A</v>
      </c>
      <c r="HA203" s="58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76"/>
      <c r="C204" s="74"/>
      <c r="D204" s="75"/>
      <c r="E204" s="75"/>
      <c r="F204" s="75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4"/>
      <c r="I204" s="74"/>
      <c r="J204" s="74"/>
      <c r="K204" s="83" t="s">
        <v>293</v>
      </c>
      <c r="L204" s="77"/>
      <c r="M204" s="77"/>
      <c r="N204" s="77"/>
      <c r="O204" s="74"/>
      <c r="P204" s="74"/>
      <c r="Q204" s="75"/>
      <c r="R204" s="78"/>
      <c r="S204" s="78"/>
      <c r="T204" s="78"/>
      <c r="U204" s="77"/>
      <c r="V204" s="77"/>
      <c r="W204" s="79"/>
      <c r="X204" s="79"/>
      <c r="Y204" s="79"/>
      <c r="Z204" s="74"/>
      <c r="AA204" s="74"/>
      <c r="AB204" s="74"/>
      <c r="AC204" s="74"/>
      <c r="AD204" s="74"/>
      <c r="AE204" s="74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76"/>
      <c r="C205" s="74"/>
      <c r="D205" s="75"/>
      <c r="E205" s="75"/>
      <c r="F205" s="75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4"/>
      <c r="I205" s="74"/>
      <c r="J205" s="74"/>
      <c r="K205" s="81">
        <f>EXP(LN('Données projet'!B36)/'Données projet'!A36)</f>
        <v>1.2392705892426346</v>
      </c>
      <c r="L205" s="77"/>
      <c r="M205" s="77"/>
      <c r="N205" s="77"/>
      <c r="O205" s="74"/>
      <c r="P205" s="74"/>
      <c r="Q205" s="75"/>
      <c r="R205" s="78"/>
      <c r="S205" s="78"/>
      <c r="T205" s="78"/>
      <c r="U205" s="77"/>
      <c r="V205" s="77"/>
      <c r="W205" s="79"/>
      <c r="X205" s="79"/>
      <c r="Y205" s="79"/>
      <c r="Z205" s="74"/>
      <c r="AA205" s="74"/>
      <c r="AB205" s="74"/>
      <c r="AC205" s="74"/>
      <c r="AD205" s="74"/>
      <c r="AE205" s="74"/>
      <c r="AF205" s="82">
        <f>EXP(LN('Données projet'!B62)/'Données projet'!A62)</f>
        <v>1.2709816152101407</v>
      </c>
      <c r="BA205" s="81">
        <f>EXP(LN('Données projet'!B88)/'Données projet'!A88)</f>
        <v>1.2730870686066207</v>
      </c>
      <c r="BV205" s="81">
        <f>EXP(LN('Données projet'!B114)/'Données projet'!A114)</f>
        <v>1.282970348825361</v>
      </c>
      <c r="CQ205" s="81">
        <f>EXP(LN('Données projet'!B140)/'Données projet'!A140)</f>
        <v>1.234835377522661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2" t="s">
        <v>0</v>
      </c>
      <c r="B1" s="113" t="s">
        <v>106</v>
      </c>
      <c r="C1" s="114" t="s">
        <v>144</v>
      </c>
      <c r="D1" s="113" t="s">
        <v>100</v>
      </c>
      <c r="E1" s="114" t="s">
        <v>145</v>
      </c>
      <c r="F1" s="114" t="s">
        <v>100</v>
      </c>
      <c r="G1" s="114" t="s">
        <v>146</v>
      </c>
      <c r="H1" s="114" t="s">
        <v>100</v>
      </c>
      <c r="I1" s="115" t="s">
        <v>147</v>
      </c>
      <c r="J1" s="92"/>
      <c r="K1" s="92"/>
      <c r="L1" s="92"/>
      <c r="M1" s="92"/>
      <c r="N1" s="92"/>
    </row>
    <row r="2" spans="1:16" x14ac:dyDescent="0.3">
      <c r="A2" s="116" t="s">
        <v>1</v>
      </c>
      <c r="B2" s="117" t="s">
        <v>53</v>
      </c>
      <c r="C2" s="118">
        <v>0.62</v>
      </c>
      <c r="D2" s="118" t="s">
        <v>161</v>
      </c>
      <c r="E2" s="118">
        <v>1.56</v>
      </c>
      <c r="F2" s="118" t="s">
        <v>274</v>
      </c>
      <c r="G2" s="119">
        <v>0.43</v>
      </c>
      <c r="H2" s="120" t="s">
        <v>278</v>
      </c>
      <c r="I2" s="121">
        <v>0.25</v>
      </c>
      <c r="J2" s="92"/>
      <c r="K2" s="92"/>
      <c r="L2" s="92"/>
      <c r="M2" s="92"/>
      <c r="N2" s="92"/>
      <c r="O2" s="311" t="s">
        <v>238</v>
      </c>
      <c r="P2" s="122">
        <v>0</v>
      </c>
    </row>
    <row r="3" spans="1:16" ht="15" thickBot="1" x14ac:dyDescent="0.35">
      <c r="A3" s="123" t="s">
        <v>2</v>
      </c>
      <c r="B3" s="124" t="s">
        <v>54</v>
      </c>
      <c r="C3" s="125">
        <v>0.64</v>
      </c>
      <c r="D3" s="125" t="s">
        <v>161</v>
      </c>
      <c r="E3" s="125">
        <v>1.56</v>
      </c>
      <c r="F3" s="126" t="s">
        <v>274</v>
      </c>
      <c r="G3" s="127">
        <v>0.43</v>
      </c>
      <c r="H3" s="125" t="s">
        <v>278</v>
      </c>
      <c r="I3" s="128">
        <v>0.25</v>
      </c>
      <c r="J3" s="92"/>
      <c r="K3" s="92"/>
      <c r="L3" s="92"/>
      <c r="M3" s="92"/>
      <c r="N3" s="92"/>
      <c r="O3" s="312"/>
      <c r="P3" s="129">
        <v>0.2</v>
      </c>
    </row>
    <row r="4" spans="1:16" ht="15" thickBot="1" x14ac:dyDescent="0.35">
      <c r="A4" s="123" t="s">
        <v>98</v>
      </c>
      <c r="B4" s="124" t="s">
        <v>99</v>
      </c>
      <c r="C4" s="125">
        <v>0.42</v>
      </c>
      <c r="D4" s="125" t="s">
        <v>161</v>
      </c>
      <c r="E4" s="125">
        <v>1.56</v>
      </c>
      <c r="F4" s="126" t="s">
        <v>274</v>
      </c>
      <c r="G4" s="127">
        <v>0.43</v>
      </c>
      <c r="H4" s="125" t="s">
        <v>278</v>
      </c>
      <c r="I4" s="128">
        <v>0.25</v>
      </c>
      <c r="J4" s="92"/>
      <c r="K4" s="92"/>
      <c r="L4" s="92"/>
      <c r="M4" s="92"/>
      <c r="N4" s="92"/>
    </row>
    <row r="5" spans="1:16" x14ac:dyDescent="0.3">
      <c r="A5" s="123" t="s">
        <v>4</v>
      </c>
      <c r="B5" s="124" t="s">
        <v>55</v>
      </c>
      <c r="C5" s="125">
        <v>0.42</v>
      </c>
      <c r="D5" s="125" t="s">
        <v>161</v>
      </c>
      <c r="E5" s="125">
        <v>1.56</v>
      </c>
      <c r="F5" s="126" t="s">
        <v>274</v>
      </c>
      <c r="G5" s="127">
        <v>0.43</v>
      </c>
      <c r="H5" s="125" t="s">
        <v>278</v>
      </c>
      <c r="I5" s="128">
        <v>0.25</v>
      </c>
      <c r="J5" s="92"/>
      <c r="K5" s="92"/>
      <c r="L5" s="92"/>
      <c r="M5" s="92"/>
      <c r="N5" s="92"/>
      <c r="O5" s="311" t="s">
        <v>237</v>
      </c>
      <c r="P5" s="122">
        <v>0</v>
      </c>
    </row>
    <row r="6" spans="1:16" x14ac:dyDescent="0.3">
      <c r="A6" s="123" t="s">
        <v>3</v>
      </c>
      <c r="B6" s="124" t="s">
        <v>97</v>
      </c>
      <c r="C6" s="125">
        <v>0.42</v>
      </c>
      <c r="D6" s="125" t="s">
        <v>161</v>
      </c>
      <c r="E6" s="125">
        <v>1.56</v>
      </c>
      <c r="F6" s="126" t="s">
        <v>274</v>
      </c>
      <c r="G6" s="127">
        <v>0.43</v>
      </c>
      <c r="H6" s="125" t="s">
        <v>278</v>
      </c>
      <c r="I6" s="128">
        <v>0.25</v>
      </c>
      <c r="J6" s="92"/>
      <c r="K6" s="92"/>
      <c r="L6" s="92"/>
      <c r="M6" s="92"/>
      <c r="N6" s="92"/>
      <c r="O6" s="313"/>
      <c r="P6" s="130">
        <v>0.05</v>
      </c>
    </row>
    <row r="7" spans="1:16" x14ac:dyDescent="0.3">
      <c r="A7" s="123" t="s">
        <v>5</v>
      </c>
      <c r="B7" s="124" t="s">
        <v>56</v>
      </c>
      <c r="C7" s="125">
        <v>0.52</v>
      </c>
      <c r="D7" s="125" t="s">
        <v>161</v>
      </c>
      <c r="E7" s="125">
        <v>1.56</v>
      </c>
      <c r="F7" s="126" t="s">
        <v>274</v>
      </c>
      <c r="G7" s="127">
        <v>0.43</v>
      </c>
      <c r="H7" s="125" t="s">
        <v>278</v>
      </c>
      <c r="I7" s="128">
        <v>0.25</v>
      </c>
      <c r="J7" s="92"/>
      <c r="K7" s="92"/>
      <c r="L7" s="92"/>
      <c r="M7" s="92"/>
      <c r="N7" s="92"/>
      <c r="O7" s="313"/>
      <c r="P7" s="130">
        <v>0.1</v>
      </c>
    </row>
    <row r="8" spans="1:16" ht="15" thickBot="1" x14ac:dyDescent="0.35">
      <c r="A8" s="123" t="s">
        <v>164</v>
      </c>
      <c r="B8" s="124" t="s">
        <v>57</v>
      </c>
      <c r="C8" s="125">
        <v>0.36</v>
      </c>
      <c r="D8" s="125" t="s">
        <v>161</v>
      </c>
      <c r="E8" s="125">
        <v>1.3</v>
      </c>
      <c r="F8" s="126" t="s">
        <v>274</v>
      </c>
      <c r="G8" s="127">
        <v>0.55000000000000004</v>
      </c>
      <c r="H8" s="125" t="s">
        <v>153</v>
      </c>
      <c r="I8" s="128">
        <v>0.43</v>
      </c>
      <c r="J8" s="92"/>
      <c r="K8" s="92"/>
      <c r="L8" s="92"/>
      <c r="M8" s="92"/>
      <c r="N8" s="92"/>
      <c r="O8" s="312"/>
      <c r="P8" s="129">
        <v>0.15</v>
      </c>
    </row>
    <row r="9" spans="1:16" ht="15" thickBot="1" x14ac:dyDescent="0.35">
      <c r="A9" s="123" t="s">
        <v>6</v>
      </c>
      <c r="B9" s="124" t="s">
        <v>58</v>
      </c>
      <c r="C9" s="125">
        <v>0.61</v>
      </c>
      <c r="D9" s="125" t="s">
        <v>161</v>
      </c>
      <c r="E9" s="125">
        <v>1.56</v>
      </c>
      <c r="F9" s="126" t="s">
        <v>274</v>
      </c>
      <c r="G9" s="127">
        <v>0.43</v>
      </c>
      <c r="H9" s="125" t="s">
        <v>278</v>
      </c>
      <c r="I9" s="128">
        <v>0.25</v>
      </c>
      <c r="J9" s="92"/>
      <c r="K9" s="92"/>
      <c r="L9" s="92"/>
      <c r="M9" s="92"/>
      <c r="N9" s="92"/>
    </row>
    <row r="10" spans="1:16" x14ac:dyDescent="0.3">
      <c r="A10" s="123" t="s">
        <v>7</v>
      </c>
      <c r="B10" s="124" t="s">
        <v>59</v>
      </c>
      <c r="C10" s="125">
        <v>0.66</v>
      </c>
      <c r="D10" s="125" t="s">
        <v>161</v>
      </c>
      <c r="E10" s="125">
        <v>1.56</v>
      </c>
      <c r="F10" s="126" t="s">
        <v>274</v>
      </c>
      <c r="G10" s="127">
        <v>0.43</v>
      </c>
      <c r="H10" s="125" t="s">
        <v>278</v>
      </c>
      <c r="I10" s="128">
        <v>0.25</v>
      </c>
      <c r="J10" s="92"/>
      <c r="K10" s="92"/>
      <c r="L10" s="92"/>
      <c r="M10" s="92"/>
      <c r="N10" s="92"/>
      <c r="O10" s="311" t="s">
        <v>236</v>
      </c>
      <c r="P10" s="122">
        <v>0</v>
      </c>
    </row>
    <row r="11" spans="1:16" ht="15" thickBot="1" x14ac:dyDescent="0.35">
      <c r="A11" s="123" t="s">
        <v>8</v>
      </c>
      <c r="B11" s="124" t="s">
        <v>60</v>
      </c>
      <c r="C11" s="125">
        <v>0.47</v>
      </c>
      <c r="D11" s="125" t="s">
        <v>161</v>
      </c>
      <c r="E11" s="125">
        <v>1.56</v>
      </c>
      <c r="F11" s="126" t="s">
        <v>274</v>
      </c>
      <c r="G11" s="127">
        <v>0.43</v>
      </c>
      <c r="H11" s="125" t="s">
        <v>278</v>
      </c>
      <c r="I11" s="128">
        <v>0.25</v>
      </c>
      <c r="J11" s="92"/>
      <c r="K11" s="92"/>
      <c r="L11" s="92"/>
      <c r="M11" s="92"/>
      <c r="N11" s="92"/>
      <c r="O11" s="312"/>
      <c r="P11" s="129">
        <v>0.1</v>
      </c>
    </row>
    <row r="12" spans="1:16" x14ac:dyDescent="0.3">
      <c r="A12" s="123" t="s">
        <v>9</v>
      </c>
      <c r="B12" s="124" t="s">
        <v>61</v>
      </c>
      <c r="C12" s="125">
        <v>0.67</v>
      </c>
      <c r="D12" s="125" t="s">
        <v>161</v>
      </c>
      <c r="E12" s="125">
        <v>1.56</v>
      </c>
      <c r="F12" s="126" t="s">
        <v>274</v>
      </c>
      <c r="G12" s="127">
        <v>0.43</v>
      </c>
      <c r="H12" s="125" t="s">
        <v>152</v>
      </c>
      <c r="I12" s="128">
        <v>0.25</v>
      </c>
      <c r="J12" s="92"/>
      <c r="K12" s="92"/>
      <c r="L12" s="92"/>
      <c r="M12" s="92"/>
      <c r="N12" s="92"/>
    </row>
    <row r="13" spans="1:16" x14ac:dyDescent="0.3">
      <c r="A13" s="123" t="s">
        <v>10</v>
      </c>
      <c r="B13" s="124" t="s">
        <v>62</v>
      </c>
      <c r="C13" s="125">
        <v>0.7</v>
      </c>
      <c r="D13" s="125" t="s">
        <v>161</v>
      </c>
      <c r="E13" s="125">
        <v>1.56</v>
      </c>
      <c r="F13" s="126" t="s">
        <v>274</v>
      </c>
      <c r="G13" s="127">
        <v>0.43</v>
      </c>
      <c r="H13" s="125" t="s">
        <v>152</v>
      </c>
      <c r="I13" s="128">
        <v>0.25</v>
      </c>
      <c r="J13" s="92"/>
      <c r="K13" s="92"/>
      <c r="L13" s="92"/>
      <c r="M13" s="92"/>
      <c r="N13" s="92"/>
    </row>
    <row r="14" spans="1:16" x14ac:dyDescent="0.3">
      <c r="A14" s="123" t="s">
        <v>11</v>
      </c>
      <c r="B14" s="124" t="s">
        <v>63</v>
      </c>
      <c r="C14" s="125">
        <v>0.54</v>
      </c>
      <c r="D14" s="125" t="s">
        <v>161</v>
      </c>
      <c r="E14" s="125">
        <v>1.56</v>
      </c>
      <c r="F14" s="126" t="s">
        <v>274</v>
      </c>
      <c r="G14" s="127">
        <v>0.43</v>
      </c>
      <c r="H14" s="125" t="s">
        <v>152</v>
      </c>
      <c r="I14" s="128">
        <v>0.25</v>
      </c>
      <c r="J14" s="92"/>
      <c r="K14" s="92"/>
      <c r="L14" s="92"/>
      <c r="M14" s="92"/>
      <c r="N14" s="92"/>
    </row>
    <row r="15" spans="1:16" x14ac:dyDescent="0.3">
      <c r="A15" s="123" t="s">
        <v>12</v>
      </c>
      <c r="B15" s="124" t="s">
        <v>64</v>
      </c>
      <c r="C15" s="125">
        <v>0.65</v>
      </c>
      <c r="D15" s="125" t="s">
        <v>161</v>
      </c>
      <c r="E15" s="125">
        <v>1.56</v>
      </c>
      <c r="F15" s="126" t="s">
        <v>274</v>
      </c>
      <c r="G15" s="127">
        <v>0.43</v>
      </c>
      <c r="H15" s="125" t="s">
        <v>152</v>
      </c>
      <c r="I15" s="128">
        <v>0.25</v>
      </c>
      <c r="J15" s="92"/>
      <c r="K15" s="92"/>
      <c r="L15" s="92"/>
      <c r="M15" s="92"/>
      <c r="N15" s="92"/>
    </row>
    <row r="16" spans="1:16" x14ac:dyDescent="0.3">
      <c r="A16" s="123" t="s">
        <v>13</v>
      </c>
      <c r="B16" s="124" t="s">
        <v>65</v>
      </c>
      <c r="C16" s="125">
        <v>0.56000000000000005</v>
      </c>
      <c r="D16" s="125" t="s">
        <v>161</v>
      </c>
      <c r="E16" s="125">
        <v>1.56</v>
      </c>
      <c r="F16" s="126" t="s">
        <v>274</v>
      </c>
      <c r="G16" s="127">
        <v>0.43</v>
      </c>
      <c r="H16" s="125" t="s">
        <v>152</v>
      </c>
      <c r="I16" s="128">
        <v>0.25</v>
      </c>
      <c r="J16" s="92"/>
      <c r="K16" s="92"/>
      <c r="L16" s="92"/>
      <c r="M16" s="92"/>
      <c r="N16" s="92"/>
    </row>
    <row r="17" spans="1:14" x14ac:dyDescent="0.3">
      <c r="A17" s="123" t="s">
        <v>14</v>
      </c>
      <c r="B17" s="124" t="s">
        <v>66</v>
      </c>
      <c r="C17" s="125">
        <v>0.57999999999999996</v>
      </c>
      <c r="D17" s="125" t="s">
        <v>161</v>
      </c>
      <c r="E17" s="125">
        <v>1.56</v>
      </c>
      <c r="F17" s="126" t="s">
        <v>274</v>
      </c>
      <c r="G17" s="127">
        <v>0.43</v>
      </c>
      <c r="H17" s="125" t="s">
        <v>152</v>
      </c>
      <c r="I17" s="128">
        <v>0.25</v>
      </c>
      <c r="J17" s="92"/>
      <c r="K17" s="92"/>
      <c r="L17" s="92"/>
      <c r="M17" s="92"/>
      <c r="N17" s="92"/>
    </row>
    <row r="18" spans="1:14" x14ac:dyDescent="0.3">
      <c r="A18" s="123" t="s">
        <v>15</v>
      </c>
      <c r="B18" s="124" t="s">
        <v>67</v>
      </c>
      <c r="C18" s="125">
        <v>0.64</v>
      </c>
      <c r="D18" s="125" t="s">
        <v>161</v>
      </c>
      <c r="E18" s="125">
        <v>1.56</v>
      </c>
      <c r="F18" s="126" t="s">
        <v>274</v>
      </c>
      <c r="G18" s="127">
        <v>0.43</v>
      </c>
      <c r="H18" s="125" t="s">
        <v>152</v>
      </c>
      <c r="I18" s="128">
        <v>0.25</v>
      </c>
      <c r="J18" s="92"/>
      <c r="K18" s="92"/>
      <c r="L18" s="92"/>
      <c r="M18" s="92"/>
      <c r="N18" s="92"/>
    </row>
    <row r="19" spans="1:14" x14ac:dyDescent="0.3">
      <c r="A19" s="123" t="s">
        <v>16</v>
      </c>
      <c r="B19" s="124" t="s">
        <v>68</v>
      </c>
      <c r="C19" s="125">
        <v>0.73</v>
      </c>
      <c r="D19" s="125" t="s">
        <v>161</v>
      </c>
      <c r="E19" s="125">
        <v>1.56</v>
      </c>
      <c r="F19" s="126" t="s">
        <v>274</v>
      </c>
      <c r="G19" s="127">
        <v>0.43</v>
      </c>
      <c r="H19" s="125" t="s">
        <v>152</v>
      </c>
      <c r="I19" s="128">
        <v>0.25</v>
      </c>
      <c r="J19" s="92"/>
      <c r="K19" s="92"/>
      <c r="L19" s="92"/>
      <c r="M19" s="92"/>
      <c r="N19" s="92"/>
    </row>
    <row r="20" spans="1:14" x14ac:dyDescent="0.3">
      <c r="A20" s="123" t="s">
        <v>52</v>
      </c>
      <c r="B20" s="124" t="s">
        <v>69</v>
      </c>
      <c r="C20" s="125">
        <v>0.69</v>
      </c>
      <c r="D20" s="125" t="s">
        <v>131</v>
      </c>
      <c r="E20" s="125">
        <v>1.56</v>
      </c>
      <c r="F20" s="126" t="s">
        <v>274</v>
      </c>
      <c r="G20" s="127">
        <v>0.43</v>
      </c>
      <c r="H20" s="125" t="s">
        <v>282</v>
      </c>
      <c r="I20" s="128">
        <v>0.25</v>
      </c>
      <c r="J20" s="92"/>
      <c r="K20" s="92"/>
      <c r="L20" s="92"/>
      <c r="M20" s="92"/>
      <c r="N20" s="92"/>
    </row>
    <row r="21" spans="1:14" x14ac:dyDescent="0.3">
      <c r="A21" s="123" t="s">
        <v>154</v>
      </c>
      <c r="B21" s="124" t="s">
        <v>155</v>
      </c>
      <c r="C21" s="125">
        <v>0.36</v>
      </c>
      <c r="D21" s="125" t="s">
        <v>161</v>
      </c>
      <c r="E21" s="125">
        <v>1.3</v>
      </c>
      <c r="F21" s="126" t="s">
        <v>274</v>
      </c>
      <c r="G21" s="127">
        <v>0.55000000000000004</v>
      </c>
      <c r="H21" s="125" t="s">
        <v>153</v>
      </c>
      <c r="I21" s="128">
        <v>0.43</v>
      </c>
      <c r="J21" s="92"/>
      <c r="K21" s="92"/>
      <c r="L21" s="92"/>
      <c r="M21" s="92"/>
      <c r="N21" s="92"/>
    </row>
    <row r="22" spans="1:14" x14ac:dyDescent="0.3">
      <c r="A22" s="123" t="s">
        <v>17</v>
      </c>
      <c r="B22" s="124" t="s">
        <v>70</v>
      </c>
      <c r="C22" s="125">
        <v>0.4</v>
      </c>
      <c r="D22" s="125" t="s">
        <v>161</v>
      </c>
      <c r="E22" s="125">
        <v>1.3</v>
      </c>
      <c r="F22" s="126" t="s">
        <v>274</v>
      </c>
      <c r="G22" s="127">
        <v>0.55000000000000004</v>
      </c>
      <c r="H22" s="125" t="s">
        <v>153</v>
      </c>
      <c r="I22" s="128">
        <v>0.43</v>
      </c>
      <c r="J22" s="92"/>
      <c r="K22" s="92"/>
      <c r="L22" s="92"/>
      <c r="M22" s="92"/>
      <c r="N22" s="92"/>
    </row>
    <row r="23" spans="1:14" x14ac:dyDescent="0.3">
      <c r="A23" s="123" t="s">
        <v>18</v>
      </c>
      <c r="B23" s="124" t="s">
        <v>71</v>
      </c>
      <c r="C23" s="125">
        <v>0.43</v>
      </c>
      <c r="D23" s="125" t="s">
        <v>161</v>
      </c>
      <c r="E23" s="125">
        <v>1.3</v>
      </c>
      <c r="F23" s="126" t="s">
        <v>274</v>
      </c>
      <c r="G23" s="127">
        <v>0.55000000000000004</v>
      </c>
      <c r="H23" s="125" t="s">
        <v>153</v>
      </c>
      <c r="I23" s="128">
        <v>0.43</v>
      </c>
      <c r="J23" s="92"/>
      <c r="K23" s="92"/>
      <c r="L23" s="92"/>
      <c r="M23" s="92"/>
      <c r="N23" s="92"/>
    </row>
    <row r="24" spans="1:14" x14ac:dyDescent="0.3">
      <c r="A24" s="123" t="s">
        <v>19</v>
      </c>
      <c r="B24" s="124" t="s">
        <v>72</v>
      </c>
      <c r="C24" s="125">
        <v>0.37</v>
      </c>
      <c r="D24" s="125" t="s">
        <v>161</v>
      </c>
      <c r="E24" s="125">
        <v>1.3</v>
      </c>
      <c r="F24" s="126" t="s">
        <v>274</v>
      </c>
      <c r="G24" s="127">
        <v>0.55000000000000004</v>
      </c>
      <c r="H24" s="125" t="s">
        <v>152</v>
      </c>
      <c r="I24" s="128">
        <v>0.43</v>
      </c>
      <c r="J24" s="92"/>
      <c r="K24" s="92"/>
      <c r="L24" s="92"/>
      <c r="M24" s="92"/>
      <c r="N24" s="92"/>
    </row>
    <row r="25" spans="1:14" x14ac:dyDescent="0.3">
      <c r="A25" s="123" t="s">
        <v>20</v>
      </c>
      <c r="B25" s="124" t="s">
        <v>73</v>
      </c>
      <c r="C25" s="125">
        <v>0.36</v>
      </c>
      <c r="D25" s="125" t="s">
        <v>161</v>
      </c>
      <c r="E25" s="125">
        <v>1.3</v>
      </c>
      <c r="F25" s="126" t="s">
        <v>274</v>
      </c>
      <c r="G25" s="127">
        <v>0.55000000000000004</v>
      </c>
      <c r="H25" s="125" t="s">
        <v>152</v>
      </c>
      <c r="I25" s="128">
        <v>0.43</v>
      </c>
      <c r="J25" s="92"/>
      <c r="K25" s="92"/>
      <c r="L25" s="92"/>
      <c r="M25" s="92"/>
      <c r="N25" s="92"/>
    </row>
    <row r="26" spans="1:14" x14ac:dyDescent="0.3">
      <c r="A26" s="123" t="s">
        <v>21</v>
      </c>
      <c r="B26" s="124" t="s">
        <v>74</v>
      </c>
      <c r="C26" s="125">
        <v>0.56000000000000005</v>
      </c>
      <c r="D26" s="125" t="s">
        <v>161</v>
      </c>
      <c r="E26" s="125">
        <v>1.56</v>
      </c>
      <c r="F26" s="126" t="s">
        <v>274</v>
      </c>
      <c r="G26" s="127">
        <v>0.53</v>
      </c>
      <c r="H26" s="125" t="s">
        <v>275</v>
      </c>
      <c r="I26" s="128">
        <v>0.25</v>
      </c>
      <c r="J26" s="92"/>
      <c r="K26" s="92"/>
      <c r="L26" s="92"/>
      <c r="M26" s="92"/>
      <c r="N26" s="92"/>
    </row>
    <row r="27" spans="1:14" x14ac:dyDescent="0.3">
      <c r="A27" s="123" t="s">
        <v>22</v>
      </c>
      <c r="B27" s="124" t="s">
        <v>75</v>
      </c>
      <c r="C27" s="125">
        <v>0.51</v>
      </c>
      <c r="D27" s="125" t="s">
        <v>161</v>
      </c>
      <c r="E27" s="125">
        <v>1.56</v>
      </c>
      <c r="F27" s="126" t="s">
        <v>274</v>
      </c>
      <c r="G27" s="127">
        <v>0.53</v>
      </c>
      <c r="H27" s="125" t="s">
        <v>275</v>
      </c>
      <c r="I27" s="128">
        <v>0.25</v>
      </c>
      <c r="J27" s="92"/>
      <c r="K27" s="92"/>
      <c r="L27" s="92"/>
      <c r="M27" s="92"/>
      <c r="N27" s="92"/>
    </row>
    <row r="28" spans="1:14" x14ac:dyDescent="0.3">
      <c r="A28" s="123" t="s">
        <v>23</v>
      </c>
      <c r="B28" s="124" t="s">
        <v>76</v>
      </c>
      <c r="C28" s="125">
        <v>0.51</v>
      </c>
      <c r="D28" s="125" t="s">
        <v>161</v>
      </c>
      <c r="E28" s="125">
        <v>1.56</v>
      </c>
      <c r="F28" s="126" t="s">
        <v>274</v>
      </c>
      <c r="G28" s="127">
        <v>0.53</v>
      </c>
      <c r="H28" s="125" t="s">
        <v>275</v>
      </c>
      <c r="I28" s="128">
        <v>0.25</v>
      </c>
      <c r="J28" s="92"/>
      <c r="K28" s="92"/>
      <c r="L28" s="92"/>
      <c r="M28" s="92"/>
      <c r="N28" s="92"/>
    </row>
    <row r="29" spans="1:14" x14ac:dyDescent="0.3">
      <c r="A29" s="123" t="s">
        <v>24</v>
      </c>
      <c r="B29" s="124" t="s">
        <v>24</v>
      </c>
      <c r="C29" s="125">
        <v>0.56000000000000005</v>
      </c>
      <c r="D29" s="125" t="s">
        <v>161</v>
      </c>
      <c r="E29" s="125">
        <v>1.56</v>
      </c>
      <c r="F29" s="126" t="s">
        <v>274</v>
      </c>
      <c r="G29" s="127">
        <v>0.53</v>
      </c>
      <c r="H29" s="125" t="s">
        <v>275</v>
      </c>
      <c r="I29" s="128">
        <v>0.25</v>
      </c>
      <c r="J29" s="92"/>
      <c r="K29" s="92"/>
      <c r="L29" s="92"/>
      <c r="M29" s="92"/>
      <c r="N29" s="92"/>
    </row>
    <row r="30" spans="1:14" x14ac:dyDescent="0.3">
      <c r="A30" s="123" t="s">
        <v>25</v>
      </c>
      <c r="B30" s="124" t="s">
        <v>77</v>
      </c>
      <c r="C30" s="125">
        <v>0.55000000000000004</v>
      </c>
      <c r="D30" s="125" t="s">
        <v>161</v>
      </c>
      <c r="E30" s="125">
        <v>1.56</v>
      </c>
      <c r="F30" s="126" t="s">
        <v>274</v>
      </c>
      <c r="G30" s="127">
        <v>0.53</v>
      </c>
      <c r="H30" s="125" t="s">
        <v>152</v>
      </c>
      <c r="I30" s="128">
        <v>0.25</v>
      </c>
      <c r="J30" s="92"/>
      <c r="K30" s="92"/>
      <c r="L30" s="92"/>
      <c r="M30" s="92"/>
      <c r="N30" s="92"/>
    </row>
    <row r="31" spans="1:14" x14ac:dyDescent="0.3">
      <c r="A31" s="123" t="s">
        <v>26</v>
      </c>
      <c r="B31" s="124" t="s">
        <v>78</v>
      </c>
      <c r="C31" s="125">
        <v>0.56000000000000005</v>
      </c>
      <c r="D31" s="125" t="s">
        <v>161</v>
      </c>
      <c r="E31" s="125">
        <v>1.56</v>
      </c>
      <c r="F31" s="126" t="s">
        <v>274</v>
      </c>
      <c r="G31" s="127">
        <v>0.43</v>
      </c>
      <c r="H31" s="125" t="s">
        <v>278</v>
      </c>
      <c r="I31" s="128">
        <v>0.25</v>
      </c>
      <c r="J31" s="92"/>
      <c r="K31" s="92"/>
      <c r="L31" s="92"/>
      <c r="M31" s="92"/>
      <c r="N31" s="92"/>
    </row>
    <row r="32" spans="1:14" x14ac:dyDescent="0.3">
      <c r="A32" s="123" t="s">
        <v>27</v>
      </c>
      <c r="B32" s="124" t="s">
        <v>79</v>
      </c>
      <c r="C32" s="125">
        <v>0.48</v>
      </c>
      <c r="D32" s="125" t="s">
        <v>161</v>
      </c>
      <c r="E32" s="125">
        <v>1.3</v>
      </c>
      <c r="F32" s="126" t="s">
        <v>274</v>
      </c>
      <c r="G32" s="127">
        <v>0.6</v>
      </c>
      <c r="H32" s="125" t="s">
        <v>281</v>
      </c>
      <c r="I32" s="128">
        <v>0.43</v>
      </c>
      <c r="J32" s="92"/>
      <c r="K32" s="92"/>
      <c r="L32" s="92"/>
      <c r="M32" s="92"/>
      <c r="N32" s="92"/>
    </row>
    <row r="33" spans="1:14" x14ac:dyDescent="0.3">
      <c r="A33" s="123" t="s">
        <v>28</v>
      </c>
      <c r="B33" s="124" t="s">
        <v>80</v>
      </c>
      <c r="C33" s="125">
        <v>0.42</v>
      </c>
      <c r="D33" s="125" t="s">
        <v>161</v>
      </c>
      <c r="E33" s="125">
        <v>1.3</v>
      </c>
      <c r="F33" s="126" t="s">
        <v>274</v>
      </c>
      <c r="G33" s="127">
        <v>0.6</v>
      </c>
      <c r="H33" s="125" t="s">
        <v>281</v>
      </c>
      <c r="I33" s="128">
        <v>0.43</v>
      </c>
      <c r="J33" s="92"/>
      <c r="K33" s="92"/>
      <c r="L33" s="92"/>
      <c r="M33" s="92"/>
      <c r="N33" s="92"/>
    </row>
    <row r="34" spans="1:14" x14ac:dyDescent="0.3">
      <c r="A34" s="123" t="s">
        <v>81</v>
      </c>
      <c r="B34" s="124" t="s">
        <v>163</v>
      </c>
      <c r="C34" s="125">
        <v>0.42</v>
      </c>
      <c r="D34" s="125" t="s">
        <v>103</v>
      </c>
      <c r="E34" s="125">
        <v>1.3</v>
      </c>
      <c r="F34" s="126" t="s">
        <v>274</v>
      </c>
      <c r="G34" s="127">
        <v>0.6</v>
      </c>
      <c r="H34" s="124" t="s">
        <v>280</v>
      </c>
      <c r="I34" s="128">
        <v>0.43</v>
      </c>
      <c r="J34" s="92"/>
      <c r="K34" s="92"/>
      <c r="L34" s="92"/>
      <c r="M34" s="92"/>
      <c r="N34" s="92"/>
    </row>
    <row r="35" spans="1:14" x14ac:dyDescent="0.3">
      <c r="A35" s="123" t="s">
        <v>29</v>
      </c>
      <c r="B35" s="124" t="s">
        <v>82</v>
      </c>
      <c r="C35" s="125">
        <v>0.5</v>
      </c>
      <c r="D35" s="125" t="s">
        <v>161</v>
      </c>
      <c r="E35" s="125">
        <v>1.56</v>
      </c>
      <c r="F35" s="126" t="s">
        <v>274</v>
      </c>
      <c r="G35" s="127">
        <v>0.43</v>
      </c>
      <c r="H35" s="125" t="s">
        <v>278</v>
      </c>
      <c r="I35" s="128">
        <v>0.25</v>
      </c>
      <c r="J35" s="92"/>
      <c r="K35" s="92"/>
      <c r="L35" s="92"/>
      <c r="M35" s="92"/>
      <c r="N35" s="92"/>
    </row>
    <row r="36" spans="1:14" x14ac:dyDescent="0.3">
      <c r="A36" s="123" t="s">
        <v>102</v>
      </c>
      <c r="B36" s="124" t="s">
        <v>101</v>
      </c>
      <c r="C36" s="125">
        <v>0.55000000000000004</v>
      </c>
      <c r="D36" s="125" t="s">
        <v>161</v>
      </c>
      <c r="E36" s="125">
        <v>1.56</v>
      </c>
      <c r="F36" s="126" t="s">
        <v>274</v>
      </c>
      <c r="G36" s="127">
        <v>0.53</v>
      </c>
      <c r="H36" s="125" t="s">
        <v>275</v>
      </c>
      <c r="I36" s="128">
        <v>0.25</v>
      </c>
      <c r="J36" s="92"/>
      <c r="K36" s="92"/>
      <c r="L36" s="92"/>
      <c r="M36" s="92"/>
      <c r="N36" s="92"/>
    </row>
    <row r="37" spans="1:14" x14ac:dyDescent="0.3">
      <c r="A37" s="123" t="s">
        <v>30</v>
      </c>
      <c r="B37" s="124" t="s">
        <v>104</v>
      </c>
      <c r="C37" s="125">
        <v>0.52</v>
      </c>
      <c r="D37" s="125" t="s">
        <v>161</v>
      </c>
      <c r="E37" s="125">
        <v>1.56</v>
      </c>
      <c r="F37" s="126" t="s">
        <v>274</v>
      </c>
      <c r="G37" s="127">
        <v>0.53</v>
      </c>
      <c r="H37" s="125" t="s">
        <v>275</v>
      </c>
      <c r="I37" s="128">
        <v>0.25</v>
      </c>
      <c r="J37" s="92"/>
      <c r="K37" s="92"/>
      <c r="L37" s="92"/>
      <c r="M37" s="92"/>
      <c r="N37" s="92"/>
    </row>
    <row r="38" spans="1:14" x14ac:dyDescent="0.3">
      <c r="A38" s="123" t="s">
        <v>31</v>
      </c>
      <c r="B38" s="124" t="s">
        <v>105</v>
      </c>
      <c r="C38" s="125">
        <v>0.52</v>
      </c>
      <c r="D38" s="125" t="s">
        <v>161</v>
      </c>
      <c r="E38" s="125">
        <v>1.56</v>
      </c>
      <c r="F38" s="126" t="s">
        <v>274</v>
      </c>
      <c r="G38" s="127">
        <v>0.43</v>
      </c>
      <c r="H38" s="125" t="s">
        <v>278</v>
      </c>
      <c r="I38" s="128">
        <v>0.25</v>
      </c>
      <c r="J38" s="92"/>
      <c r="K38" s="92"/>
      <c r="L38" s="92"/>
      <c r="M38" s="92"/>
      <c r="N38" s="92"/>
    </row>
    <row r="39" spans="1:14" x14ac:dyDescent="0.3">
      <c r="A39" s="123" t="s">
        <v>107</v>
      </c>
      <c r="B39" s="124" t="s">
        <v>132</v>
      </c>
      <c r="C39" s="125">
        <v>0.313</v>
      </c>
      <c r="D39" s="125" t="s">
        <v>130</v>
      </c>
      <c r="E39" s="125">
        <v>1.56</v>
      </c>
      <c r="F39" s="126" t="s">
        <v>274</v>
      </c>
      <c r="G39" s="127">
        <v>0.6</v>
      </c>
      <c r="H39" s="125" t="s">
        <v>283</v>
      </c>
      <c r="I39" s="128">
        <v>1.03</v>
      </c>
      <c r="J39" s="92"/>
      <c r="K39" s="92"/>
      <c r="L39" s="92"/>
      <c r="M39" s="92"/>
      <c r="N39" s="92"/>
    </row>
    <row r="40" spans="1:14" x14ac:dyDescent="0.3">
      <c r="A40" s="123" t="s">
        <v>108</v>
      </c>
      <c r="B40" s="124" t="s">
        <v>132</v>
      </c>
      <c r="C40" s="125">
        <v>0.35199999999999998</v>
      </c>
      <c r="D40" s="125" t="s">
        <v>130</v>
      </c>
      <c r="E40" s="125">
        <v>1.56</v>
      </c>
      <c r="F40" s="126" t="s">
        <v>274</v>
      </c>
      <c r="G40" s="127">
        <v>0.6</v>
      </c>
      <c r="H40" s="125" t="s">
        <v>283</v>
      </c>
      <c r="I40" s="128">
        <v>1.03</v>
      </c>
      <c r="J40" s="92"/>
      <c r="K40" s="92"/>
      <c r="L40" s="92"/>
      <c r="M40" s="92"/>
      <c r="N40" s="92"/>
    </row>
    <row r="41" spans="1:14" x14ac:dyDescent="0.3">
      <c r="A41" s="123" t="s">
        <v>121</v>
      </c>
      <c r="B41" s="124" t="s">
        <v>132</v>
      </c>
      <c r="C41" s="125">
        <v>0.32200000000000001</v>
      </c>
      <c r="D41" s="125" t="s">
        <v>130</v>
      </c>
      <c r="E41" s="125">
        <v>1.56</v>
      </c>
      <c r="F41" s="126" t="s">
        <v>274</v>
      </c>
      <c r="G41" s="127">
        <v>0.6</v>
      </c>
      <c r="H41" s="125" t="s">
        <v>283</v>
      </c>
      <c r="I41" s="128">
        <v>1.03</v>
      </c>
      <c r="J41" s="92"/>
      <c r="K41" s="92"/>
      <c r="L41" s="92"/>
      <c r="M41" s="92"/>
      <c r="N41" s="92"/>
    </row>
    <row r="42" spans="1:14" x14ac:dyDescent="0.3">
      <c r="A42" s="123" t="s">
        <v>122</v>
      </c>
      <c r="B42" s="124" t="s">
        <v>132</v>
      </c>
      <c r="C42" s="125">
        <v>0.311</v>
      </c>
      <c r="D42" s="125" t="s">
        <v>130</v>
      </c>
      <c r="E42" s="125">
        <v>1.56</v>
      </c>
      <c r="F42" s="126" t="s">
        <v>274</v>
      </c>
      <c r="G42" s="127">
        <v>0.6</v>
      </c>
      <c r="H42" s="125" t="s">
        <v>283</v>
      </c>
      <c r="I42" s="128">
        <v>1.03</v>
      </c>
      <c r="J42" s="92"/>
      <c r="K42" s="92"/>
      <c r="L42" s="92"/>
      <c r="M42" s="92"/>
      <c r="N42" s="92"/>
    </row>
    <row r="43" spans="1:14" x14ac:dyDescent="0.3">
      <c r="A43" s="123" t="s">
        <v>109</v>
      </c>
      <c r="B43" s="124" t="s">
        <v>132</v>
      </c>
      <c r="C43" s="125">
        <v>0.33900000000000002</v>
      </c>
      <c r="D43" s="125" t="s">
        <v>130</v>
      </c>
      <c r="E43" s="125">
        <v>1.56</v>
      </c>
      <c r="F43" s="126" t="s">
        <v>274</v>
      </c>
      <c r="G43" s="127">
        <v>0.6</v>
      </c>
      <c r="H43" s="125" t="s">
        <v>283</v>
      </c>
      <c r="I43" s="128">
        <v>1.03</v>
      </c>
      <c r="J43" s="92"/>
      <c r="K43" s="92"/>
      <c r="L43" s="92"/>
      <c r="M43" s="92"/>
      <c r="N43" s="92"/>
    </row>
    <row r="44" spans="1:14" x14ac:dyDescent="0.3">
      <c r="A44" s="123" t="s">
        <v>123</v>
      </c>
      <c r="B44" s="124" t="s">
        <v>132</v>
      </c>
      <c r="C44" s="125">
        <v>0.33600000000000002</v>
      </c>
      <c r="D44" s="125" t="s">
        <v>130</v>
      </c>
      <c r="E44" s="125">
        <v>1.56</v>
      </c>
      <c r="F44" s="126" t="s">
        <v>274</v>
      </c>
      <c r="G44" s="127">
        <v>0.6</v>
      </c>
      <c r="H44" s="125" t="s">
        <v>283</v>
      </c>
      <c r="I44" s="128">
        <v>1.03</v>
      </c>
      <c r="J44" s="92"/>
      <c r="K44" s="92"/>
      <c r="L44" s="92"/>
      <c r="M44" s="92"/>
      <c r="N44" s="92"/>
    </row>
    <row r="45" spans="1:14" x14ac:dyDescent="0.3">
      <c r="A45" s="123" t="s">
        <v>110</v>
      </c>
      <c r="B45" s="124" t="s">
        <v>132</v>
      </c>
      <c r="C45" s="125">
        <v>0.32900000000000001</v>
      </c>
      <c r="D45" s="125" t="s">
        <v>130</v>
      </c>
      <c r="E45" s="125">
        <v>1.56</v>
      </c>
      <c r="F45" s="126" t="s">
        <v>274</v>
      </c>
      <c r="G45" s="127">
        <v>0.6</v>
      </c>
      <c r="H45" s="125" t="s">
        <v>283</v>
      </c>
      <c r="I45" s="128">
        <v>1.03</v>
      </c>
      <c r="J45" s="92"/>
      <c r="K45" s="92"/>
      <c r="L45" s="92"/>
      <c r="M45" s="92"/>
      <c r="N45" s="92"/>
    </row>
    <row r="46" spans="1:14" x14ac:dyDescent="0.3">
      <c r="A46" s="123" t="s">
        <v>124</v>
      </c>
      <c r="B46" s="124" t="s">
        <v>132</v>
      </c>
      <c r="C46" s="125">
        <v>0.34300000000000003</v>
      </c>
      <c r="D46" s="125" t="s">
        <v>130</v>
      </c>
      <c r="E46" s="125">
        <v>1.56</v>
      </c>
      <c r="F46" s="126" t="s">
        <v>274</v>
      </c>
      <c r="G46" s="127">
        <v>0.6</v>
      </c>
      <c r="H46" s="125" t="s">
        <v>283</v>
      </c>
      <c r="I46" s="128">
        <v>1.03</v>
      </c>
      <c r="J46" s="92"/>
      <c r="K46" s="92"/>
      <c r="L46" s="92"/>
      <c r="M46" s="92"/>
      <c r="N46" s="92"/>
    </row>
    <row r="47" spans="1:14" x14ac:dyDescent="0.3">
      <c r="A47" s="123" t="s">
        <v>125</v>
      </c>
      <c r="B47" s="124" t="s">
        <v>132</v>
      </c>
      <c r="C47" s="125">
        <v>0.32500000000000001</v>
      </c>
      <c r="D47" s="125" t="s">
        <v>130</v>
      </c>
      <c r="E47" s="125">
        <v>1.56</v>
      </c>
      <c r="F47" s="126" t="s">
        <v>274</v>
      </c>
      <c r="G47" s="127">
        <v>0.6</v>
      </c>
      <c r="H47" s="125" t="s">
        <v>283</v>
      </c>
      <c r="I47" s="128">
        <v>1.03</v>
      </c>
      <c r="J47" s="92"/>
      <c r="K47" s="92"/>
      <c r="L47" s="92"/>
      <c r="M47" s="92"/>
      <c r="N47" s="92"/>
    </row>
    <row r="48" spans="1:14" x14ac:dyDescent="0.3">
      <c r="A48" s="123" t="s">
        <v>126</v>
      </c>
      <c r="B48" s="124" t="s">
        <v>132</v>
      </c>
      <c r="C48" s="125">
        <v>0.32</v>
      </c>
      <c r="D48" s="125" t="s">
        <v>130</v>
      </c>
      <c r="E48" s="125">
        <v>1.56</v>
      </c>
      <c r="F48" s="126" t="s">
        <v>274</v>
      </c>
      <c r="G48" s="127">
        <v>0.6</v>
      </c>
      <c r="H48" s="125" t="s">
        <v>283</v>
      </c>
      <c r="I48" s="128">
        <v>1.03</v>
      </c>
      <c r="J48" s="92"/>
      <c r="K48" s="92"/>
      <c r="L48" s="92"/>
      <c r="M48" s="92"/>
      <c r="N48" s="92"/>
    </row>
    <row r="49" spans="1:14" x14ac:dyDescent="0.3">
      <c r="A49" s="123" t="s">
        <v>111</v>
      </c>
      <c r="B49" s="124" t="s">
        <v>132</v>
      </c>
      <c r="C49" s="125">
        <v>0.28199999999999997</v>
      </c>
      <c r="D49" s="125" t="s">
        <v>130</v>
      </c>
      <c r="E49" s="125">
        <v>1.56</v>
      </c>
      <c r="F49" s="126" t="s">
        <v>274</v>
      </c>
      <c r="G49" s="127">
        <v>0.6</v>
      </c>
      <c r="H49" s="125" t="s">
        <v>283</v>
      </c>
      <c r="I49" s="128">
        <v>1.03</v>
      </c>
      <c r="J49" s="92"/>
      <c r="K49" s="92"/>
      <c r="L49" s="92"/>
      <c r="M49" s="92"/>
      <c r="N49" s="92"/>
    </row>
    <row r="50" spans="1:14" x14ac:dyDescent="0.3">
      <c r="A50" s="123" t="s">
        <v>127</v>
      </c>
      <c r="B50" s="124" t="s">
        <v>132</v>
      </c>
      <c r="C50" s="125">
        <v>0.32800000000000001</v>
      </c>
      <c r="D50" s="125" t="s">
        <v>130</v>
      </c>
      <c r="E50" s="125">
        <v>1.56</v>
      </c>
      <c r="F50" s="126" t="s">
        <v>274</v>
      </c>
      <c r="G50" s="127">
        <v>0.6</v>
      </c>
      <c r="H50" s="125" t="s">
        <v>283</v>
      </c>
      <c r="I50" s="128">
        <v>1.03</v>
      </c>
      <c r="J50" s="92"/>
      <c r="K50" s="92"/>
      <c r="L50" s="92"/>
      <c r="M50" s="92"/>
      <c r="N50" s="92"/>
    </row>
    <row r="51" spans="1:14" x14ac:dyDescent="0.3">
      <c r="A51" s="123" t="s">
        <v>112</v>
      </c>
      <c r="B51" s="124" t="s">
        <v>132</v>
      </c>
      <c r="C51" s="125">
        <v>0.32600000000000001</v>
      </c>
      <c r="D51" s="125" t="s">
        <v>130</v>
      </c>
      <c r="E51" s="125">
        <v>1.56</v>
      </c>
      <c r="F51" s="126" t="s">
        <v>274</v>
      </c>
      <c r="G51" s="127">
        <v>0.6</v>
      </c>
      <c r="H51" s="125" t="s">
        <v>283</v>
      </c>
      <c r="I51" s="128">
        <v>1.03</v>
      </c>
      <c r="J51" s="92"/>
      <c r="K51" s="92"/>
      <c r="L51" s="92"/>
      <c r="M51" s="92"/>
      <c r="N51" s="92"/>
    </row>
    <row r="52" spans="1:14" x14ac:dyDescent="0.3">
      <c r="A52" s="123" t="s">
        <v>113</v>
      </c>
      <c r="B52" s="124" t="s">
        <v>132</v>
      </c>
      <c r="C52" s="125">
        <v>0.35899999999999999</v>
      </c>
      <c r="D52" s="125" t="s">
        <v>130</v>
      </c>
      <c r="E52" s="125">
        <v>1.56</v>
      </c>
      <c r="F52" s="126" t="s">
        <v>274</v>
      </c>
      <c r="G52" s="127">
        <v>0.6</v>
      </c>
      <c r="H52" s="125" t="s">
        <v>283</v>
      </c>
      <c r="I52" s="128">
        <v>1.03</v>
      </c>
      <c r="J52" s="92"/>
      <c r="K52" s="92"/>
      <c r="L52" s="92"/>
      <c r="M52" s="92"/>
      <c r="N52" s="92"/>
    </row>
    <row r="53" spans="1:14" x14ac:dyDescent="0.3">
      <c r="A53" s="123" t="s">
        <v>114</v>
      </c>
      <c r="B53" s="124" t="s">
        <v>132</v>
      </c>
      <c r="C53" s="125">
        <v>0.34599999999999997</v>
      </c>
      <c r="D53" s="125" t="s">
        <v>130</v>
      </c>
      <c r="E53" s="125">
        <v>1.56</v>
      </c>
      <c r="F53" s="126" t="s">
        <v>274</v>
      </c>
      <c r="G53" s="127">
        <v>0.6</v>
      </c>
      <c r="H53" s="125" t="s">
        <v>283</v>
      </c>
      <c r="I53" s="128">
        <v>1.03</v>
      </c>
      <c r="J53" s="92"/>
      <c r="K53" s="92"/>
      <c r="L53" s="92"/>
      <c r="M53" s="92"/>
      <c r="N53" s="92"/>
    </row>
    <row r="54" spans="1:14" x14ac:dyDescent="0.3">
      <c r="A54" s="123" t="s">
        <v>115</v>
      </c>
      <c r="B54" s="124" t="s">
        <v>132</v>
      </c>
      <c r="C54" s="125">
        <v>0.32600000000000001</v>
      </c>
      <c r="D54" s="125" t="s">
        <v>130</v>
      </c>
      <c r="E54" s="125">
        <v>1.56</v>
      </c>
      <c r="F54" s="126" t="s">
        <v>274</v>
      </c>
      <c r="G54" s="127">
        <v>0.6</v>
      </c>
      <c r="H54" s="125" t="s">
        <v>283</v>
      </c>
      <c r="I54" s="128">
        <v>1.03</v>
      </c>
      <c r="J54" s="92"/>
      <c r="K54" s="92"/>
      <c r="L54" s="92"/>
      <c r="M54" s="92"/>
      <c r="N54" s="92"/>
    </row>
    <row r="55" spans="1:14" x14ac:dyDescent="0.3">
      <c r="A55" s="123" t="s">
        <v>116</v>
      </c>
      <c r="B55" s="124" t="s">
        <v>132</v>
      </c>
      <c r="C55" s="125">
        <v>0.30499999999999999</v>
      </c>
      <c r="D55" s="125" t="s">
        <v>130</v>
      </c>
      <c r="E55" s="125">
        <v>1.56</v>
      </c>
      <c r="F55" s="126" t="s">
        <v>274</v>
      </c>
      <c r="G55" s="127">
        <v>0.6</v>
      </c>
      <c r="H55" s="125" t="s">
        <v>283</v>
      </c>
      <c r="I55" s="128">
        <v>1.03</v>
      </c>
      <c r="J55" s="92"/>
      <c r="K55" s="92"/>
      <c r="L55" s="92"/>
      <c r="M55" s="92"/>
      <c r="N55" s="92"/>
    </row>
    <row r="56" spans="1:14" x14ac:dyDescent="0.3">
      <c r="A56" s="123" t="s">
        <v>128</v>
      </c>
      <c r="B56" s="124" t="s">
        <v>132</v>
      </c>
      <c r="C56" s="125">
        <v>0.32300000000000001</v>
      </c>
      <c r="D56" s="125" t="s">
        <v>130</v>
      </c>
      <c r="E56" s="125">
        <v>1.56</v>
      </c>
      <c r="F56" s="126" t="s">
        <v>274</v>
      </c>
      <c r="G56" s="127">
        <v>0.6</v>
      </c>
      <c r="H56" s="125" t="s">
        <v>283</v>
      </c>
      <c r="I56" s="128">
        <v>1.03</v>
      </c>
      <c r="J56" s="92"/>
      <c r="K56" s="92"/>
      <c r="L56" s="92"/>
      <c r="M56" s="92"/>
      <c r="N56" s="92"/>
    </row>
    <row r="57" spans="1:14" x14ac:dyDescent="0.3">
      <c r="A57" s="123" t="s">
        <v>129</v>
      </c>
      <c r="B57" s="124" t="s">
        <v>132</v>
      </c>
      <c r="C57" s="125">
        <v>0.36699999999999999</v>
      </c>
      <c r="D57" s="125" t="s">
        <v>130</v>
      </c>
      <c r="E57" s="125">
        <v>1.56</v>
      </c>
      <c r="F57" s="126" t="s">
        <v>274</v>
      </c>
      <c r="G57" s="127">
        <v>0.6</v>
      </c>
      <c r="H57" s="125" t="s">
        <v>283</v>
      </c>
      <c r="I57" s="128">
        <v>1.03</v>
      </c>
      <c r="J57" s="92"/>
      <c r="K57" s="92"/>
      <c r="L57" s="92"/>
      <c r="M57" s="92"/>
      <c r="N57" s="92"/>
    </row>
    <row r="58" spans="1:14" x14ac:dyDescent="0.3">
      <c r="A58" s="123" t="s">
        <v>117</v>
      </c>
      <c r="B58" s="124" t="s">
        <v>132</v>
      </c>
      <c r="C58" s="125">
        <v>0.36</v>
      </c>
      <c r="D58" s="125" t="s">
        <v>130</v>
      </c>
      <c r="E58" s="125">
        <v>1.56</v>
      </c>
      <c r="F58" s="126" t="s">
        <v>274</v>
      </c>
      <c r="G58" s="127">
        <v>0.6</v>
      </c>
      <c r="H58" s="125" t="s">
        <v>283</v>
      </c>
      <c r="I58" s="128">
        <v>1.03</v>
      </c>
      <c r="J58" s="92"/>
      <c r="K58" s="92"/>
      <c r="L58" s="92"/>
      <c r="M58" s="92"/>
      <c r="N58" s="92"/>
    </row>
    <row r="59" spans="1:14" x14ac:dyDescent="0.3">
      <c r="A59" s="123" t="s">
        <v>118</v>
      </c>
      <c r="B59" s="124" t="s">
        <v>132</v>
      </c>
      <c r="C59" s="125">
        <v>0.36799999999999999</v>
      </c>
      <c r="D59" s="125" t="s">
        <v>130</v>
      </c>
      <c r="E59" s="125">
        <v>1.56</v>
      </c>
      <c r="F59" s="126" t="s">
        <v>274</v>
      </c>
      <c r="G59" s="127">
        <v>0.6</v>
      </c>
      <c r="H59" s="125" t="s">
        <v>283</v>
      </c>
      <c r="I59" s="128">
        <v>1.03</v>
      </c>
      <c r="J59" s="92"/>
      <c r="K59" s="92"/>
      <c r="L59" s="92"/>
      <c r="M59" s="92"/>
      <c r="N59" s="92"/>
    </row>
    <row r="60" spans="1:14" x14ac:dyDescent="0.3">
      <c r="A60" s="123" t="s">
        <v>119</v>
      </c>
      <c r="B60" s="124" t="s">
        <v>132</v>
      </c>
      <c r="C60" s="125">
        <v>0.30599999999999999</v>
      </c>
      <c r="D60" s="125" t="s">
        <v>130</v>
      </c>
      <c r="E60" s="125">
        <v>1.56</v>
      </c>
      <c r="F60" s="126" t="s">
        <v>274</v>
      </c>
      <c r="G60" s="127">
        <v>0.6</v>
      </c>
      <c r="H60" s="125" t="s">
        <v>283</v>
      </c>
      <c r="I60" s="128">
        <v>1.03</v>
      </c>
      <c r="J60" s="92"/>
      <c r="K60" s="92"/>
      <c r="L60" s="92"/>
      <c r="M60" s="92"/>
      <c r="N60" s="92"/>
    </row>
    <row r="61" spans="1:14" x14ac:dyDescent="0.3">
      <c r="A61" s="123" t="s">
        <v>120</v>
      </c>
      <c r="B61" s="124" t="s">
        <v>132</v>
      </c>
      <c r="C61" s="125">
        <v>0.313</v>
      </c>
      <c r="D61" s="125" t="s">
        <v>130</v>
      </c>
      <c r="E61" s="125">
        <v>1.56</v>
      </c>
      <c r="F61" s="126" t="s">
        <v>274</v>
      </c>
      <c r="G61" s="127">
        <v>0.6</v>
      </c>
      <c r="H61" s="125" t="s">
        <v>283</v>
      </c>
      <c r="I61" s="128">
        <v>1.03</v>
      </c>
      <c r="J61" s="92"/>
      <c r="K61" s="92"/>
      <c r="L61" s="92"/>
      <c r="M61" s="92"/>
      <c r="N61" s="92"/>
    </row>
    <row r="62" spans="1:14" x14ac:dyDescent="0.3">
      <c r="A62" s="123" t="s">
        <v>32</v>
      </c>
      <c r="B62" s="124" t="s">
        <v>133</v>
      </c>
      <c r="C62" s="125">
        <v>0.37</v>
      </c>
      <c r="D62" s="125" t="s">
        <v>161</v>
      </c>
      <c r="E62" s="125">
        <v>1.56</v>
      </c>
      <c r="F62" s="126" t="s">
        <v>274</v>
      </c>
      <c r="G62" s="127">
        <v>0.6</v>
      </c>
      <c r="H62" s="125" t="s">
        <v>283</v>
      </c>
      <c r="I62" s="128">
        <v>1.03</v>
      </c>
      <c r="J62" s="92"/>
      <c r="K62" s="92"/>
      <c r="L62" s="92"/>
      <c r="M62" s="92"/>
      <c r="N62" s="92"/>
    </row>
    <row r="63" spans="1:14" x14ac:dyDescent="0.3">
      <c r="A63" s="123" t="s">
        <v>90</v>
      </c>
      <c r="B63" s="124" t="s">
        <v>83</v>
      </c>
      <c r="C63" s="125">
        <v>0.45</v>
      </c>
      <c r="D63" s="125" t="s">
        <v>161</v>
      </c>
      <c r="E63" s="125">
        <v>1.3</v>
      </c>
      <c r="F63" s="126" t="s">
        <v>274</v>
      </c>
      <c r="G63" s="127">
        <v>0.45</v>
      </c>
      <c r="H63" s="125" t="s">
        <v>276</v>
      </c>
      <c r="I63" s="128">
        <v>0.43</v>
      </c>
      <c r="J63" s="92"/>
      <c r="K63" s="92"/>
      <c r="L63" s="92"/>
      <c r="M63" s="92"/>
      <c r="N63" s="92"/>
    </row>
    <row r="64" spans="1:14" x14ac:dyDescent="0.3">
      <c r="A64" s="123" t="s">
        <v>33</v>
      </c>
      <c r="B64" s="124" t="s">
        <v>134</v>
      </c>
      <c r="C64" s="125">
        <v>0.39</v>
      </c>
      <c r="D64" s="125" t="s">
        <v>161</v>
      </c>
      <c r="E64" s="125">
        <v>1.3</v>
      </c>
      <c r="F64" s="126" t="s">
        <v>274</v>
      </c>
      <c r="G64" s="127">
        <v>0.45</v>
      </c>
      <c r="H64" s="125" t="s">
        <v>276</v>
      </c>
      <c r="I64" s="128">
        <v>0.43</v>
      </c>
      <c r="J64" s="92"/>
      <c r="K64" s="92"/>
      <c r="L64" s="92"/>
      <c r="M64" s="92"/>
      <c r="N64" s="92"/>
    </row>
    <row r="65" spans="1:14" x14ac:dyDescent="0.3">
      <c r="A65" s="123" t="s">
        <v>34</v>
      </c>
      <c r="B65" s="124" t="s">
        <v>135</v>
      </c>
      <c r="C65" s="125">
        <v>0.44</v>
      </c>
      <c r="D65" s="125" t="s">
        <v>161</v>
      </c>
      <c r="E65" s="125">
        <v>1.3</v>
      </c>
      <c r="F65" s="126" t="s">
        <v>274</v>
      </c>
      <c r="G65" s="127">
        <v>0.45</v>
      </c>
      <c r="H65" s="125" t="s">
        <v>276</v>
      </c>
      <c r="I65" s="128">
        <v>0.43</v>
      </c>
      <c r="J65" s="92"/>
      <c r="K65" s="92"/>
      <c r="L65" s="92"/>
      <c r="M65" s="92"/>
      <c r="N65" s="92"/>
    </row>
    <row r="66" spans="1:14" x14ac:dyDescent="0.3">
      <c r="A66" s="123" t="s">
        <v>35</v>
      </c>
      <c r="B66" s="124" t="s">
        <v>84</v>
      </c>
      <c r="C66" s="125">
        <v>0.46</v>
      </c>
      <c r="D66" s="125" t="s">
        <v>161</v>
      </c>
      <c r="E66" s="125">
        <v>1.3</v>
      </c>
      <c r="F66" s="126" t="s">
        <v>274</v>
      </c>
      <c r="G66" s="127">
        <v>0.45</v>
      </c>
      <c r="H66" s="125" t="s">
        <v>276</v>
      </c>
      <c r="I66" s="128">
        <v>0.43</v>
      </c>
      <c r="J66" s="92"/>
      <c r="K66" s="92"/>
      <c r="L66" s="92"/>
      <c r="M66" s="92"/>
      <c r="N66" s="92"/>
    </row>
    <row r="67" spans="1:14" x14ac:dyDescent="0.3">
      <c r="A67" s="123" t="s">
        <v>36</v>
      </c>
      <c r="B67" s="124" t="s">
        <v>85</v>
      </c>
      <c r="C67" s="125">
        <v>0.46</v>
      </c>
      <c r="D67" s="125" t="s">
        <v>161</v>
      </c>
      <c r="E67" s="125">
        <v>1.3</v>
      </c>
      <c r="F67" s="126" t="s">
        <v>274</v>
      </c>
      <c r="G67" s="127">
        <v>0.45</v>
      </c>
      <c r="H67" s="125" t="s">
        <v>152</v>
      </c>
      <c r="I67" s="128">
        <v>0.59</v>
      </c>
      <c r="J67" s="92"/>
      <c r="K67" s="92"/>
      <c r="L67" s="92"/>
      <c r="M67" s="92"/>
      <c r="N67" s="92"/>
    </row>
    <row r="68" spans="1:14" x14ac:dyDescent="0.3">
      <c r="A68" s="123" t="s">
        <v>37</v>
      </c>
      <c r="B68" s="124" t="s">
        <v>136</v>
      </c>
      <c r="C68" s="125">
        <v>0.44</v>
      </c>
      <c r="D68" s="125" t="s">
        <v>161</v>
      </c>
      <c r="E68" s="125">
        <v>1.3</v>
      </c>
      <c r="F68" s="126" t="s">
        <v>274</v>
      </c>
      <c r="G68" s="127">
        <v>0.45</v>
      </c>
      <c r="H68" s="125" t="s">
        <v>276</v>
      </c>
      <c r="I68" s="128">
        <v>0.43</v>
      </c>
      <c r="J68" s="92"/>
      <c r="K68" s="92"/>
      <c r="L68" s="92"/>
      <c r="M68" s="92"/>
      <c r="N68" s="92"/>
    </row>
    <row r="69" spans="1:14" x14ac:dyDescent="0.3">
      <c r="A69" s="123" t="s">
        <v>38</v>
      </c>
      <c r="B69" s="124" t="s">
        <v>86</v>
      </c>
      <c r="C69" s="125">
        <v>0.46</v>
      </c>
      <c r="D69" s="125" t="s">
        <v>161</v>
      </c>
      <c r="E69" s="125">
        <v>1.3</v>
      </c>
      <c r="F69" s="126" t="s">
        <v>274</v>
      </c>
      <c r="G69" s="127">
        <v>0.45</v>
      </c>
      <c r="H69" s="125" t="s">
        <v>276</v>
      </c>
      <c r="I69" s="128">
        <v>0.43</v>
      </c>
      <c r="J69" s="92"/>
      <c r="K69" s="92"/>
      <c r="L69" s="92"/>
      <c r="M69" s="92"/>
      <c r="N69" s="92"/>
    </row>
    <row r="70" spans="1:14" x14ac:dyDescent="0.3">
      <c r="A70" s="123" t="s">
        <v>39</v>
      </c>
      <c r="B70" s="124" t="s">
        <v>137</v>
      </c>
      <c r="C70" s="125">
        <v>0.48</v>
      </c>
      <c r="D70" s="125" t="s">
        <v>161</v>
      </c>
      <c r="E70" s="125">
        <v>2.4</v>
      </c>
      <c r="F70" s="125" t="s">
        <v>284</v>
      </c>
      <c r="G70" s="127">
        <v>0.45</v>
      </c>
      <c r="H70" s="125" t="s">
        <v>276</v>
      </c>
      <c r="I70" s="128">
        <v>0.43</v>
      </c>
      <c r="J70" s="92"/>
      <c r="K70" s="92"/>
      <c r="L70" s="92"/>
      <c r="M70" s="92"/>
      <c r="N70" s="92"/>
    </row>
    <row r="71" spans="1:14" x14ac:dyDescent="0.3">
      <c r="A71" s="123" t="s">
        <v>40</v>
      </c>
      <c r="B71" s="124" t="s">
        <v>87</v>
      </c>
      <c r="C71" s="125">
        <v>0.46</v>
      </c>
      <c r="D71" s="125" t="s">
        <v>150</v>
      </c>
      <c r="E71" s="125">
        <v>1.3</v>
      </c>
      <c r="F71" s="126" t="s">
        <v>274</v>
      </c>
      <c r="G71" s="127">
        <v>0.45</v>
      </c>
      <c r="H71" s="125" t="s">
        <v>276</v>
      </c>
      <c r="I71" s="128">
        <v>0.43</v>
      </c>
      <c r="J71" s="92"/>
      <c r="K71" s="92"/>
      <c r="L71" s="92"/>
      <c r="M71" s="92"/>
      <c r="N71" s="92"/>
    </row>
    <row r="72" spans="1:14" x14ac:dyDescent="0.3">
      <c r="A72" s="123" t="s">
        <v>41</v>
      </c>
      <c r="B72" s="124" t="s">
        <v>88</v>
      </c>
      <c r="C72" s="125">
        <v>0.44</v>
      </c>
      <c r="D72" s="125" t="s">
        <v>161</v>
      </c>
      <c r="E72" s="125">
        <v>1.3</v>
      </c>
      <c r="F72" s="126" t="s">
        <v>274</v>
      </c>
      <c r="G72" s="127">
        <v>0.45</v>
      </c>
      <c r="H72" s="125" t="s">
        <v>276</v>
      </c>
      <c r="I72" s="128">
        <v>0.43</v>
      </c>
      <c r="J72" s="92"/>
      <c r="K72" s="92"/>
      <c r="L72" s="92"/>
      <c r="M72" s="92"/>
      <c r="N72" s="92"/>
    </row>
    <row r="73" spans="1:14" x14ac:dyDescent="0.3">
      <c r="A73" s="123" t="s">
        <v>138</v>
      </c>
      <c r="B73" s="124" t="s">
        <v>140</v>
      </c>
      <c r="C73" s="125">
        <v>0.46</v>
      </c>
      <c r="D73" s="125" t="s">
        <v>151</v>
      </c>
      <c r="E73" s="125">
        <v>1.3</v>
      </c>
      <c r="F73" s="126" t="s">
        <v>274</v>
      </c>
      <c r="G73" s="127">
        <v>0.45</v>
      </c>
      <c r="H73" s="125" t="s">
        <v>276</v>
      </c>
      <c r="I73" s="128">
        <v>0.43</v>
      </c>
      <c r="J73" s="92"/>
      <c r="K73" s="92"/>
      <c r="L73" s="92"/>
      <c r="M73" s="92"/>
      <c r="N73" s="92"/>
    </row>
    <row r="74" spans="1:14" x14ac:dyDescent="0.3">
      <c r="A74" s="123" t="s">
        <v>42</v>
      </c>
      <c r="B74" s="124" t="s">
        <v>139</v>
      </c>
      <c r="C74" s="125">
        <v>0.34</v>
      </c>
      <c r="D74" s="125" t="s">
        <v>161</v>
      </c>
      <c r="E74" s="125">
        <v>1.3</v>
      </c>
      <c r="F74" s="126" t="s">
        <v>274</v>
      </c>
      <c r="G74" s="127">
        <v>0.45</v>
      </c>
      <c r="H74" s="125" t="s">
        <v>276</v>
      </c>
      <c r="I74" s="128">
        <v>0.43</v>
      </c>
      <c r="J74" s="92"/>
      <c r="K74" s="92"/>
      <c r="L74" s="92"/>
      <c r="M74" s="92"/>
      <c r="N74" s="92"/>
    </row>
    <row r="75" spans="1:14" x14ac:dyDescent="0.3">
      <c r="A75" s="123" t="s">
        <v>43</v>
      </c>
      <c r="B75" s="124" t="s">
        <v>162</v>
      </c>
      <c r="C75" s="125">
        <v>0.5</v>
      </c>
      <c r="D75" s="125" t="s">
        <v>161</v>
      </c>
      <c r="E75" s="125">
        <v>1.56</v>
      </c>
      <c r="F75" s="126" t="s">
        <v>274</v>
      </c>
      <c r="G75" s="127">
        <v>0.53</v>
      </c>
      <c r="H75" s="125" t="s">
        <v>275</v>
      </c>
      <c r="I75" s="128">
        <v>0.25</v>
      </c>
      <c r="J75" s="92"/>
      <c r="K75" s="92"/>
      <c r="L75" s="92"/>
      <c r="M75" s="92"/>
      <c r="N75" s="92"/>
    </row>
    <row r="76" spans="1:14" x14ac:dyDescent="0.3">
      <c r="A76" s="123" t="s">
        <v>44</v>
      </c>
      <c r="B76" s="124" t="s">
        <v>89</v>
      </c>
      <c r="C76" s="125">
        <v>0.57999999999999996</v>
      </c>
      <c r="D76" s="125" t="s">
        <v>161</v>
      </c>
      <c r="E76" s="125">
        <v>1.56</v>
      </c>
      <c r="F76" s="126" t="s">
        <v>274</v>
      </c>
      <c r="G76" s="127">
        <v>0.3</v>
      </c>
      <c r="H76" s="125" t="s">
        <v>277</v>
      </c>
      <c r="I76" s="128">
        <v>0.25</v>
      </c>
      <c r="J76" s="92"/>
      <c r="K76" s="92"/>
      <c r="L76" s="92"/>
      <c r="M76" s="92"/>
      <c r="N76" s="92"/>
    </row>
    <row r="77" spans="1:14" x14ac:dyDescent="0.3">
      <c r="A77" s="123" t="s">
        <v>47</v>
      </c>
      <c r="B77" s="124" t="s">
        <v>141</v>
      </c>
      <c r="C77" s="125">
        <v>0.37</v>
      </c>
      <c r="D77" s="125" t="s">
        <v>161</v>
      </c>
      <c r="E77" s="125">
        <v>1.3</v>
      </c>
      <c r="F77" s="126" t="s">
        <v>274</v>
      </c>
      <c r="G77" s="127">
        <v>0.55000000000000004</v>
      </c>
      <c r="H77" s="125" t="s">
        <v>152</v>
      </c>
      <c r="I77" s="128">
        <v>0.43</v>
      </c>
      <c r="J77" s="92"/>
      <c r="K77" s="92"/>
      <c r="L77" s="92"/>
      <c r="M77" s="92"/>
      <c r="N77" s="92"/>
    </row>
    <row r="78" spans="1:14" x14ac:dyDescent="0.3">
      <c r="A78" s="123" t="s">
        <v>45</v>
      </c>
      <c r="B78" s="124" t="s">
        <v>96</v>
      </c>
      <c r="C78" s="125">
        <v>0.37</v>
      </c>
      <c r="D78" s="125" t="s">
        <v>161</v>
      </c>
      <c r="E78" s="125">
        <v>1.3</v>
      </c>
      <c r="F78" s="126" t="s">
        <v>274</v>
      </c>
      <c r="G78" s="127">
        <v>0.55000000000000004</v>
      </c>
      <c r="H78" s="125" t="s">
        <v>152</v>
      </c>
      <c r="I78" s="128">
        <v>0.43</v>
      </c>
      <c r="J78" s="92"/>
      <c r="K78" s="92"/>
      <c r="L78" s="92"/>
      <c r="M78" s="92"/>
      <c r="N78" s="92"/>
    </row>
    <row r="79" spans="1:14" x14ac:dyDescent="0.3">
      <c r="A79" s="123" t="s">
        <v>46</v>
      </c>
      <c r="B79" s="124" t="s">
        <v>95</v>
      </c>
      <c r="C79" s="125">
        <v>0.38</v>
      </c>
      <c r="D79" s="125" t="s">
        <v>161</v>
      </c>
      <c r="E79" s="125">
        <v>1.3</v>
      </c>
      <c r="F79" s="126" t="s">
        <v>274</v>
      </c>
      <c r="G79" s="127">
        <v>0.55000000000000004</v>
      </c>
      <c r="H79" s="125" t="s">
        <v>153</v>
      </c>
      <c r="I79" s="128">
        <v>0.43</v>
      </c>
      <c r="J79" s="92"/>
      <c r="K79" s="92"/>
      <c r="L79" s="92"/>
      <c r="M79" s="92"/>
      <c r="N79" s="92"/>
    </row>
    <row r="80" spans="1:14" x14ac:dyDescent="0.3">
      <c r="A80" s="123" t="s">
        <v>48</v>
      </c>
      <c r="B80" s="124" t="s">
        <v>94</v>
      </c>
      <c r="C80" s="125">
        <v>0.36</v>
      </c>
      <c r="D80" s="125" t="s">
        <v>161</v>
      </c>
      <c r="E80" s="125">
        <v>1.3</v>
      </c>
      <c r="F80" s="126" t="s">
        <v>274</v>
      </c>
      <c r="G80" s="127">
        <v>0.55000000000000004</v>
      </c>
      <c r="H80" s="125" t="s">
        <v>153</v>
      </c>
      <c r="I80" s="128">
        <v>0.43</v>
      </c>
      <c r="J80" s="92"/>
      <c r="K80" s="92"/>
      <c r="L80" s="92"/>
      <c r="M80" s="92"/>
      <c r="N80" s="92"/>
    </row>
    <row r="81" spans="1:14" x14ac:dyDescent="0.3">
      <c r="A81" s="123" t="s">
        <v>49</v>
      </c>
      <c r="B81" s="124" t="s">
        <v>142</v>
      </c>
      <c r="C81" s="125">
        <v>0.37</v>
      </c>
      <c r="D81" s="125" t="s">
        <v>161</v>
      </c>
      <c r="E81" s="125">
        <v>1.56</v>
      </c>
      <c r="F81" s="126" t="s">
        <v>274</v>
      </c>
      <c r="G81" s="127">
        <v>0.43</v>
      </c>
      <c r="H81" s="125" t="s">
        <v>278</v>
      </c>
      <c r="I81" s="128">
        <v>0.25</v>
      </c>
      <c r="J81" s="92"/>
      <c r="K81" s="92"/>
      <c r="L81" s="92"/>
      <c r="M81" s="92"/>
      <c r="N81" s="92"/>
    </row>
    <row r="82" spans="1:14" x14ac:dyDescent="0.3">
      <c r="A82" s="123" t="s">
        <v>158</v>
      </c>
      <c r="B82" s="124" t="s">
        <v>159</v>
      </c>
      <c r="C82" s="125">
        <v>0.35</v>
      </c>
      <c r="D82" s="125" t="s">
        <v>160</v>
      </c>
      <c r="E82" s="125">
        <v>1.3</v>
      </c>
      <c r="F82" s="126" t="s">
        <v>274</v>
      </c>
      <c r="G82" s="127">
        <v>0.55000000000000004</v>
      </c>
      <c r="H82" s="125" t="s">
        <v>153</v>
      </c>
      <c r="I82" s="128">
        <v>0.43</v>
      </c>
      <c r="J82" s="92"/>
      <c r="K82" s="92"/>
      <c r="L82" s="92"/>
      <c r="M82" s="92"/>
      <c r="N82" s="92"/>
    </row>
    <row r="83" spans="1:14" x14ac:dyDescent="0.3">
      <c r="A83" s="123" t="s">
        <v>156</v>
      </c>
      <c r="B83" s="124" t="s">
        <v>157</v>
      </c>
      <c r="C83" s="125">
        <v>0.34</v>
      </c>
      <c r="D83" s="125" t="s">
        <v>161</v>
      </c>
      <c r="E83" s="125">
        <v>1.3</v>
      </c>
      <c r="F83" s="126" t="s">
        <v>274</v>
      </c>
      <c r="G83" s="127">
        <v>0.55000000000000004</v>
      </c>
      <c r="H83" s="125" t="s">
        <v>153</v>
      </c>
      <c r="I83" s="128">
        <v>0.43</v>
      </c>
      <c r="J83" s="92"/>
      <c r="K83" s="92"/>
      <c r="L83" s="92"/>
      <c r="M83" s="92"/>
      <c r="N83" s="92"/>
    </row>
    <row r="84" spans="1:14" x14ac:dyDescent="0.3">
      <c r="A84" s="123" t="s">
        <v>92</v>
      </c>
      <c r="B84" s="124" t="s">
        <v>93</v>
      </c>
      <c r="C84" s="125">
        <v>0.31</v>
      </c>
      <c r="D84" s="125" t="s">
        <v>161</v>
      </c>
      <c r="E84" s="125">
        <v>1.3</v>
      </c>
      <c r="F84" s="126" t="s">
        <v>274</v>
      </c>
      <c r="G84" s="127">
        <v>0.55000000000000004</v>
      </c>
      <c r="H84" s="125" t="s">
        <v>153</v>
      </c>
      <c r="I84" s="128">
        <v>0.43</v>
      </c>
      <c r="J84" s="92"/>
      <c r="K84" s="92"/>
      <c r="L84" s="92"/>
      <c r="M84" s="92"/>
      <c r="N84" s="92"/>
    </row>
    <row r="85" spans="1:14" x14ac:dyDescent="0.3">
      <c r="A85" s="123" t="s">
        <v>50</v>
      </c>
      <c r="B85" s="124" t="s">
        <v>143</v>
      </c>
      <c r="C85" s="125">
        <v>0.43</v>
      </c>
      <c r="D85" s="125" t="s">
        <v>161</v>
      </c>
      <c r="E85" s="125">
        <v>1.56</v>
      </c>
      <c r="F85" s="126" t="s">
        <v>274</v>
      </c>
      <c r="G85" s="127">
        <v>0.53</v>
      </c>
      <c r="H85" s="125" t="s">
        <v>275</v>
      </c>
      <c r="I85" s="128">
        <v>0.25</v>
      </c>
      <c r="J85" s="92"/>
      <c r="K85" s="92"/>
      <c r="L85" s="92"/>
      <c r="M85" s="92"/>
      <c r="N85" s="92"/>
    </row>
    <row r="86" spans="1:14" x14ac:dyDescent="0.3">
      <c r="A86" s="123" t="s">
        <v>51</v>
      </c>
      <c r="B86" s="124" t="s">
        <v>91</v>
      </c>
      <c r="C86" s="125">
        <v>0.38</v>
      </c>
      <c r="D86" s="125" t="s">
        <v>161</v>
      </c>
      <c r="E86" s="125">
        <v>1.56</v>
      </c>
      <c r="F86" s="126" t="s">
        <v>274</v>
      </c>
      <c r="G86" s="127">
        <v>0.6</v>
      </c>
      <c r="H86" s="125" t="s">
        <v>279</v>
      </c>
      <c r="I86" s="128">
        <v>0.25</v>
      </c>
      <c r="J86" s="92"/>
      <c r="K86" s="92"/>
      <c r="L86" s="92"/>
      <c r="M86" s="92"/>
      <c r="N86" s="92"/>
    </row>
    <row r="87" spans="1:14" x14ac:dyDescent="0.3">
      <c r="A87" s="277" t="s">
        <v>321</v>
      </c>
      <c r="B87" s="278" t="s">
        <v>322</v>
      </c>
      <c r="C87" s="279">
        <v>0.41</v>
      </c>
      <c r="D87" s="279" t="s">
        <v>323</v>
      </c>
      <c r="E87" s="279">
        <v>1.56</v>
      </c>
      <c r="F87" s="280" t="s">
        <v>274</v>
      </c>
      <c r="G87" s="281">
        <v>0.43</v>
      </c>
      <c r="H87" s="279" t="s">
        <v>278</v>
      </c>
      <c r="I87" s="282">
        <v>0.25</v>
      </c>
      <c r="J87" s="92"/>
      <c r="K87" s="92"/>
      <c r="L87" s="92"/>
      <c r="M87" s="92"/>
      <c r="N87" s="92"/>
    </row>
    <row r="88" spans="1:14" x14ac:dyDescent="0.3">
      <c r="A88" s="123" t="s">
        <v>148</v>
      </c>
      <c r="B88" s="131"/>
      <c r="C88" s="125">
        <v>0.42</v>
      </c>
      <c r="D88" s="125" t="s">
        <v>161</v>
      </c>
      <c r="E88" s="125">
        <v>1.3</v>
      </c>
      <c r="F88" s="126" t="s">
        <v>274</v>
      </c>
      <c r="G88" s="132"/>
      <c r="H88" s="131"/>
      <c r="I88" s="133"/>
    </row>
    <row r="89" spans="1:14" ht="15" thickBot="1" x14ac:dyDescent="0.35">
      <c r="A89" s="134" t="s">
        <v>149</v>
      </c>
      <c r="B89" s="135"/>
      <c r="C89" s="136">
        <v>0.56999999999999995</v>
      </c>
      <c r="D89" s="137" t="s">
        <v>161</v>
      </c>
      <c r="E89" s="136">
        <v>1.56</v>
      </c>
      <c r="F89" s="136" t="s">
        <v>274</v>
      </c>
      <c r="G89" s="135"/>
      <c r="H89" s="135"/>
      <c r="I89" s="138"/>
    </row>
    <row r="93" spans="1:14" x14ac:dyDescent="0.3">
      <c r="A93" s="123" t="s">
        <v>208</v>
      </c>
    </row>
    <row r="94" spans="1:14" x14ac:dyDescent="0.3">
      <c r="A94" s="123" t="s">
        <v>209</v>
      </c>
    </row>
    <row r="95" spans="1:14" x14ac:dyDescent="0.3">
      <c r="A95" s="123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A73" zoomScale="90" zoomScaleNormal="90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1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4"/>
      <c r="J1" s="64"/>
      <c r="K1" s="64"/>
      <c r="L1" s="64"/>
      <c r="M1" s="6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2" t="s">
        <v>271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4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2"/>
      <c r="J3" s="222"/>
      <c r="K3" s="222"/>
      <c r="L3" s="222"/>
      <c r="M3" s="222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2"/>
      <c r="J4" s="222"/>
      <c r="K4" s="222"/>
      <c r="L4" s="222"/>
      <c r="M4" s="222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39" t="s">
        <v>207</v>
      </c>
      <c r="B5" s="140" t="s">
        <v>250</v>
      </c>
      <c r="C5" s="141" t="str">
        <f>Calculateur!S2</f>
        <v>ΔStock moyen de long terme (tCO₂/ha)</v>
      </c>
      <c r="D5" s="141" t="str">
        <f>Calculateur!T2</f>
        <v>Δstock CO₂ 30 ans (tCO₂/ha)</v>
      </c>
      <c r="E5" s="141" t="s">
        <v>228</v>
      </c>
      <c r="F5" s="141" t="s">
        <v>239</v>
      </c>
      <c r="G5" s="141" t="s">
        <v>240</v>
      </c>
      <c r="H5" s="142" t="s">
        <v>241</v>
      </c>
      <c r="I5" s="143" t="s">
        <v>242</v>
      </c>
      <c r="J5" s="144" t="s">
        <v>243</v>
      </c>
      <c r="K5" s="145" t="s">
        <v>244</v>
      </c>
      <c r="L5" s="83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46" t="str">
        <f>IF('Données projet'!$B$9="","",'Données projet'!$B$9)</f>
        <v>Chêne pédonculé</v>
      </c>
      <c r="B6" s="147">
        <f>'Données projet'!D9</f>
        <v>3.4650000000000003</v>
      </c>
      <c r="C6" s="148">
        <f ca="1">IF(OR('Données projet'!B9="",'Données projet'!C9="",'Données projet'!C9=0%),0,Calculateur!S3)</f>
        <v>527.70171871461309</v>
      </c>
      <c r="D6" s="148">
        <f>IF(OR('Données projet'!B9="",'Données projet'!C9="",'Données projet'!C9=0%),0,Calculateur!T3)</f>
        <v>281.06176764290592</v>
      </c>
      <c r="E6" s="148">
        <f ca="1">MIN(C6,D6)</f>
        <v>281.06176764290592</v>
      </c>
      <c r="F6" s="148">
        <f ca="1">E6*B6</f>
        <v>973.87902488266911</v>
      </c>
      <c r="G6" s="148">
        <f ca="1">F6*(100%-'Données projet'!$C$24)*(100%-'Données projet'!$C$25)*(100%-'Données projet'!$C$26)*(100%-'Données projet'!$C$27)</f>
        <v>876.49112239440217</v>
      </c>
      <c r="H6" s="149">
        <f>IF(OR('Données projet'!B9="",'Données projet'!C9="",'Données projet'!C9=0%),0,AVERAGE(Calculateur!$AC$3:$AC$33)*B6)</f>
        <v>0</v>
      </c>
      <c r="I6" s="150">
        <f>H6*(100%-'Données projet'!$C$24)*(100%-'Données projet'!$C$25)*(100%-'Données projet'!$C$26)*(100%-'Données projet'!$C$27)</f>
        <v>0</v>
      </c>
      <c r="J6" s="151">
        <f>IF(OR('Données projet'!B9="",'Données projet'!C9="",'Données projet'!C9=0%),0,SUM(Calculateur!$V$3:$V$33)*VLOOKUP('Données projet'!$B$9,Paramètres!$A$1:$I$89,9,0)*B6)</f>
        <v>29.452500000000004</v>
      </c>
      <c r="K6" s="152">
        <f>J6*(100%-'Données projet'!$C$24)*(100%-'Données projet'!$C$25)*(100%-'Données projet'!$C$26)*(100%-'Données projet'!$C$27)</f>
        <v>26.507250000000003</v>
      </c>
      <c r="L6" s="153">
        <f ca="1">G6+I6+K6</f>
        <v>902.99837239440217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54" t="str">
        <f>IF('Données projet'!$B$10="","",'Données projet'!$B$10)</f>
        <v>Aulne glutineux</v>
      </c>
      <c r="B7" s="155">
        <f>'Données projet'!D10</f>
        <v>0.94499999999999995</v>
      </c>
      <c r="C7" s="148">
        <f ca="1">IF(OR('Données projet'!B10="",'Données projet'!C10="",'Données projet'!C10=0%),0,Calculateur!AN3)</f>
        <v>302.53318056366777</v>
      </c>
      <c r="D7" s="148">
        <f>IF(OR('Données projet'!B10="",'Données projet'!C10="",'Données projet'!C10=0%),0,Calculateur!AO3)</f>
        <v>318.32262615164541</v>
      </c>
      <c r="E7" s="148">
        <f t="shared" ref="E7:E15" ca="1" si="0">MIN(C7,D7)</f>
        <v>302.53318056366777</v>
      </c>
      <c r="F7" s="148">
        <f t="shared" ref="F7:F15" ca="1" si="1">E7*B7</f>
        <v>285.89385563266603</v>
      </c>
      <c r="G7" s="148">
        <f ca="1">F7*(100%-'Données projet'!$C$24)*(100%-'Données projet'!$C$25)*(100%-'Données projet'!$C$26)*(100%-'Données projet'!$C$27)</f>
        <v>257.30447006939943</v>
      </c>
      <c r="H7" s="156">
        <f>IF(OR('Données projet'!B10="",'Données projet'!C10="",'Données projet'!C10=0%),0,AVERAGE(Calculateur!$AX$3:$AX$33)*B7)</f>
        <v>8.3220224569973938E-2</v>
      </c>
      <c r="I7" s="150">
        <f>H7*(100%-'Données projet'!$C$24)*(100%-'Données projet'!$C$25)*(100%-'Données projet'!$C$26)*(100%-'Données projet'!$C$27)</f>
        <v>7.4898202112976542E-2</v>
      </c>
      <c r="J7" s="151">
        <f>IF(OR('Données projet'!B10="",'Données projet'!C10="",'Données projet'!C10=0%),0,SUM(Calculateur!$AQ$3:$AQ$33)*VLOOKUP('Données projet'!$B$10,Paramètres!$A$1:$I$89,9,0)*B7)</f>
        <v>13.938749999999999</v>
      </c>
      <c r="K7" s="152">
        <f>J7*(100%-'Données projet'!$C$24)*(100%-'Données projet'!$C$25)*(100%-'Données projet'!$C$26)*(100%-'Données projet'!$C$27)</f>
        <v>12.544874999999999</v>
      </c>
      <c r="L7" s="153">
        <f t="shared" ref="L7:L15" ca="1" si="2">G7+I7+K7</f>
        <v>269.92424327151241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54" t="str">
        <f>IF('Données projet'!$B$11="","",'Données projet'!$B$11)</f>
        <v>Erable sycomore</v>
      </c>
      <c r="B8" s="155">
        <f>'Données projet'!D11</f>
        <v>0.94499999999999995</v>
      </c>
      <c r="C8" s="148">
        <f ca="1">IF(OR('Données projet'!B11="",'Données projet'!C11="",'Données projet'!C11=0%),0,Calculateur!BI3)</f>
        <v>336.25341821407534</v>
      </c>
      <c r="D8" s="148">
        <f>IF(OR('Données projet'!B11="",'Données projet'!C11="",'Données projet'!C11=0%),0,Calculateur!BJ3)</f>
        <v>360.3246221345039</v>
      </c>
      <c r="E8" s="148">
        <f t="shared" ca="1" si="0"/>
        <v>336.25341821407534</v>
      </c>
      <c r="F8" s="148">
        <f t="shared" ca="1" si="1"/>
        <v>317.75948021230118</v>
      </c>
      <c r="G8" s="148">
        <f ca="1">F8*(100%-'Données projet'!$C$24)*(100%-'Données projet'!$C$25)*(100%-'Données projet'!$C$26)*(100%-'Données projet'!$C$27)</f>
        <v>285.98353219107105</v>
      </c>
      <c r="H8" s="156">
        <f>IF(OR('Données projet'!B11="",'Données projet'!C11="",'Données projet'!C11=0%),0,AVERAGE(Calculateur!$BS$3:$BS$33)*B8)</f>
        <v>0.15852309162271991</v>
      </c>
      <c r="I8" s="150">
        <f>H8*(100%-'Données projet'!$C$24)*(100%-'Données projet'!$C$25)*(100%-'Données projet'!$C$26)*(100%-'Données projet'!$C$27)</f>
        <v>0.14267078246044793</v>
      </c>
      <c r="J8" s="151">
        <f>IF(OR('Données projet'!B11="",'Données projet'!C11="",'Données projet'!C11=0%),0,SUM(Calculateur!$BL$3:$BL$33)*VLOOKUP('Données projet'!$B$11,Paramètres!$A$1:$I$89,9,0)*B8)</f>
        <v>23.412374999999997</v>
      </c>
      <c r="K8" s="152">
        <f>J8*(100%-'Données projet'!$C$24)*(100%-'Données projet'!$C$25)*(100%-'Données projet'!$C$26)*(100%-'Données projet'!$C$27)</f>
        <v>21.071137499999999</v>
      </c>
      <c r="L8" s="153">
        <f t="shared" ca="1" si="2"/>
        <v>307.19734047353154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54" t="str">
        <f>IF('Données projet'!$B$12="","",'Données projet'!$B$12)</f>
        <v>Bouleau verruqueux</v>
      </c>
      <c r="B9" s="155">
        <f>'Données projet'!D12</f>
        <v>0.63</v>
      </c>
      <c r="C9" s="148">
        <f ca="1">IF(OR('Données projet'!B12="",'Données projet'!C12="",'Données projet'!C12=0%),0,Calculateur!CD3)</f>
        <v>308.58270639204238</v>
      </c>
      <c r="D9" s="148">
        <f>IF(OR('Données projet'!B12="",'Données projet'!C12="",'Données projet'!C12=0%),0,Calculateur!CE3)</f>
        <v>258.90832875500325</v>
      </c>
      <c r="E9" s="148">
        <f t="shared" ca="1" si="0"/>
        <v>258.90832875500325</v>
      </c>
      <c r="F9" s="148">
        <f t="shared" ca="1" si="1"/>
        <v>163.11224711565205</v>
      </c>
      <c r="G9" s="148">
        <f ca="1">F9*(100%-'Données projet'!$C$24)*(100%-'Données projet'!$C$25)*(100%-'Données projet'!$C$26)*(100%-'Données projet'!$C$27)</f>
        <v>146.80102240408686</v>
      </c>
      <c r="H9" s="156">
        <f>IF(OR('Données projet'!B12="",'Données projet'!C12="",'Données projet'!C12=0%),0,AVERAGE(Calculateur!$CN$3:$CN$33)*B9)</f>
        <v>0</v>
      </c>
      <c r="I9" s="150">
        <f>H9*(100%-'Données projet'!$C$24)*(100%-'Données projet'!$C$25)*(100%-'Données projet'!$C$26)*(100%-'Données projet'!$C$27)</f>
        <v>0</v>
      </c>
      <c r="J9" s="151">
        <f>IF(OR('Données projet'!B12="",'Données projet'!C12="",'Données projet'!C12=0%),0,SUM(Calculateur!$CG$3:$CG$33)*VLOOKUP('Données projet'!$B$12,Paramètres!$A$1:$I$89,9,0)*B9)</f>
        <v>5.67</v>
      </c>
      <c r="K9" s="152">
        <f>J9*(100%-'Données projet'!$C$24)*(100%-'Données projet'!$C$25)*(100%-'Données projet'!$C$26)*(100%-'Données projet'!$C$27)</f>
        <v>5.1029999999999998</v>
      </c>
      <c r="L9" s="153">
        <f t="shared" ca="1" si="2"/>
        <v>151.90402240408687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54" t="str">
        <f>IF('Données projet'!$B$13="","",'Données projet'!$B$13)</f>
        <v>Charme</v>
      </c>
      <c r="B10" s="155">
        <f>'Données projet'!D13</f>
        <v>0.315</v>
      </c>
      <c r="C10" s="148">
        <f ca="1">IF(OR('Données projet'!B13="",'Données projet'!C13="",'Données projet'!C13=0%),0,Calculateur!CY3)</f>
        <v>397.61813291201469</v>
      </c>
      <c r="D10" s="148">
        <f>IF(OR('Données projet'!B13="",'Données projet'!C13="",'Données projet'!C13=0%),0,Calculateur!CZ3)</f>
        <v>320.30651625485064</v>
      </c>
      <c r="E10" s="148">
        <f t="shared" ca="1" si="0"/>
        <v>320.30651625485064</v>
      </c>
      <c r="F10" s="148">
        <f t="shared" ca="1" si="1"/>
        <v>100.89655262027794</v>
      </c>
      <c r="G10" s="148">
        <f ca="1">F10*(100%-'Données projet'!$C$24)*(100%-'Données projet'!$C$25)*(100%-'Données projet'!$C$26)*(100%-'Données projet'!$C$27)</f>
        <v>90.806897358250154</v>
      </c>
      <c r="H10" s="156">
        <f>IF(OR('Données projet'!B13="",'Données projet'!C13="",'Données projet'!C13=0%),0,AVERAGE(Calculateur!$DI$3:$DI$33)*B10)</f>
        <v>3.2282977836083193E-2</v>
      </c>
      <c r="I10" s="150">
        <f>H10*(100%-'Données projet'!$C$24)*(100%-'Données projet'!$C$25)*(100%-'Données projet'!$C$26)*(100%-'Données projet'!$C$27)</f>
        <v>2.9054680052474875E-2</v>
      </c>
      <c r="J10" s="151">
        <f>IF(OR('Données projet'!B13="",'Données projet'!C13="",'Données projet'!C13=0%),0,SUM(Calculateur!$DB$3:$DB$33)*VLOOKUP('Données projet'!$B$13,Paramètres!$A$1:$I$89,9,0)*B10)</f>
        <v>4.0889423076923075</v>
      </c>
      <c r="K10" s="152">
        <f>J10*(100%-'Données projet'!$C$24)*(100%-'Données projet'!$C$25)*(100%-'Données projet'!$C$26)*(100%-'Données projet'!$C$27)</f>
        <v>3.680048076923077</v>
      </c>
      <c r="L10" s="153">
        <f t="shared" ca="1" si="2"/>
        <v>94.516000115225694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54" t="str">
        <f>IF('Données projet'!$B$14="","",'Données projet'!$B$14)</f>
        <v/>
      </c>
      <c r="B11" s="155">
        <f>'Données projet'!D14</f>
        <v>0</v>
      </c>
      <c r="C11" s="148">
        <f>IF(OR('Données projet'!B14="",'Données projet'!C14="",'Données projet'!C14=0%),0,Calculateur!DT3)</f>
        <v>0</v>
      </c>
      <c r="D11" s="148">
        <f>IF(OR('Données projet'!B14="",'Données projet'!C14="",'Données projet'!C14=0%),0,Calculateur!DU3)</f>
        <v>0</v>
      </c>
      <c r="E11" s="148">
        <f t="shared" si="0"/>
        <v>0</v>
      </c>
      <c r="F11" s="148">
        <f t="shared" si="1"/>
        <v>0</v>
      </c>
      <c r="G11" s="148">
        <f>F11*(100%-'Données projet'!$C$24)*(100%-'Données projet'!$C$25)*(100%-'Données projet'!$C$26)*(100%-'Données projet'!$C$27)</f>
        <v>0</v>
      </c>
      <c r="H11" s="156">
        <f>IF(OR('Données projet'!B14="",'Données projet'!C14="",'Données projet'!C14=0%),0,AVERAGE(Calculateur!$ED$3:$ED$33)*B11)</f>
        <v>0</v>
      </c>
      <c r="I11" s="150">
        <f>H11*(100%-'Données projet'!$C$24)*(100%-'Données projet'!$C$25)*(100%-'Données projet'!$C$26)*(100%-'Données projet'!$C$27)</f>
        <v>0</v>
      </c>
      <c r="J11" s="151">
        <f>IF(OR('Données projet'!B14="",'Données projet'!C14="",'Données projet'!C14=0%),0,SUM(Calculateur!$DW$3:$DW$33)*VLOOKUP('Données projet'!$B$14,Paramètres!$A$1:$I$89,9,0)*B11)</f>
        <v>0</v>
      </c>
      <c r="K11" s="152">
        <f>J11*(100%-'Données projet'!$C$24)*(100%-'Données projet'!$C$25)*(100%-'Données projet'!$C$26)*(100%-'Données projet'!$C$27)</f>
        <v>0</v>
      </c>
      <c r="L11" s="153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54" t="str">
        <f>IF('Données projet'!$B$15="","",'Données projet'!$B$15)</f>
        <v/>
      </c>
      <c r="B12" s="155">
        <f>'Données projet'!D15</f>
        <v>0</v>
      </c>
      <c r="C12" s="148">
        <f>IF(OR('Données projet'!B15="",'Données projet'!C15="",'Données projet'!C15=0%),0,Calculateur!EO3)</f>
        <v>0</v>
      </c>
      <c r="D12" s="148">
        <f>IF(OR('Données projet'!B15="",'Données projet'!C15="",'Données projet'!C15=0%),0,Calculateur!EP3)</f>
        <v>0</v>
      </c>
      <c r="E12" s="148">
        <f t="shared" si="0"/>
        <v>0</v>
      </c>
      <c r="F12" s="148">
        <f t="shared" si="1"/>
        <v>0</v>
      </c>
      <c r="G12" s="148">
        <f>F12*(100%-'Données projet'!$C$24)*(100%-'Données projet'!$C$25)*(100%-'Données projet'!$C$26)*(100%-'Données projet'!$C$27)</f>
        <v>0</v>
      </c>
      <c r="H12" s="156">
        <f>IF(OR('Données projet'!B15="",'Données projet'!C15="",'Données projet'!C15=0%),0,AVERAGE(Calculateur!$EY$3:$EY$33)*B12)</f>
        <v>0</v>
      </c>
      <c r="I12" s="150">
        <f>H12*(100%-'Données projet'!$C$24)*(100%-'Données projet'!$C$25)*(100%-'Données projet'!$C$26)*(100%-'Données projet'!$C$27)</f>
        <v>0</v>
      </c>
      <c r="J12" s="151">
        <f>IF(OR('Données projet'!B15="",'Données projet'!C15="",'Données projet'!C15=0%),0,SUM(Calculateur!$ER$3:$ER$33)*VLOOKUP('Données projet'!$B$15,Paramètres!$A$1:$I$89,9,0)*B12)</f>
        <v>0</v>
      </c>
      <c r="K12" s="152">
        <f>J12*(100%-'Données projet'!$C$24)*(100%-'Données projet'!$C$25)*(100%-'Données projet'!$C$26)*(100%-'Données projet'!$C$27)</f>
        <v>0</v>
      </c>
      <c r="L12" s="153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54" t="str">
        <f>IF('Données projet'!$B$16="","",'Données projet'!$B$16)</f>
        <v/>
      </c>
      <c r="B13" s="155">
        <f>'Données projet'!D16</f>
        <v>0</v>
      </c>
      <c r="C13" s="148">
        <f>IF(OR('Données projet'!B16="",'Données projet'!C16="",'Données projet'!C16=0%),0,Calculateur!FJ3)</f>
        <v>0</v>
      </c>
      <c r="D13" s="148">
        <f>IF(OR('Données projet'!B16="",'Données projet'!C16="",'Données projet'!C16=0%),0,Calculateur!FK3)</f>
        <v>0</v>
      </c>
      <c r="E13" s="148">
        <f t="shared" si="0"/>
        <v>0</v>
      </c>
      <c r="F13" s="148">
        <f t="shared" si="1"/>
        <v>0</v>
      </c>
      <c r="G13" s="148">
        <f>F13*(100%-'Données projet'!$C$24)*(100%-'Données projet'!$C$25)*(100%-'Données projet'!$C$26)*(100%-'Données projet'!$C$27)</f>
        <v>0</v>
      </c>
      <c r="H13" s="156">
        <f>IF(OR('Données projet'!B16="",'Données projet'!C16="",'Données projet'!C16=0%),0,AVERAGE(Calculateur!$FT$3:$FT$33)*B13)</f>
        <v>0</v>
      </c>
      <c r="I13" s="150">
        <f>H13*(100%-'Données projet'!$C$24)*(100%-'Données projet'!$C$25)*(100%-'Données projet'!$C$26)*(100%-'Données projet'!$C$27)</f>
        <v>0</v>
      </c>
      <c r="J13" s="151">
        <f>IF(OR('Données projet'!C16="",'Données projet'!C16=0%),0,SUM(Calculateur!$FM$3:$FM$33)*VLOOKUP('Données projet'!$B$16,Paramètres!$A$1:$I$89,9,0)*B13)</f>
        <v>0</v>
      </c>
      <c r="K13" s="152">
        <f>J13*(100%-'Données projet'!$C$24)*(100%-'Données projet'!$C$25)*(100%-'Données projet'!$C$26)*(100%-'Données projet'!$C$27)</f>
        <v>0</v>
      </c>
      <c r="L13" s="153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54" t="str">
        <f>IF('Données projet'!$B$17="","",'Données projet'!$B$17)</f>
        <v/>
      </c>
      <c r="B14" s="155">
        <f>'Données projet'!D17</f>
        <v>0</v>
      </c>
      <c r="C14" s="148">
        <f>IF(OR('Données projet'!B17="",'Données projet'!C17="",'Données projet'!C17=0%),0,Calculateur!GE3)</f>
        <v>0</v>
      </c>
      <c r="D14" s="148">
        <f>IF(OR('Données projet'!B17="",'Données projet'!C17="",'Données projet'!C17=0%),0,Calculateur!GF3)</f>
        <v>0</v>
      </c>
      <c r="E14" s="148">
        <f t="shared" si="0"/>
        <v>0</v>
      </c>
      <c r="F14" s="148">
        <f t="shared" si="1"/>
        <v>0</v>
      </c>
      <c r="G14" s="148">
        <f>F14*(100%-'Données projet'!$C$24)*(100%-'Données projet'!$C$25)*(100%-'Données projet'!$C$26)*(100%-'Données projet'!$C$27)</f>
        <v>0</v>
      </c>
      <c r="H14" s="156">
        <f>IF(OR('Données projet'!B17="",'Données projet'!C17="",'Données projet'!C17=0%),0,AVERAGE(Calculateur!$GO$3:$GO$33)*B14)</f>
        <v>0</v>
      </c>
      <c r="I14" s="150">
        <f>H14*(100%-'Données projet'!$C$24)*(100%-'Données projet'!$C$25)*(100%-'Données projet'!$C$26)*(100%-'Données projet'!$C$27)</f>
        <v>0</v>
      </c>
      <c r="J14" s="151">
        <f>IF(OR('Données projet'!B17="",'Données projet'!C17="",'Données projet'!C17=0%),0,SUM(Calculateur!$GH$3:$GH$33)*VLOOKUP('Données projet'!$B$17,Paramètres!$A$1:$I$89,9,0)*B14)</f>
        <v>0</v>
      </c>
      <c r="K14" s="152">
        <f>J14*(100%-'Données projet'!$C$24)*(100%-'Données projet'!$C$25)*(100%-'Données projet'!$C$26)*(100%-'Données projet'!$C$27)</f>
        <v>0</v>
      </c>
      <c r="L14" s="153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57" t="str">
        <f>IF('Données projet'!B18="","",'Données projet'!B18)</f>
        <v/>
      </c>
      <c r="B15" s="158">
        <f>'Données projet'!D18</f>
        <v>0</v>
      </c>
      <c r="C15" s="159">
        <f>IF(OR('Données projet'!B18="",'Données projet'!C18="",'Données projet'!C18=0%),0,Calculateur!GZ3)</f>
        <v>0</v>
      </c>
      <c r="D15" s="159">
        <f>IF(OR('Données projet'!B18="",'Données projet'!C18="",'Données projet'!C18=0%),0,Calculateur!HA3)</f>
        <v>0</v>
      </c>
      <c r="E15" s="159">
        <f t="shared" si="0"/>
        <v>0</v>
      </c>
      <c r="F15" s="160">
        <f t="shared" si="1"/>
        <v>0</v>
      </c>
      <c r="G15" s="160">
        <f>F15*(100%-'Données projet'!$C$24)*(100%-'Données projet'!$C$25)*(100%-'Données projet'!$C$26)*(100%-'Données projet'!$C$27)</f>
        <v>0</v>
      </c>
      <c r="H15" s="161">
        <f>IF(OR('Données projet'!B18="",'Données projet'!C18="",'Données projet'!C18=0%),0,AVERAGE(Calculateur!$HJ$3:$HJ$33)*B15)</f>
        <v>0</v>
      </c>
      <c r="I15" s="162">
        <f>H15*(100%-'Données projet'!$C$24)*(100%-'Données projet'!$C$25)*(100%-'Données projet'!$C$26)*(100%-'Données projet'!$C$27)</f>
        <v>0</v>
      </c>
      <c r="J15" s="163">
        <f>IF(OR('Données projet'!B18="",'Données projet'!C18="",'Données projet'!C18=0%),0,SUM(Calculateur!$HC$3:$HC$33)*VLOOKUP('Données projet'!$B$18,Paramètres!$A$1:$I$89,9,0)*B15)</f>
        <v>0</v>
      </c>
      <c r="K15" s="164">
        <f>J15*(100%-'Données projet'!$C$24)*(100%-'Données projet'!$C$25)*(100%-'Données projet'!$C$26)*(100%-'Données projet'!$C$27)</f>
        <v>0</v>
      </c>
      <c r="L15" s="165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17"/>
      <c r="B16" s="224"/>
      <c r="C16" s="225"/>
      <c r="D16" s="25"/>
      <c r="E16" s="25"/>
      <c r="F16" s="166">
        <f t="shared" ref="F16:L16" ca="1" si="3">SUM(F6:F15)</f>
        <v>1841.5411604635665</v>
      </c>
      <c r="G16" s="167">
        <f t="shared" ca="1" si="3"/>
        <v>1657.3870444172096</v>
      </c>
      <c r="H16" s="168">
        <f t="shared" si="3"/>
        <v>0.27402629402877704</v>
      </c>
      <c r="I16" s="168">
        <f t="shared" si="3"/>
        <v>0.24662366462589935</v>
      </c>
      <c r="J16" s="169">
        <f t="shared" si="3"/>
        <v>76.562567307692305</v>
      </c>
      <c r="K16" s="169">
        <f t="shared" si="3"/>
        <v>68.906310576923076</v>
      </c>
      <c r="L16" s="170">
        <f t="shared" ca="1" si="3"/>
        <v>1726.5399786587589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17"/>
      <c r="B17" s="224"/>
      <c r="C17" s="225"/>
      <c r="D17" s="222"/>
      <c r="E17" s="222"/>
      <c r="F17" s="314" t="s">
        <v>246</v>
      </c>
      <c r="G17" s="315"/>
      <c r="H17" s="315"/>
      <c r="I17" s="315"/>
      <c r="J17" s="315"/>
      <c r="K17" s="315"/>
      <c r="L17" s="315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17"/>
      <c r="B18" s="224"/>
      <c r="C18" s="225"/>
      <c r="D18" s="222"/>
      <c r="E18" s="222"/>
      <c r="F18" s="316"/>
      <c r="G18" s="316"/>
      <c r="H18" s="316"/>
      <c r="I18" s="316"/>
      <c r="J18" s="316"/>
      <c r="K18" s="316"/>
      <c r="L18" s="316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2"/>
      <c r="J19" s="222"/>
      <c r="K19" s="222"/>
      <c r="L19" s="25" t="s">
        <v>325</v>
      </c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2"/>
      <c r="J20" s="222"/>
      <c r="K20" s="222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1" t="str">
        <f>A6</f>
        <v>Chêne pédonculé</v>
      </c>
      <c r="B21" s="5"/>
      <c r="C21" s="5"/>
      <c r="D21" s="5"/>
      <c r="E21" s="5"/>
      <c r="F21" s="5"/>
      <c r="G21" s="5"/>
      <c r="H21" s="5"/>
      <c r="I21" s="222"/>
      <c r="J21" s="222"/>
      <c r="K21" s="222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2"/>
      <c r="J22" s="222"/>
      <c r="K22" s="222"/>
      <c r="L22" s="222"/>
      <c r="M22" s="222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2"/>
      <c r="J23" s="222"/>
      <c r="K23" s="222"/>
      <c r="L23" s="222"/>
      <c r="M23" s="222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2"/>
      <c r="J24" s="222"/>
      <c r="K24" s="222"/>
      <c r="L24" s="222"/>
      <c r="M24" s="222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2"/>
      <c r="J25" s="222"/>
      <c r="K25" s="222"/>
      <c r="L25" s="222"/>
      <c r="M25" s="222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2"/>
      <c r="J26" s="222"/>
      <c r="K26" s="222"/>
      <c r="L26" s="222"/>
      <c r="M26" s="222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2"/>
      <c r="J27" s="222"/>
      <c r="K27" s="222"/>
      <c r="L27" s="222"/>
      <c r="M27" s="222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2"/>
      <c r="J28" s="222"/>
      <c r="K28" s="222"/>
      <c r="L28" s="222"/>
      <c r="M28" s="222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2"/>
      <c r="J29" s="222"/>
      <c r="K29" s="222"/>
      <c r="L29" s="222"/>
      <c r="M29" s="222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2"/>
      <c r="J30" s="222"/>
      <c r="K30" s="222"/>
      <c r="L30" s="222"/>
      <c r="M30" s="222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2"/>
      <c r="J31" s="222"/>
      <c r="K31" s="222"/>
      <c r="L31" s="222"/>
      <c r="M31" s="222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2"/>
      <c r="J32" s="222"/>
      <c r="K32" s="222"/>
      <c r="L32" s="222"/>
      <c r="M32" s="222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2"/>
      <c r="J33" s="222"/>
      <c r="K33" s="222"/>
      <c r="L33" s="222"/>
      <c r="M33" s="222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2"/>
      <c r="J34" s="222"/>
      <c r="K34" s="222"/>
      <c r="L34" s="222"/>
      <c r="M34" s="222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2"/>
      <c r="J35" s="222"/>
      <c r="K35" s="222"/>
      <c r="L35" s="222"/>
      <c r="M35" s="222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2"/>
      <c r="J36" s="222"/>
      <c r="K36" s="222"/>
      <c r="L36" s="222"/>
      <c r="M36" s="222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2"/>
      <c r="J37" s="222"/>
      <c r="K37" s="222"/>
      <c r="L37" s="222"/>
      <c r="M37" s="222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2"/>
      <c r="J38" s="222"/>
      <c r="K38" s="222"/>
      <c r="L38" s="222"/>
      <c r="M38" s="222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1" t="str">
        <f>A7</f>
        <v>Aulne glutineux</v>
      </c>
      <c r="B39" s="5"/>
      <c r="C39" s="5"/>
      <c r="D39" s="5"/>
      <c r="E39" s="5"/>
      <c r="F39" s="5"/>
      <c r="G39" s="5"/>
      <c r="H39" s="5"/>
      <c r="I39" s="222"/>
      <c r="J39" s="222"/>
      <c r="K39" s="222"/>
      <c r="L39" s="222"/>
      <c r="M39" s="222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2"/>
      <c r="J40" s="222"/>
      <c r="K40" s="222"/>
      <c r="L40" s="222"/>
      <c r="M40" s="222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2"/>
      <c r="J41" s="222"/>
      <c r="K41" s="222"/>
      <c r="L41" s="222"/>
      <c r="M41" s="222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2"/>
      <c r="J42" s="222"/>
      <c r="K42" s="222"/>
      <c r="L42" s="222"/>
      <c r="M42" s="222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2"/>
      <c r="J43" s="222"/>
      <c r="K43" s="222"/>
      <c r="L43" s="222"/>
      <c r="M43" s="222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2"/>
      <c r="J44" s="222"/>
      <c r="K44" s="222"/>
      <c r="L44" s="222"/>
      <c r="M44" s="222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2"/>
      <c r="J45" s="222"/>
      <c r="K45" s="222"/>
      <c r="L45" s="222"/>
      <c r="M45" s="222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2"/>
      <c r="J46" s="222"/>
      <c r="K46" s="222"/>
      <c r="L46" s="222"/>
      <c r="M46" s="222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2"/>
      <c r="J47" s="222"/>
      <c r="K47" s="222"/>
      <c r="L47" s="222"/>
      <c r="M47" s="222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2"/>
      <c r="J48" s="222"/>
      <c r="K48" s="222"/>
      <c r="L48" s="222"/>
      <c r="M48" s="222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2"/>
      <c r="J49" s="222"/>
      <c r="K49" s="222"/>
      <c r="L49" s="222"/>
      <c r="M49" s="222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2"/>
      <c r="J50" s="222"/>
      <c r="K50" s="222"/>
      <c r="L50" s="222"/>
      <c r="M50" s="222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2"/>
      <c r="J51" s="222"/>
      <c r="K51" s="222"/>
      <c r="L51" s="222"/>
      <c r="M51" s="222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2"/>
      <c r="J52" s="222"/>
      <c r="K52" s="222"/>
      <c r="L52" s="222"/>
      <c r="M52" s="222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2"/>
      <c r="J53" s="222"/>
      <c r="K53" s="222"/>
      <c r="L53" s="222"/>
      <c r="M53" s="222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2"/>
      <c r="J54" s="222"/>
      <c r="K54" s="222"/>
      <c r="L54" s="222"/>
      <c r="M54" s="222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2"/>
      <c r="J55" s="222"/>
      <c r="K55" s="222"/>
      <c r="L55" s="222"/>
      <c r="M55" s="222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2"/>
      <c r="J56" s="222"/>
      <c r="K56" s="222"/>
      <c r="L56" s="222"/>
      <c r="M56" s="222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1" t="str">
        <f>A8</f>
        <v>Erable sycomore</v>
      </c>
      <c r="B57" s="5"/>
      <c r="C57" s="5"/>
      <c r="D57" s="5"/>
      <c r="E57" s="5"/>
      <c r="F57" s="5"/>
      <c r="G57" s="5"/>
      <c r="H57" s="5"/>
      <c r="I57" s="222"/>
      <c r="J57" s="222"/>
      <c r="K57" s="222"/>
      <c r="L57" s="222"/>
      <c r="M57" s="222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2"/>
      <c r="J58" s="222"/>
      <c r="K58" s="222"/>
      <c r="L58" s="222"/>
      <c r="M58" s="222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2"/>
      <c r="J59" s="222"/>
      <c r="K59" s="222"/>
      <c r="L59" s="222"/>
      <c r="M59" s="222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2"/>
      <c r="J60" s="222"/>
      <c r="K60" s="222"/>
      <c r="L60" s="222"/>
      <c r="M60" s="222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2"/>
      <c r="J61" s="222"/>
      <c r="K61" s="222"/>
      <c r="L61" s="222"/>
      <c r="M61" s="222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2"/>
      <c r="J62" s="222"/>
      <c r="K62" s="222"/>
      <c r="L62" s="222"/>
      <c r="M62" s="222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2"/>
      <c r="J63" s="222"/>
      <c r="K63" s="222"/>
      <c r="L63" s="222"/>
      <c r="M63" s="222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2"/>
      <c r="J64" s="222"/>
      <c r="K64" s="222"/>
      <c r="L64" s="222"/>
      <c r="M64" s="222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2"/>
      <c r="J65" s="222"/>
      <c r="K65" s="222"/>
      <c r="L65" s="222"/>
      <c r="M65" s="222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2"/>
      <c r="J66" s="222"/>
      <c r="K66" s="222"/>
      <c r="L66" s="222"/>
      <c r="M66" s="222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2"/>
      <c r="J67" s="222"/>
      <c r="K67" s="222"/>
      <c r="L67" s="222"/>
      <c r="M67" s="222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2"/>
      <c r="J68" s="222"/>
      <c r="K68" s="222"/>
      <c r="L68" s="222"/>
      <c r="M68" s="222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2"/>
      <c r="J69" s="222"/>
      <c r="K69" s="222"/>
      <c r="L69" s="222"/>
      <c r="M69" s="222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2"/>
      <c r="J70" s="222"/>
      <c r="K70" s="222"/>
      <c r="L70" s="222"/>
      <c r="M70" s="222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2"/>
      <c r="J71" s="222"/>
      <c r="K71" s="222"/>
      <c r="L71" s="222"/>
      <c r="M71" s="222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2"/>
      <c r="J72" s="222"/>
      <c r="K72" s="222"/>
      <c r="L72" s="222"/>
      <c r="M72" s="222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2"/>
      <c r="J73" s="222"/>
      <c r="K73" s="222"/>
      <c r="L73" s="222"/>
      <c r="M73" s="222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2"/>
      <c r="J74" s="222"/>
      <c r="K74" s="222"/>
      <c r="L74" s="222"/>
      <c r="M74" s="222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2"/>
      <c r="J75" s="222"/>
      <c r="K75" s="222"/>
      <c r="L75" s="222"/>
      <c r="M75" s="222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1" t="str">
        <f>A9</f>
        <v>Bouleau verruqueux</v>
      </c>
      <c r="B76" s="5"/>
      <c r="C76" s="5"/>
      <c r="D76" s="5"/>
      <c r="E76" s="5"/>
      <c r="F76" s="5"/>
      <c r="G76" s="5"/>
      <c r="H76" s="5"/>
      <c r="I76" s="222"/>
      <c r="J76" s="222"/>
      <c r="K76" s="222"/>
      <c r="L76" s="222"/>
      <c r="M76" s="222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2"/>
      <c r="J77" s="222"/>
      <c r="K77" s="222"/>
      <c r="L77" s="222"/>
      <c r="M77" s="222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2"/>
      <c r="J78" s="222"/>
      <c r="K78" s="222"/>
      <c r="L78" s="222"/>
      <c r="M78" s="222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2"/>
      <c r="J79" s="222"/>
      <c r="K79" s="222"/>
      <c r="L79" s="222"/>
      <c r="M79" s="222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2"/>
      <c r="J80" s="222"/>
      <c r="K80" s="222"/>
      <c r="L80" s="222"/>
      <c r="M80" s="222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2"/>
      <c r="J81" s="222"/>
      <c r="K81" s="222"/>
      <c r="L81" s="222"/>
      <c r="M81" s="222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2"/>
      <c r="J82" s="222"/>
      <c r="K82" s="222"/>
      <c r="L82" s="222"/>
      <c r="M82" s="222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2"/>
      <c r="J83" s="222"/>
      <c r="K83" s="222"/>
      <c r="L83" s="222"/>
      <c r="M83" s="222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2"/>
      <c r="J84" s="222"/>
      <c r="K84" s="222"/>
      <c r="L84" s="222"/>
      <c r="M84" s="222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2"/>
      <c r="J85" s="222"/>
      <c r="K85" s="222"/>
      <c r="L85" s="222"/>
      <c r="M85" s="222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2"/>
      <c r="J86" s="222"/>
      <c r="K86" s="222"/>
      <c r="L86" s="222"/>
      <c r="M86" s="222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2"/>
      <c r="J87" s="222"/>
      <c r="K87" s="222"/>
      <c r="L87" s="222"/>
      <c r="M87" s="222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2"/>
      <c r="J88" s="222"/>
      <c r="K88" s="222"/>
      <c r="L88" s="222"/>
      <c r="M88" s="222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2"/>
      <c r="J89" s="222"/>
      <c r="K89" s="222"/>
      <c r="L89" s="222"/>
      <c r="M89" s="222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2"/>
      <c r="J90" s="222"/>
      <c r="K90" s="222"/>
      <c r="L90" s="222"/>
      <c r="M90" s="222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2"/>
      <c r="J91" s="222"/>
      <c r="K91" s="222"/>
      <c r="L91" s="222"/>
      <c r="M91" s="222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2"/>
      <c r="J92" s="222"/>
      <c r="K92" s="222"/>
      <c r="L92" s="222"/>
      <c r="M92" s="222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2"/>
      <c r="J93" s="222"/>
      <c r="K93" s="222"/>
      <c r="L93" s="222"/>
      <c r="M93" s="222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1" t="str">
        <f>A10</f>
        <v>Charme</v>
      </c>
      <c r="B94" s="5"/>
      <c r="C94" s="5"/>
      <c r="D94" s="5"/>
      <c r="E94" s="5"/>
      <c r="F94" s="5"/>
      <c r="G94" s="5"/>
      <c r="H94" s="5"/>
      <c r="I94" s="222"/>
      <c r="J94" s="222"/>
      <c r="K94" s="222"/>
      <c r="L94" s="222"/>
      <c r="M94" s="222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2"/>
      <c r="J95" s="222"/>
      <c r="K95" s="222"/>
      <c r="L95" s="222"/>
      <c r="M95" s="222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2"/>
      <c r="J96" s="222"/>
      <c r="K96" s="222"/>
      <c r="L96" s="222"/>
      <c r="M96" s="222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2"/>
      <c r="J97" s="222"/>
      <c r="K97" s="222"/>
      <c r="L97" s="222"/>
      <c r="M97" s="222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2"/>
      <c r="J98" s="222"/>
      <c r="K98" s="222"/>
      <c r="L98" s="222"/>
      <c r="M98" s="222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2"/>
      <c r="J99" s="222"/>
      <c r="K99" s="222"/>
      <c r="L99" s="222"/>
      <c r="M99" s="222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2"/>
      <c r="J100" s="222"/>
      <c r="K100" s="222"/>
      <c r="L100" s="222"/>
      <c r="M100" s="222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2"/>
      <c r="J101" s="222"/>
      <c r="K101" s="222"/>
      <c r="L101" s="222"/>
      <c r="M101" s="222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2"/>
      <c r="J102" s="222"/>
      <c r="K102" s="222"/>
      <c r="L102" s="222"/>
      <c r="M102" s="222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2"/>
      <c r="J103" s="222"/>
      <c r="K103" s="222"/>
      <c r="L103" s="222"/>
      <c r="M103" s="222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2"/>
      <c r="J104" s="222"/>
      <c r="K104" s="222"/>
      <c r="L104" s="222"/>
      <c r="M104" s="222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2"/>
      <c r="J105" s="222"/>
      <c r="K105" s="222"/>
      <c r="L105" s="222"/>
      <c r="M105" s="222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2"/>
      <c r="J106" s="222"/>
      <c r="K106" s="222"/>
      <c r="L106" s="222"/>
      <c r="M106" s="222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2"/>
      <c r="J107" s="222"/>
      <c r="K107" s="222"/>
      <c r="L107" s="222"/>
      <c r="M107" s="222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2"/>
      <c r="J108" s="222"/>
      <c r="K108" s="222"/>
      <c r="L108" s="222"/>
      <c r="M108" s="222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2"/>
      <c r="J109" s="222"/>
      <c r="K109" s="222"/>
      <c r="L109" s="222"/>
      <c r="M109" s="222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2"/>
      <c r="J110" s="222"/>
      <c r="K110" s="222"/>
      <c r="L110" s="222"/>
      <c r="M110" s="222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2"/>
      <c r="J111" s="222"/>
      <c r="K111" s="222"/>
      <c r="L111" s="222"/>
      <c r="M111" s="222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1" t="str">
        <f>A11</f>
        <v/>
      </c>
      <c r="B112" s="5"/>
      <c r="C112" s="5"/>
      <c r="D112" s="5"/>
      <c r="E112" s="5"/>
      <c r="F112" s="5"/>
      <c r="G112" s="5"/>
      <c r="H112" s="5"/>
      <c r="I112" s="222"/>
      <c r="J112" s="222"/>
      <c r="K112" s="222"/>
      <c r="L112" s="222"/>
      <c r="M112" s="222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2"/>
      <c r="J113" s="222"/>
      <c r="K113" s="222"/>
      <c r="L113" s="222"/>
      <c r="M113" s="222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2"/>
      <c r="J114" s="222"/>
      <c r="K114" s="222"/>
      <c r="L114" s="222"/>
      <c r="M114" s="222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2"/>
      <c r="J115" s="222"/>
      <c r="K115" s="222"/>
      <c r="L115" s="222"/>
      <c r="M115" s="222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2"/>
      <c r="J116" s="222"/>
      <c r="K116" s="222"/>
      <c r="L116" s="222"/>
      <c r="M116" s="222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2"/>
      <c r="J117" s="222"/>
      <c r="K117" s="222"/>
      <c r="L117" s="222"/>
      <c r="M117" s="222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2"/>
      <c r="J118" s="222"/>
      <c r="K118" s="222"/>
      <c r="L118" s="222"/>
      <c r="M118" s="222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2"/>
      <c r="J119" s="222"/>
      <c r="K119" s="222"/>
      <c r="L119" s="222"/>
      <c r="M119" s="222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2"/>
      <c r="J120" s="222"/>
      <c r="K120" s="222"/>
      <c r="L120" s="222"/>
      <c r="M120" s="222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2"/>
      <c r="J121" s="222"/>
      <c r="K121" s="222"/>
      <c r="L121" s="222"/>
      <c r="M121" s="222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2"/>
      <c r="J122" s="222"/>
      <c r="K122" s="222"/>
      <c r="L122" s="222"/>
      <c r="M122" s="222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2"/>
      <c r="J123" s="222"/>
      <c r="K123" s="222"/>
      <c r="L123" s="222"/>
      <c r="M123" s="222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2"/>
      <c r="J124" s="222"/>
      <c r="K124" s="222"/>
      <c r="L124" s="222"/>
      <c r="M124" s="222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2"/>
      <c r="J125" s="222"/>
      <c r="K125" s="222"/>
      <c r="L125" s="222"/>
      <c r="M125" s="222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2"/>
      <c r="J126" s="222"/>
      <c r="K126" s="222"/>
      <c r="L126" s="222"/>
      <c r="M126" s="222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2"/>
      <c r="J127" s="222"/>
      <c r="K127" s="222"/>
      <c r="L127" s="222"/>
      <c r="M127" s="222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2"/>
      <c r="J128" s="222"/>
      <c r="K128" s="222"/>
      <c r="L128" s="222"/>
      <c r="M128" s="222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2"/>
      <c r="J129" s="222"/>
      <c r="K129" s="222"/>
      <c r="L129" s="222"/>
      <c r="M129" s="222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1" t="str">
        <f>A12</f>
        <v/>
      </c>
      <c r="B130" s="5"/>
      <c r="C130" s="5"/>
      <c r="D130" s="5"/>
      <c r="E130" s="5"/>
      <c r="F130" s="5"/>
      <c r="G130" s="5"/>
      <c r="H130" s="5"/>
      <c r="I130" s="222"/>
      <c r="J130" s="222"/>
      <c r="K130" s="222"/>
      <c r="L130" s="222"/>
      <c r="M130" s="222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2"/>
      <c r="J131" s="222"/>
      <c r="K131" s="222"/>
      <c r="L131" s="222"/>
      <c r="M131" s="222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2"/>
      <c r="J132" s="222"/>
      <c r="K132" s="222"/>
      <c r="L132" s="222"/>
      <c r="M132" s="222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2"/>
      <c r="J133" s="222"/>
      <c r="K133" s="222"/>
      <c r="L133" s="222"/>
      <c r="M133" s="222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2"/>
      <c r="J134" s="222"/>
      <c r="K134" s="222"/>
      <c r="L134" s="222"/>
      <c r="M134" s="222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2"/>
      <c r="J135" s="222"/>
      <c r="K135" s="222"/>
      <c r="L135" s="222"/>
      <c r="M135" s="222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2"/>
      <c r="J136" s="222"/>
      <c r="K136" s="222"/>
      <c r="L136" s="222"/>
      <c r="M136" s="222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2"/>
      <c r="J137" s="222"/>
      <c r="K137" s="222"/>
      <c r="L137" s="222"/>
      <c r="M137" s="222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2"/>
      <c r="J138" s="222"/>
      <c r="K138" s="222"/>
      <c r="L138" s="222"/>
      <c r="M138" s="222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2"/>
      <c r="J139" s="222"/>
      <c r="K139" s="222"/>
      <c r="L139" s="222"/>
      <c r="M139" s="222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2"/>
      <c r="J140" s="222"/>
      <c r="K140" s="222"/>
      <c r="L140" s="222"/>
      <c r="M140" s="222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2"/>
      <c r="J141" s="222"/>
      <c r="K141" s="222"/>
      <c r="L141" s="222"/>
      <c r="M141" s="222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2"/>
      <c r="J142" s="222"/>
      <c r="K142" s="222"/>
      <c r="L142" s="222"/>
      <c r="M142" s="222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2"/>
      <c r="J143" s="222"/>
      <c r="K143" s="222"/>
      <c r="L143" s="222"/>
      <c r="M143" s="222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2"/>
      <c r="J144" s="222"/>
      <c r="K144" s="222"/>
      <c r="L144" s="222"/>
      <c r="M144" s="222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2"/>
      <c r="J145" s="222"/>
      <c r="K145" s="222"/>
      <c r="L145" s="222"/>
      <c r="M145" s="222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2"/>
      <c r="J146" s="222"/>
      <c r="K146" s="222"/>
      <c r="L146" s="222"/>
      <c r="M146" s="222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2"/>
      <c r="J147" s="222"/>
      <c r="K147" s="222"/>
      <c r="L147" s="222"/>
      <c r="M147" s="222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1" t="str">
        <f>A13</f>
        <v/>
      </c>
      <c r="B148" s="5"/>
      <c r="C148" s="5"/>
      <c r="D148" s="5"/>
      <c r="E148" s="5"/>
      <c r="F148" s="5"/>
      <c r="G148" s="5"/>
      <c r="H148" s="5"/>
      <c r="I148" s="222"/>
      <c r="J148" s="222"/>
      <c r="K148" s="222"/>
      <c r="L148" s="222"/>
      <c r="M148" s="222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2"/>
      <c r="J149" s="222"/>
      <c r="K149" s="222"/>
      <c r="L149" s="222"/>
      <c r="M149" s="222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2"/>
      <c r="J150" s="222"/>
      <c r="K150" s="222"/>
      <c r="L150" s="222"/>
      <c r="M150" s="222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2"/>
      <c r="J151" s="222"/>
      <c r="K151" s="222"/>
      <c r="L151" s="222"/>
      <c r="M151" s="222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2"/>
      <c r="J152" s="222"/>
      <c r="K152" s="222"/>
      <c r="L152" s="222"/>
      <c r="M152" s="222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2"/>
      <c r="J153" s="222"/>
      <c r="K153" s="222"/>
      <c r="L153" s="222"/>
      <c r="M153" s="222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2"/>
      <c r="J154" s="222"/>
      <c r="K154" s="222"/>
      <c r="L154" s="222"/>
      <c r="M154" s="222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2"/>
      <c r="J155" s="222"/>
      <c r="K155" s="222"/>
      <c r="L155" s="222"/>
      <c r="M155" s="222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2"/>
      <c r="J156" s="222"/>
      <c r="K156" s="222"/>
      <c r="L156" s="222"/>
      <c r="M156" s="222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2"/>
      <c r="J157" s="222"/>
      <c r="K157" s="222"/>
      <c r="L157" s="222"/>
      <c r="M157" s="222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2"/>
      <c r="J158" s="222"/>
      <c r="K158" s="222"/>
      <c r="L158" s="222"/>
      <c r="M158" s="222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2"/>
      <c r="J159" s="222"/>
      <c r="K159" s="222"/>
      <c r="L159" s="222"/>
      <c r="M159" s="222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2"/>
      <c r="J160" s="222"/>
      <c r="K160" s="222"/>
      <c r="L160" s="222"/>
      <c r="M160" s="222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2"/>
      <c r="J161" s="222"/>
      <c r="K161" s="222"/>
      <c r="L161" s="222"/>
      <c r="M161" s="222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2"/>
      <c r="J162" s="222"/>
      <c r="K162" s="222"/>
      <c r="L162" s="222"/>
      <c r="M162" s="222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2"/>
      <c r="J163" s="222"/>
      <c r="K163" s="222"/>
      <c r="L163" s="222"/>
      <c r="M163" s="222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2"/>
      <c r="J164" s="222"/>
      <c r="K164" s="222"/>
      <c r="L164" s="222"/>
      <c r="M164" s="222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2"/>
      <c r="J165" s="222"/>
      <c r="K165" s="222"/>
      <c r="L165" s="222"/>
      <c r="M165" s="222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1" t="str">
        <f>A14</f>
        <v/>
      </c>
      <c r="B166" s="5"/>
      <c r="C166" s="5"/>
      <c r="D166" s="5"/>
      <c r="E166" s="5"/>
      <c r="F166" s="5"/>
      <c r="G166" s="5"/>
      <c r="H166" s="5"/>
      <c r="I166" s="222"/>
      <c r="J166" s="222"/>
      <c r="K166" s="222"/>
      <c r="L166" s="222"/>
      <c r="M166" s="222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2"/>
      <c r="J167" s="222"/>
      <c r="K167" s="222"/>
      <c r="L167" s="222"/>
      <c r="M167" s="222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2"/>
      <c r="J168" s="222"/>
      <c r="K168" s="222"/>
      <c r="L168" s="222"/>
      <c r="M168" s="222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2"/>
      <c r="J169" s="222"/>
      <c r="K169" s="222"/>
      <c r="L169" s="222"/>
      <c r="M169" s="222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2"/>
      <c r="J170" s="222"/>
      <c r="K170" s="222"/>
      <c r="L170" s="222"/>
      <c r="M170" s="222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2"/>
      <c r="J171" s="222"/>
      <c r="K171" s="222"/>
      <c r="L171" s="222"/>
      <c r="M171" s="222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2"/>
      <c r="J172" s="222"/>
      <c r="K172" s="222"/>
      <c r="L172" s="222"/>
      <c r="M172" s="222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2"/>
      <c r="J173" s="222"/>
      <c r="K173" s="222"/>
      <c r="L173" s="222"/>
      <c r="M173" s="222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2"/>
      <c r="J174" s="222"/>
      <c r="K174" s="222"/>
      <c r="L174" s="222"/>
      <c r="M174" s="222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2"/>
      <c r="J175" s="222"/>
      <c r="K175" s="222"/>
      <c r="L175" s="222"/>
      <c r="M175" s="222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2"/>
      <c r="J176" s="222"/>
      <c r="K176" s="222"/>
      <c r="L176" s="222"/>
      <c r="M176" s="222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2"/>
      <c r="J177" s="222"/>
      <c r="K177" s="222"/>
      <c r="L177" s="222"/>
      <c r="M177" s="222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2"/>
      <c r="J178" s="222"/>
      <c r="K178" s="222"/>
      <c r="L178" s="222"/>
      <c r="M178" s="222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2"/>
      <c r="J179" s="222"/>
      <c r="K179" s="222"/>
      <c r="L179" s="222"/>
      <c r="M179" s="222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2"/>
      <c r="J180" s="222"/>
      <c r="K180" s="222"/>
      <c r="L180" s="222"/>
      <c r="M180" s="222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2"/>
      <c r="J181" s="222"/>
      <c r="K181" s="222"/>
      <c r="L181" s="222"/>
      <c r="M181" s="222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2"/>
      <c r="J182" s="222"/>
      <c r="K182" s="222"/>
      <c r="L182" s="222"/>
      <c r="M182" s="222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2"/>
      <c r="J183" s="222"/>
      <c r="K183" s="222"/>
      <c r="L183" s="222"/>
      <c r="M183" s="222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1" t="str">
        <f>A15</f>
        <v/>
      </c>
      <c r="B184" s="5"/>
      <c r="C184" s="5"/>
      <c r="D184" s="5"/>
      <c r="E184" s="5"/>
      <c r="F184" s="5"/>
      <c r="G184" s="5"/>
      <c r="H184" s="5"/>
      <c r="I184" s="222"/>
      <c r="J184" s="222"/>
      <c r="K184" s="222"/>
      <c r="L184" s="222"/>
      <c r="M184" s="222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2"/>
      <c r="J185" s="222"/>
      <c r="K185" s="222"/>
      <c r="L185" s="222"/>
      <c r="M185" s="222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2"/>
      <c r="J186" s="222"/>
      <c r="K186" s="222"/>
      <c r="L186" s="222"/>
      <c r="M186" s="222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2"/>
      <c r="J187" s="222"/>
      <c r="K187" s="222"/>
      <c r="L187" s="222"/>
      <c r="M187" s="222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2"/>
      <c r="J188" s="222"/>
      <c r="K188" s="222"/>
      <c r="L188" s="222"/>
      <c r="M188" s="222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2"/>
      <c r="J189" s="222"/>
      <c r="K189" s="222"/>
      <c r="L189" s="222"/>
      <c r="M189" s="222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2"/>
      <c r="J190" s="222"/>
      <c r="K190" s="222"/>
      <c r="L190" s="222"/>
      <c r="M190" s="222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2"/>
      <c r="J191" s="222"/>
      <c r="K191" s="222"/>
      <c r="L191" s="222"/>
      <c r="M191" s="222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2"/>
      <c r="J192" s="222"/>
      <c r="K192" s="222"/>
      <c r="L192" s="222"/>
      <c r="M192" s="222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2"/>
      <c r="J193" s="222"/>
      <c r="K193" s="222"/>
      <c r="L193" s="222"/>
      <c r="M193" s="222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2"/>
      <c r="J194" s="222"/>
      <c r="K194" s="222"/>
      <c r="L194" s="222"/>
      <c r="M194" s="222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2"/>
      <c r="J195" s="222"/>
      <c r="K195" s="222"/>
      <c r="L195" s="222"/>
      <c r="M195" s="222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2"/>
      <c r="J196" s="222"/>
      <c r="K196" s="222"/>
      <c r="L196" s="222"/>
      <c r="M196" s="222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2"/>
      <c r="J197" s="222"/>
      <c r="K197" s="222"/>
      <c r="L197" s="222"/>
      <c r="M197" s="222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2"/>
      <c r="J198" s="222"/>
      <c r="K198" s="222"/>
      <c r="L198" s="222"/>
      <c r="M198" s="222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2"/>
      <c r="J199" s="222"/>
      <c r="K199" s="222"/>
      <c r="L199" s="222"/>
      <c r="M199" s="222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2"/>
      <c r="J200" s="222"/>
      <c r="K200" s="222"/>
      <c r="L200" s="222"/>
      <c r="M200" s="222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2"/>
      <c r="J201" s="222"/>
      <c r="K201" s="222"/>
      <c r="L201" s="222"/>
      <c r="M201" s="222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2"/>
      <c r="J202" s="222"/>
      <c r="K202" s="222"/>
      <c r="L202" s="222"/>
      <c r="M202" s="222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4"/>
      <c r="J203" s="64"/>
      <c r="K203" s="64"/>
      <c r="L203" s="64"/>
      <c r="M203" s="222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4"/>
      <c r="J204" s="64"/>
      <c r="K204" s="64"/>
      <c r="L204" s="64"/>
      <c r="M204" s="6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4"/>
      <c r="J205" s="64"/>
      <c r="K205" s="64"/>
      <c r="L205" s="64"/>
      <c r="M205" s="6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4"/>
      <c r="J206" s="64"/>
      <c r="K206" s="64"/>
      <c r="L206" s="64"/>
      <c r="M206" s="6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4"/>
      <c r="J207" s="64"/>
      <c r="K207" s="64"/>
      <c r="L207" s="64"/>
      <c r="M207" s="6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4"/>
      <c r="J208" s="64"/>
      <c r="K208" s="64"/>
      <c r="L208" s="64"/>
      <c r="M208" s="6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4"/>
      <c r="J209" s="64"/>
      <c r="K209" s="64"/>
      <c r="L209" s="64"/>
      <c r="M209" s="6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4"/>
      <c r="J210" s="64"/>
      <c r="K210" s="64"/>
      <c r="L210" s="64"/>
      <c r="M210" s="6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4"/>
      <c r="J211" s="64"/>
      <c r="K211" s="64"/>
      <c r="L211" s="64"/>
      <c r="M211" s="6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4"/>
      <c r="J212" s="64"/>
      <c r="K212" s="64"/>
      <c r="L212" s="64"/>
      <c r="M212" s="6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4"/>
      <c r="J213" s="64"/>
      <c r="K213" s="64"/>
      <c r="L213" s="64"/>
      <c r="M213" s="6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4"/>
      <c r="J214" s="64"/>
      <c r="K214" s="64"/>
      <c r="L214" s="64"/>
      <c r="M214" s="6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4"/>
      <c r="J215" s="64"/>
      <c r="K215" s="64"/>
      <c r="L215" s="64"/>
      <c r="M215" s="6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4"/>
      <c r="J216" s="64"/>
      <c r="K216" s="64"/>
      <c r="L216" s="64"/>
      <c r="M216" s="6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4"/>
      <c r="J217" s="64"/>
      <c r="K217" s="64"/>
      <c r="L217" s="64"/>
      <c r="M217" s="6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4"/>
      <c r="J218" s="64"/>
      <c r="K218" s="64"/>
      <c r="L218" s="64"/>
      <c r="M218" s="6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4"/>
      <c r="J219" s="64"/>
      <c r="K219" s="64"/>
      <c r="L219" s="64"/>
      <c r="M219" s="6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4"/>
      <c r="J220" s="64"/>
      <c r="K220" s="64"/>
      <c r="L220" s="64"/>
      <c r="M220" s="6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4"/>
      <c r="J221" s="64"/>
      <c r="K221" s="64"/>
      <c r="L221" s="64"/>
      <c r="M221" s="6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4"/>
      <c r="J222" s="64"/>
      <c r="K222" s="64"/>
      <c r="L222" s="64"/>
      <c r="M222" s="6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4"/>
      <c r="J223" s="64"/>
      <c r="K223" s="64"/>
      <c r="L223" s="64"/>
      <c r="M223" s="6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4"/>
      <c r="J224" s="64"/>
      <c r="K224" s="64"/>
      <c r="L224" s="64"/>
      <c r="M224" s="6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4"/>
      <c r="J225" s="64"/>
      <c r="K225" s="64"/>
      <c r="L225" s="64"/>
      <c r="M225" s="6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4"/>
      <c r="J226" s="64"/>
      <c r="K226" s="64"/>
      <c r="L226" s="64"/>
      <c r="M226" s="6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4"/>
      <c r="J227" s="64"/>
      <c r="K227" s="64"/>
      <c r="L227" s="64"/>
      <c r="M227" s="6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4"/>
      <c r="J228" s="64"/>
      <c r="K228" s="64"/>
      <c r="L228" s="64"/>
      <c r="M228" s="6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4"/>
      <c r="J229" s="64"/>
      <c r="K229" s="64"/>
      <c r="L229" s="64"/>
      <c r="M229" s="6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4"/>
      <c r="J230" s="64"/>
      <c r="K230" s="64"/>
      <c r="L230" s="64"/>
      <c r="M230" s="6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4"/>
      <c r="J231" s="64"/>
      <c r="K231" s="64"/>
      <c r="L231" s="64"/>
      <c r="M231" s="6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4"/>
      <c r="J232" s="64"/>
      <c r="K232" s="64"/>
      <c r="L232" s="64"/>
      <c r="M232" s="6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4"/>
      <c r="J233" s="64"/>
      <c r="K233" s="64"/>
      <c r="L233" s="64"/>
      <c r="M233" s="6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4"/>
      <c r="J234" s="64"/>
      <c r="K234" s="64"/>
      <c r="L234" s="64"/>
      <c r="M234" s="6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4"/>
      <c r="J235" s="64"/>
      <c r="K235" s="64"/>
      <c r="L235" s="64"/>
      <c r="M235" s="6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4"/>
      <c r="J236" s="64"/>
      <c r="K236" s="64"/>
      <c r="L236" s="64"/>
      <c r="M236" s="6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4"/>
      <c r="J237" s="64"/>
      <c r="K237" s="64"/>
      <c r="L237" s="64"/>
      <c r="M237" s="6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4"/>
      <c r="J238" s="64"/>
      <c r="K238" s="64"/>
      <c r="L238" s="64"/>
      <c r="M238" s="6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4"/>
      <c r="J239" s="64"/>
      <c r="K239" s="64"/>
      <c r="L239" s="64"/>
      <c r="M239" s="6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4"/>
      <c r="J240" s="64"/>
      <c r="K240" s="64"/>
      <c r="L240" s="64"/>
      <c r="M240" s="6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4"/>
      <c r="J241" s="64"/>
      <c r="K241" s="64"/>
      <c r="L241" s="64"/>
      <c r="M241" s="6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4"/>
      <c r="J242" s="64"/>
      <c r="K242" s="64"/>
      <c r="L242" s="64"/>
      <c r="M242" s="6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4"/>
      <c r="J243" s="64"/>
      <c r="K243" s="64"/>
      <c r="L243" s="64"/>
      <c r="M243" s="6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4"/>
      <c r="J244" s="64"/>
      <c r="K244" s="64"/>
      <c r="L244" s="64"/>
      <c r="M244" s="6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4"/>
      <c r="J245" s="64"/>
      <c r="K245" s="64"/>
      <c r="L245" s="64"/>
      <c r="M245" s="6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4"/>
      <c r="J246" s="64"/>
      <c r="K246" s="64"/>
      <c r="L246" s="64"/>
      <c r="M246" s="6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4"/>
      <c r="J247" s="64"/>
      <c r="K247" s="64"/>
      <c r="L247" s="64"/>
      <c r="M247" s="6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4"/>
      <c r="J248" s="64"/>
      <c r="K248" s="64"/>
      <c r="L248" s="64"/>
      <c r="M248" s="6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4"/>
      <c r="J249" s="64"/>
      <c r="K249" s="64"/>
      <c r="L249" s="64"/>
      <c r="M249" s="6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4"/>
      <c r="J250" s="64"/>
      <c r="K250" s="64"/>
      <c r="L250" s="64"/>
      <c r="M250" s="6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4"/>
      <c r="J251" s="64"/>
      <c r="K251" s="64"/>
      <c r="L251" s="64"/>
      <c r="M251" s="6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4"/>
      <c r="J252" s="64"/>
      <c r="K252" s="64"/>
      <c r="L252" s="64"/>
      <c r="M252" s="6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4"/>
      <c r="J253" s="64"/>
      <c r="K253" s="64"/>
      <c r="L253" s="64"/>
      <c r="M253" s="6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4"/>
      <c r="J254" s="64"/>
      <c r="K254" s="64"/>
      <c r="L254" s="64"/>
      <c r="M254" s="6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4"/>
      <c r="J255" s="64"/>
      <c r="K255" s="64"/>
      <c r="L255" s="64"/>
      <c r="M255" s="6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4"/>
      <c r="J256" s="64"/>
      <c r="K256" s="64"/>
      <c r="L256" s="64"/>
      <c r="M256" s="6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4"/>
      <c r="J257" s="64"/>
      <c r="K257" s="64"/>
      <c r="L257" s="64"/>
      <c r="M257" s="6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4"/>
      <c r="J258" s="64"/>
      <c r="K258" s="64"/>
      <c r="L258" s="64"/>
      <c r="M258" s="6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4"/>
      <c r="J259" s="64"/>
      <c r="K259" s="64"/>
      <c r="L259" s="64"/>
      <c r="M259" s="6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4"/>
      <c r="J260" s="64"/>
      <c r="K260" s="64"/>
      <c r="L260" s="64"/>
      <c r="M260" s="64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4"/>
      <c r="J261" s="64"/>
      <c r="K261" s="64"/>
      <c r="L261" s="64"/>
      <c r="M261" s="64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4"/>
      <c r="J262" s="64"/>
      <c r="K262" s="64"/>
      <c r="L262" s="64"/>
      <c r="M262" s="64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4"/>
      <c r="J263" s="64"/>
      <c r="K263" s="64"/>
      <c r="L263" s="64"/>
      <c r="M263" s="64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4"/>
      <c r="J264" s="64"/>
      <c r="K264" s="64"/>
      <c r="L264" s="64"/>
      <c r="M264" s="64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4"/>
      <c r="J265" s="64"/>
      <c r="K265" s="64"/>
      <c r="L265" s="64"/>
      <c r="M265" s="64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4"/>
      <c r="J266" s="64"/>
      <c r="K266" s="64"/>
      <c r="L266" s="64"/>
      <c r="M266" s="64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4"/>
      <c r="J267" s="64"/>
      <c r="K267" s="64"/>
      <c r="L267" s="64"/>
      <c r="M267" s="64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4"/>
      <c r="J268" s="64"/>
      <c r="K268" s="64"/>
      <c r="L268" s="64"/>
      <c r="M268" s="64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4"/>
      <c r="J269" s="64"/>
      <c r="K269" s="64"/>
      <c r="L269" s="64"/>
      <c r="M269" s="64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4"/>
      <c r="J270" s="64"/>
      <c r="K270" s="64"/>
      <c r="L270" s="64"/>
      <c r="M270" s="64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4"/>
      <c r="J271" s="64"/>
      <c r="K271" s="64"/>
      <c r="L271" s="64"/>
      <c r="M271" s="64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4"/>
      <c r="J272" s="64"/>
      <c r="K272" s="64"/>
      <c r="L272" s="64"/>
      <c r="M272" s="64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4"/>
      <c r="J273" s="64"/>
      <c r="K273" s="64"/>
      <c r="L273" s="64"/>
      <c r="M273" s="64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4"/>
      <c r="J274" s="64"/>
      <c r="K274" s="64"/>
      <c r="L274" s="64"/>
      <c r="M274" s="64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4"/>
      <c r="J275" s="64"/>
      <c r="K275" s="64"/>
      <c r="L275" s="64"/>
      <c r="M275" s="64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4"/>
      <c r="J276" s="64"/>
      <c r="K276" s="64"/>
      <c r="L276" s="64"/>
      <c r="M276" s="64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4"/>
      <c r="J277" s="64"/>
      <c r="K277" s="64"/>
      <c r="L277" s="64"/>
      <c r="M277" s="64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4"/>
      <c r="J278" s="64"/>
      <c r="K278" s="64"/>
      <c r="L278" s="64"/>
      <c r="M278" s="64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4"/>
      <c r="J279" s="64"/>
      <c r="K279" s="64"/>
      <c r="L279" s="64"/>
      <c r="M279" s="64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4"/>
      <c r="J280" s="64"/>
      <c r="K280" s="64"/>
      <c r="L280" s="64"/>
      <c r="M280" s="64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4"/>
      <c r="J281" s="64"/>
      <c r="K281" s="64"/>
      <c r="L281" s="64"/>
      <c r="M281" s="64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4"/>
      <c r="J282" s="64"/>
      <c r="K282" s="64"/>
      <c r="L282" s="64"/>
      <c r="M282" s="64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4"/>
      <c r="J283" s="64"/>
      <c r="K283" s="64"/>
      <c r="L283" s="64"/>
      <c r="M283" s="64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4"/>
      <c r="J284" s="64"/>
      <c r="K284" s="64"/>
      <c r="L284" s="64"/>
      <c r="M284" s="64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4"/>
      <c r="J285" s="64"/>
      <c r="K285" s="64"/>
      <c r="L285" s="64"/>
      <c r="M285" s="64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4"/>
      <c r="J286" s="64"/>
      <c r="K286" s="64"/>
      <c r="L286" s="64"/>
      <c r="M286" s="64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4"/>
      <c r="J287" s="64"/>
      <c r="K287" s="64"/>
      <c r="L287" s="64"/>
      <c r="M287" s="64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4"/>
      <c r="J288" s="64"/>
      <c r="K288" s="64"/>
      <c r="L288" s="64"/>
      <c r="M288" s="64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4"/>
      <c r="J289" s="64"/>
      <c r="K289" s="64"/>
      <c r="L289" s="64"/>
      <c r="M289" s="64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4"/>
      <c r="J290" s="64"/>
      <c r="K290" s="64"/>
      <c r="L290" s="64"/>
      <c r="M290" s="64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4"/>
      <c r="J291" s="64"/>
      <c r="K291" s="64"/>
      <c r="L291" s="64"/>
      <c r="M291" s="64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4"/>
      <c r="J292" s="64"/>
      <c r="K292" s="64"/>
      <c r="L292" s="64"/>
      <c r="M292" s="64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4"/>
      <c r="J293" s="64"/>
      <c r="K293" s="64"/>
      <c r="L293" s="64"/>
      <c r="M293" s="64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4"/>
      <c r="J294" s="64"/>
      <c r="K294" s="64"/>
      <c r="L294" s="64"/>
      <c r="M294" s="64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4"/>
      <c r="J295" s="64"/>
      <c r="K295" s="64"/>
      <c r="L295" s="64"/>
      <c r="M295" s="64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4"/>
      <c r="J296" s="64"/>
      <c r="K296" s="64"/>
      <c r="L296" s="64"/>
      <c r="M296" s="64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4"/>
      <c r="J297" s="64"/>
      <c r="K297" s="64"/>
      <c r="L297" s="64"/>
      <c r="M297" s="64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4"/>
      <c r="J298" s="64"/>
      <c r="K298" s="64"/>
      <c r="L298" s="64"/>
      <c r="M298" s="64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4"/>
      <c r="J299" s="64"/>
      <c r="K299" s="64"/>
      <c r="L299" s="64"/>
      <c r="M299" s="64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4"/>
      <c r="J300" s="64"/>
      <c r="K300" s="64"/>
      <c r="L300" s="64"/>
      <c r="M300" s="64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4"/>
      <c r="J301" s="64"/>
      <c r="K301" s="64"/>
      <c r="L301" s="64"/>
      <c r="M301" s="64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4"/>
      <c r="J302" s="64"/>
      <c r="K302" s="64"/>
      <c r="L302" s="64"/>
      <c r="M302" s="64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4"/>
      <c r="J303" s="64"/>
      <c r="K303" s="64"/>
      <c r="L303" s="64"/>
      <c r="M303" s="64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4"/>
      <c r="J304" s="64"/>
      <c r="K304" s="64"/>
      <c r="L304" s="64"/>
      <c r="M304" s="64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4"/>
      <c r="J305" s="64"/>
      <c r="K305" s="64"/>
      <c r="L305" s="64"/>
      <c r="M305" s="64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4"/>
      <c r="J306" s="64"/>
      <c r="K306" s="64"/>
      <c r="L306" s="64"/>
      <c r="M306" s="64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4"/>
      <c r="J307" s="64"/>
      <c r="K307" s="64"/>
      <c r="L307" s="64"/>
      <c r="M307" s="64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4"/>
      <c r="J308" s="64"/>
      <c r="K308" s="64"/>
      <c r="L308" s="64"/>
      <c r="M308" s="64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4"/>
      <c r="J309" s="64"/>
      <c r="K309" s="64"/>
      <c r="L309" s="64"/>
      <c r="M309" s="64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4"/>
      <c r="J310" s="64"/>
      <c r="K310" s="64"/>
      <c r="L310" s="64"/>
      <c r="M310" s="64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4"/>
      <c r="J311" s="64"/>
      <c r="K311" s="64"/>
      <c r="L311" s="64"/>
      <c r="M311" s="64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4"/>
      <c r="J312" s="64"/>
      <c r="K312" s="64"/>
      <c r="L312" s="64"/>
      <c r="M312" s="64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4"/>
      <c r="J313" s="64"/>
      <c r="K313" s="64"/>
      <c r="L313" s="64"/>
      <c r="M313" s="64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4"/>
      <c r="J314" s="64"/>
      <c r="K314" s="64"/>
      <c r="L314" s="64"/>
      <c r="M314" s="64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4"/>
      <c r="J315" s="64"/>
      <c r="K315" s="64"/>
      <c r="L315" s="64"/>
      <c r="M315" s="64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4"/>
      <c r="J316" s="64"/>
      <c r="K316" s="64"/>
      <c r="L316" s="64"/>
      <c r="M316" s="64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4"/>
      <c r="J317" s="64"/>
      <c r="K317" s="64"/>
      <c r="L317" s="64"/>
      <c r="M317" s="64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4"/>
      <c r="J318" s="64"/>
      <c r="K318" s="64"/>
      <c r="L318" s="64"/>
      <c r="M318" s="64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4"/>
      <c r="J319" s="64"/>
      <c r="K319" s="64"/>
      <c r="L319" s="64"/>
      <c r="M319" s="64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4"/>
      <c r="J320" s="64"/>
      <c r="K320" s="64"/>
      <c r="L320" s="64"/>
      <c r="M320" s="64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4"/>
      <c r="J321" s="64"/>
      <c r="K321" s="64"/>
      <c r="L321" s="64"/>
      <c r="M321" s="64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4"/>
      <c r="J322" s="64"/>
      <c r="K322" s="64"/>
      <c r="L322" s="64"/>
      <c r="M322" s="64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4"/>
      <c r="J323" s="64"/>
      <c r="K323" s="64"/>
      <c r="L323" s="64"/>
      <c r="M323" s="64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4"/>
      <c r="J324" s="64"/>
      <c r="K324" s="64"/>
      <c r="L324" s="64"/>
      <c r="M324" s="64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4"/>
      <c r="J325" s="64"/>
      <c r="K325" s="64"/>
      <c r="L325" s="64"/>
      <c r="M325" s="64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4"/>
      <c r="J326" s="64"/>
      <c r="K326" s="64"/>
      <c r="L326" s="64"/>
      <c r="M326" s="64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4"/>
      <c r="J327" s="64"/>
      <c r="K327" s="64"/>
      <c r="L327" s="64"/>
      <c r="M327" s="64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4"/>
      <c r="J328" s="64"/>
      <c r="K328" s="64"/>
      <c r="L328" s="64"/>
      <c r="M328" s="64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4"/>
      <c r="J329" s="64"/>
      <c r="K329" s="64"/>
      <c r="L329" s="64"/>
      <c r="M329" s="64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4"/>
      <c r="J330" s="64"/>
      <c r="K330" s="64"/>
      <c r="L330" s="64"/>
      <c r="M330" s="64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4"/>
      <c r="J331" s="64"/>
      <c r="K331" s="64"/>
      <c r="L331" s="64"/>
      <c r="M331" s="64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4"/>
      <c r="J332" s="64"/>
      <c r="K332" s="64"/>
      <c r="L332" s="64"/>
      <c r="M332" s="64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4"/>
      <c r="J333" s="64"/>
      <c r="K333" s="64"/>
      <c r="L333" s="64"/>
      <c r="M333" s="64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4"/>
      <c r="J334" s="64"/>
      <c r="K334" s="64"/>
      <c r="L334" s="64"/>
      <c r="M334" s="64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4"/>
      <c r="J335" s="64"/>
      <c r="K335" s="64"/>
      <c r="L335" s="64"/>
      <c r="M335" s="64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4"/>
      <c r="J336" s="64"/>
      <c r="K336" s="64"/>
      <c r="L336" s="64"/>
      <c r="M336" s="64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4"/>
      <c r="J337" s="64"/>
      <c r="K337" s="64"/>
      <c r="L337" s="64"/>
      <c r="M337" s="64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4"/>
      <c r="J338" s="64"/>
      <c r="K338" s="64"/>
      <c r="L338" s="64"/>
      <c r="M338" s="64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4"/>
      <c r="J339" s="64"/>
      <c r="K339" s="64"/>
      <c r="L339" s="64"/>
      <c r="M339" s="64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4"/>
      <c r="J340" s="64"/>
      <c r="K340" s="64"/>
      <c r="L340" s="64"/>
      <c r="M340" s="64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4"/>
      <c r="J341" s="64"/>
      <c r="K341" s="64"/>
      <c r="L341" s="64"/>
      <c r="M341" s="64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4"/>
      <c r="J342" s="64"/>
      <c r="K342" s="64"/>
      <c r="L342" s="64"/>
      <c r="M342" s="64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4"/>
      <c r="J343" s="64"/>
      <c r="K343" s="64"/>
      <c r="L343" s="64"/>
      <c r="M343" s="64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4"/>
      <c r="J344" s="64"/>
      <c r="K344" s="64"/>
      <c r="L344" s="64"/>
      <c r="M344" s="64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4"/>
      <c r="J345" s="64"/>
      <c r="K345" s="64"/>
      <c r="L345" s="64"/>
      <c r="M345" s="64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4"/>
      <c r="J346" s="64"/>
      <c r="K346" s="64"/>
      <c r="L346" s="64"/>
      <c r="M346" s="64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4"/>
      <c r="J347" s="64"/>
      <c r="K347" s="64"/>
      <c r="L347" s="64"/>
      <c r="M347" s="64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4"/>
      <c r="J348" s="64"/>
      <c r="K348" s="64"/>
      <c r="L348" s="64"/>
      <c r="M348" s="64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4"/>
      <c r="J349" s="64"/>
      <c r="K349" s="64"/>
      <c r="L349" s="64"/>
      <c r="M349" s="64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4"/>
      <c r="J350" s="64"/>
      <c r="K350" s="64"/>
      <c r="L350" s="64"/>
      <c r="M350" s="64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4"/>
      <c r="J351" s="64"/>
      <c r="K351" s="64"/>
      <c r="L351" s="64"/>
      <c r="M351" s="64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4"/>
      <c r="J352" s="64"/>
      <c r="K352" s="64"/>
      <c r="L352" s="64"/>
      <c r="M352" s="64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4"/>
      <c r="J353" s="64"/>
      <c r="K353" s="64"/>
      <c r="L353" s="64"/>
      <c r="M353" s="64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4"/>
      <c r="J354" s="64"/>
      <c r="K354" s="64"/>
      <c r="L354" s="64"/>
      <c r="M354" s="64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4"/>
      <c r="J355" s="64"/>
      <c r="K355" s="64"/>
      <c r="L355" s="64"/>
      <c r="M355" s="64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4"/>
      <c r="J356" s="64"/>
      <c r="K356" s="64"/>
      <c r="L356" s="64"/>
      <c r="M356" s="64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C1" zoomScale="80" zoomScaleNormal="80" workbookViewId="0">
      <selection activeCell="M8" sqref="M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4"/>
      <c r="G1" s="6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2" t="s">
        <v>272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4" customFormat="1" x14ac:dyDescent="0.3">
      <c r="A3" s="91"/>
      <c r="B3" s="91"/>
      <c r="C3" s="91"/>
      <c r="D3" s="91"/>
      <c r="E3" s="91"/>
      <c r="F3" s="172"/>
      <c r="G3" s="172"/>
      <c r="H3" s="173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</row>
    <row r="4" spans="1:42" s="194" customFormat="1" x14ac:dyDescent="0.3">
      <c r="A4" s="91"/>
      <c r="B4" s="91"/>
      <c r="C4" s="91"/>
      <c r="D4" s="91"/>
      <c r="E4" s="91"/>
      <c r="G4" s="172"/>
      <c r="H4" s="320" t="s">
        <v>315</v>
      </c>
      <c r="I4" s="320"/>
      <c r="K4" s="317" t="s">
        <v>253</v>
      </c>
      <c r="L4" s="318"/>
      <c r="M4" s="259">
        <v>4.4999999999999998E-2</v>
      </c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</row>
    <row r="5" spans="1:42" s="194" customFormat="1" x14ac:dyDescent="0.3">
      <c r="A5" s="91"/>
      <c r="B5" s="91"/>
      <c r="C5" s="91"/>
      <c r="D5" s="91"/>
      <c r="E5" s="91"/>
      <c r="G5" s="172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</row>
    <row r="6" spans="1:42" s="194" customFormat="1" ht="15" thickBot="1" x14ac:dyDescent="0.35">
      <c r="A6" s="91"/>
      <c r="B6" s="91"/>
      <c r="C6" s="91"/>
      <c r="D6" s="91"/>
      <c r="E6" s="91"/>
      <c r="F6" s="220"/>
      <c r="G6" s="172"/>
      <c r="H6" s="174"/>
      <c r="I6" s="174"/>
      <c r="J6" s="174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</row>
    <row r="7" spans="1:42" s="194" customFormat="1" ht="27.75" customHeight="1" thickBot="1" x14ac:dyDescent="0.55000000000000004">
      <c r="A7" s="266"/>
      <c r="B7" s="267"/>
      <c r="C7" s="267"/>
      <c r="D7" s="267"/>
      <c r="E7" s="268"/>
      <c r="F7" s="268" t="s">
        <v>192</v>
      </c>
      <c r="G7" s="269"/>
      <c r="H7" s="267"/>
      <c r="I7" s="267"/>
      <c r="J7" s="270"/>
      <c r="K7" s="264"/>
      <c r="L7" s="265"/>
      <c r="M7" s="265"/>
      <c r="N7" s="271" t="s">
        <v>191</v>
      </c>
      <c r="O7" s="271"/>
      <c r="P7" s="272"/>
      <c r="Q7" s="273"/>
      <c r="R7" s="328" t="s">
        <v>310</v>
      </c>
      <c r="S7" s="329"/>
      <c r="T7" s="329"/>
      <c r="U7" s="329"/>
      <c r="V7" s="330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</row>
    <row r="8" spans="1:42" x14ac:dyDescent="0.3">
      <c r="A8" s="25"/>
      <c r="C8" s="25"/>
      <c r="D8" s="25"/>
      <c r="E8" s="25"/>
      <c r="F8" s="212"/>
      <c r="G8" s="212"/>
      <c r="H8" s="5"/>
      <c r="I8" s="5"/>
      <c r="J8" s="205"/>
      <c r="K8" s="216"/>
      <c r="L8" s="25"/>
      <c r="M8" s="25"/>
      <c r="N8" s="25"/>
      <c r="O8" s="25"/>
      <c r="P8" s="25"/>
      <c r="Q8" s="256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1" t="s">
        <v>311</v>
      </c>
      <c r="C9" s="25"/>
      <c r="D9" s="25"/>
      <c r="E9" s="25"/>
      <c r="F9" s="252"/>
      <c r="G9" s="251" t="s">
        <v>314</v>
      </c>
      <c r="J9" s="205"/>
      <c r="K9" s="216"/>
      <c r="O9" s="25"/>
      <c r="P9" s="25"/>
      <c r="Q9" s="256"/>
      <c r="R9" s="25"/>
      <c r="S9" s="5"/>
      <c r="T9" s="177" t="s">
        <v>262</v>
      </c>
      <c r="U9" s="180" t="s">
        <v>249</v>
      </c>
      <c r="V9" s="177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1" t="s">
        <v>317</v>
      </c>
      <c r="C10" s="25"/>
      <c r="D10" s="25"/>
      <c r="E10" s="25"/>
      <c r="F10" s="252"/>
      <c r="G10" s="251" t="s">
        <v>316</v>
      </c>
      <c r="J10" s="205"/>
      <c r="K10" s="216"/>
      <c r="O10" s="25"/>
      <c r="P10" s="25"/>
      <c r="Q10" s="256"/>
      <c r="R10" s="25"/>
      <c r="S10" s="177" t="str">
        <f>B14</f>
        <v>Chêne pédonculé</v>
      </c>
      <c r="T10" s="181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1102.354961959421</v>
      </c>
      <c r="U10" s="182">
        <f>'Données projet'!D9</f>
        <v>3.4650000000000003</v>
      </c>
      <c r="V10" s="181">
        <f>U10*T10</f>
        <v>3819.6599431893937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1" t="s">
        <v>312</v>
      </c>
      <c r="B11" s="25"/>
      <c r="C11" s="25"/>
      <c r="D11" s="25"/>
      <c r="E11" s="25"/>
      <c r="F11" s="252"/>
      <c r="G11" s="251" t="s">
        <v>313</v>
      </c>
      <c r="J11" s="205"/>
      <c r="K11" s="216"/>
      <c r="M11" s="5"/>
      <c r="N11" s="5"/>
      <c r="O11" s="25"/>
      <c r="P11" s="25"/>
      <c r="Q11" s="256"/>
      <c r="R11" s="25"/>
      <c r="S11" s="177" t="str">
        <f>B45</f>
        <v>Aulne glutineux</v>
      </c>
      <c r="T11" s="263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790.87760228805382</v>
      </c>
      <c r="U11" s="182">
        <f>'Données projet'!D10</f>
        <v>0.94499999999999995</v>
      </c>
      <c r="V11" s="181">
        <f t="shared" ref="V11" si="0">U11*T11</f>
        <v>747.37933416221085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2"/>
      <c r="G12" s="1"/>
      <c r="J12" s="205"/>
      <c r="K12" s="216"/>
      <c r="L12" s="208"/>
      <c r="M12" s="25"/>
      <c r="N12" s="25"/>
      <c r="O12" s="25"/>
      <c r="P12" s="25"/>
      <c r="Q12" s="256"/>
      <c r="R12" s="25"/>
      <c r="S12" s="177" t="str">
        <f>B76</f>
        <v>Erable sycomore</v>
      </c>
      <c r="T12" s="263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82">
        <f>'Données projet'!D11</f>
        <v>0.94499999999999995</v>
      </c>
      <c r="V12" s="181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2"/>
      <c r="J13" s="25"/>
      <c r="K13" s="216"/>
      <c r="L13" s="176" t="s">
        <v>257</v>
      </c>
      <c r="M13" s="25"/>
      <c r="N13" s="25"/>
      <c r="O13" s="25"/>
      <c r="P13" s="25"/>
      <c r="Q13" s="256"/>
      <c r="R13" s="25"/>
      <c r="S13" s="177" t="str">
        <f>B107</f>
        <v>Bouleau verruqueux</v>
      </c>
      <c r="T13" s="263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699.92601121174539</v>
      </c>
      <c r="U13" s="182">
        <f>'Données projet'!D12</f>
        <v>0.63</v>
      </c>
      <c r="V13" s="181">
        <f t="shared" si="1"/>
        <v>440.95338706339959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78" t="str">
        <f>IF('Données projet'!$B$9="","",'Données projet'!$B$9)</f>
        <v>Chêne pédonculé</v>
      </c>
      <c r="C14" s="5"/>
      <c r="D14" s="5"/>
      <c r="E14" s="5"/>
      <c r="F14" s="252"/>
      <c r="G14" s="212"/>
      <c r="H14" s="177" t="s">
        <v>178</v>
      </c>
      <c r="I14" s="177" t="s">
        <v>290</v>
      </c>
      <c r="J14" s="206"/>
      <c r="K14" s="175"/>
      <c r="L14" s="208"/>
      <c r="M14" s="25"/>
      <c r="N14" s="25"/>
      <c r="O14" s="5"/>
      <c r="P14" s="5"/>
      <c r="Q14" s="257"/>
      <c r="R14" s="5"/>
      <c r="S14" s="177" t="str">
        <f>B138</f>
        <v>Charme</v>
      </c>
      <c r="T14" s="263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135.0770052733543</v>
      </c>
      <c r="U14" s="182">
        <f>'Données projet'!D13</f>
        <v>0.315</v>
      </c>
      <c r="V14" s="181">
        <f t="shared" si="1"/>
        <v>42.549256661106604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2"/>
      <c r="G15" s="321" t="s">
        <v>318</v>
      </c>
      <c r="H15" s="195">
        <v>0</v>
      </c>
      <c r="I15" s="196">
        <v>0</v>
      </c>
      <c r="J15" s="207"/>
      <c r="K15" s="216"/>
      <c r="L15" s="208"/>
      <c r="M15" s="25"/>
      <c r="N15" s="25"/>
      <c r="O15" s="25"/>
      <c r="P15" s="25"/>
      <c r="Q15" s="256"/>
      <c r="R15" s="25"/>
      <c r="S15" s="177" t="str">
        <f>B169</f>
        <v/>
      </c>
      <c r="T15" s="263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2">
        <f>'Données projet'!D14</f>
        <v>0</v>
      </c>
      <c r="V15" s="181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48" t="s">
        <v>180</v>
      </c>
      <c r="B16" s="51" t="s">
        <v>256</v>
      </c>
      <c r="C16" s="51" t="s">
        <v>255</v>
      </c>
      <c r="D16" s="248" t="s">
        <v>252</v>
      </c>
      <c r="E16" s="248" t="s">
        <v>320</v>
      </c>
      <c r="F16" s="252"/>
      <c r="G16" s="321"/>
      <c r="H16" s="195"/>
      <c r="I16" s="196"/>
      <c r="J16" s="207"/>
      <c r="K16" s="216"/>
      <c r="L16" s="317" t="s">
        <v>254</v>
      </c>
      <c r="M16" s="318"/>
      <c r="N16" s="2"/>
      <c r="O16" s="25"/>
      <c r="P16" s="25"/>
      <c r="Q16" s="256"/>
      <c r="R16" s="25"/>
      <c r="S16" s="177" t="str">
        <f>B200</f>
        <v/>
      </c>
      <c r="T16" s="263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2">
        <f>'Données projet'!D15</f>
        <v>0</v>
      </c>
      <c r="V16" s="181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1">
        <v>0</v>
      </c>
      <c r="B17" s="204" t="s">
        <v>132</v>
      </c>
      <c r="C17" s="203" t="s">
        <v>132</v>
      </c>
      <c r="D17" s="202" t="s">
        <v>132</v>
      </c>
      <c r="E17" s="198"/>
      <c r="F17" s="252"/>
      <c r="G17" s="321"/>
      <c r="J17" s="207"/>
      <c r="K17" s="216"/>
      <c r="L17" s="288" t="s">
        <v>289</v>
      </c>
      <c r="M17" s="290"/>
      <c r="N17" s="179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56"/>
      <c r="R17" s="25"/>
      <c r="S17" s="177" t="str">
        <f>B231</f>
        <v/>
      </c>
      <c r="T17" s="263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2">
        <f>'Données projet'!D16</f>
        <v>0</v>
      </c>
      <c r="V17" s="181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1">
        <v>1</v>
      </c>
      <c r="B18" s="204" t="s">
        <v>132</v>
      </c>
      <c r="C18" s="203" t="s">
        <v>132</v>
      </c>
      <c r="D18" s="202" t="s">
        <v>132</v>
      </c>
      <c r="E18" s="198"/>
      <c r="F18" s="252"/>
      <c r="G18" s="321"/>
      <c r="J18" s="207"/>
      <c r="K18" s="216"/>
      <c r="L18" s="288" t="s">
        <v>255</v>
      </c>
      <c r="M18" s="290"/>
      <c r="N18" s="197"/>
      <c r="O18" s="25"/>
      <c r="P18" s="25"/>
      <c r="Q18" s="256"/>
      <c r="R18" s="25"/>
      <c r="S18" s="177" t="str">
        <f>B262</f>
        <v/>
      </c>
      <c r="T18" s="263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2">
        <f>'Données projet'!D17</f>
        <v>0</v>
      </c>
      <c r="V18" s="181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1">
        <v>2</v>
      </c>
      <c r="B19" s="204" t="s">
        <v>132</v>
      </c>
      <c r="C19" s="203" t="s">
        <v>132</v>
      </c>
      <c r="D19" s="202" t="s">
        <v>132</v>
      </c>
      <c r="E19" s="198"/>
      <c r="F19" s="252"/>
      <c r="G19" s="321"/>
      <c r="H19" s="223" t="s">
        <v>178</v>
      </c>
      <c r="I19" s="223" t="s">
        <v>287</v>
      </c>
      <c r="J19" s="251"/>
      <c r="K19" s="175"/>
      <c r="L19" s="317" t="s">
        <v>288</v>
      </c>
      <c r="M19" s="318"/>
      <c r="N19" s="183">
        <f>N17*N18</f>
        <v>0</v>
      </c>
      <c r="O19" s="25"/>
      <c r="P19" s="5"/>
      <c r="Q19" s="257"/>
      <c r="R19" s="5"/>
      <c r="S19" s="177" t="str">
        <f>B293</f>
        <v/>
      </c>
      <c r="T19" s="263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2">
        <f>'Données projet'!D18</f>
        <v>0</v>
      </c>
      <c r="V19" s="181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1">
        <v>3</v>
      </c>
      <c r="B20" s="204" t="s">
        <v>132</v>
      </c>
      <c r="C20" s="203" t="s">
        <v>132</v>
      </c>
      <c r="D20" s="202" t="s">
        <v>132</v>
      </c>
      <c r="E20" s="198"/>
      <c r="F20" s="252"/>
      <c r="G20" s="321"/>
      <c r="H20" s="195">
        <v>0</v>
      </c>
      <c r="I20" s="196">
        <v>8500</v>
      </c>
      <c r="J20" s="5"/>
      <c r="K20" s="175"/>
      <c r="O20" s="25"/>
      <c r="P20" s="5"/>
      <c r="Q20" s="257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1">
        <v>4</v>
      </c>
      <c r="B21" s="204" t="s">
        <v>132</v>
      </c>
      <c r="C21" s="203" t="s">
        <v>132</v>
      </c>
      <c r="D21" s="202" t="s">
        <v>132</v>
      </c>
      <c r="E21" s="198"/>
      <c r="F21" s="252"/>
      <c r="H21" s="195"/>
      <c r="I21" s="196"/>
      <c r="K21" s="175"/>
      <c r="O21" s="25"/>
      <c r="P21" s="5"/>
      <c r="Q21" s="257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1">
        <v>5</v>
      </c>
      <c r="B22" s="204" t="s">
        <v>132</v>
      </c>
      <c r="C22" s="203" t="s">
        <v>132</v>
      </c>
      <c r="D22" s="202" t="s">
        <v>132</v>
      </c>
      <c r="E22" s="198"/>
      <c r="F22" s="252"/>
      <c r="H22" s="195"/>
      <c r="I22" s="196"/>
      <c r="K22" s="175"/>
      <c r="O22" s="25"/>
      <c r="P22" s="5"/>
      <c r="Q22" s="257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84">
        <f>'Données projet'!A36</f>
        <v>20</v>
      </c>
      <c r="B23" s="185">
        <f>'Données projet'!D36</f>
        <v>0</v>
      </c>
      <c r="C23" s="196">
        <v>0</v>
      </c>
      <c r="D23" s="186">
        <f>B23*C23</f>
        <v>0</v>
      </c>
      <c r="E23" s="198"/>
      <c r="F23" s="252"/>
      <c r="H23" s="195"/>
      <c r="I23" s="196"/>
      <c r="K23" s="216"/>
      <c r="L23" s="319" t="s">
        <v>260</v>
      </c>
      <c r="M23" s="319"/>
      <c r="N23" s="319"/>
      <c r="O23" s="25"/>
      <c r="P23" s="25"/>
      <c r="Q23" s="256"/>
      <c r="R23" s="25"/>
      <c r="S23" s="177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-48499.45807892389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84">
        <f>'Données projet'!A37</f>
        <v>25</v>
      </c>
      <c r="B24" s="185">
        <f>'Données projet'!D37</f>
        <v>34</v>
      </c>
      <c r="C24" s="198">
        <v>10</v>
      </c>
      <c r="D24" s="186">
        <f t="shared" ref="D24:D42" si="2">B24*C24</f>
        <v>340</v>
      </c>
      <c r="E24" s="198"/>
      <c r="F24" s="255"/>
      <c r="H24" s="195"/>
      <c r="I24" s="196"/>
      <c r="K24" s="216"/>
      <c r="O24" s="25"/>
      <c r="P24" s="25"/>
      <c r="Q24" s="256"/>
      <c r="R24" s="25"/>
      <c r="S24" s="177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28432.334608787161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84">
        <f>'Données projet'!A38</f>
        <v>30</v>
      </c>
      <c r="B25" s="185">
        <f>'Données projet'!D38</f>
        <v>0</v>
      </c>
      <c r="C25" s="198">
        <v>0</v>
      </c>
      <c r="D25" s="186">
        <f t="shared" si="2"/>
        <v>0</v>
      </c>
      <c r="E25" s="198"/>
      <c r="F25" s="255"/>
      <c r="G25" s="1"/>
      <c r="H25" s="195"/>
      <c r="I25" s="196"/>
      <c r="K25" s="216"/>
      <c r="L25" s="262" t="s">
        <v>285</v>
      </c>
      <c r="M25" s="262"/>
      <c r="N25" s="262"/>
      <c r="O25" s="262"/>
      <c r="P25" s="197">
        <v>200</v>
      </c>
      <c r="Q25" s="256"/>
      <c r="R25" s="25"/>
      <c r="S25" s="190" t="s">
        <v>266</v>
      </c>
      <c r="T25" s="335">
        <f ca="1">T23-T24</f>
        <v>-76931.792687711044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84">
        <f>'Données projet'!A39</f>
        <v>35</v>
      </c>
      <c r="B26" s="185">
        <f>'Données projet'!D39</f>
        <v>56</v>
      </c>
      <c r="C26" s="198">
        <v>10</v>
      </c>
      <c r="D26" s="186">
        <f t="shared" si="2"/>
        <v>560</v>
      </c>
      <c r="E26" s="198"/>
      <c r="F26" s="255"/>
      <c r="G26" s="250"/>
      <c r="H26" s="195"/>
      <c r="I26" s="196"/>
      <c r="K26" s="216"/>
      <c r="L26" s="322" t="s">
        <v>258</v>
      </c>
      <c r="M26" s="323"/>
      <c r="N26" s="323"/>
      <c r="O26" s="323"/>
      <c r="P26" s="324"/>
      <c r="Q26" s="256"/>
      <c r="R26" s="25"/>
      <c r="S26" s="190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84">
        <f>'Données projet'!A40</f>
        <v>40</v>
      </c>
      <c r="B27" s="185">
        <f>'Données projet'!D40</f>
        <v>0</v>
      </c>
      <c r="C27" s="198">
        <v>0</v>
      </c>
      <c r="D27" s="186">
        <f t="shared" si="2"/>
        <v>0</v>
      </c>
      <c r="E27" s="198"/>
      <c r="F27" s="255"/>
      <c r="G27" s="250"/>
      <c r="H27" s="195"/>
      <c r="I27" s="196"/>
      <c r="K27" s="216"/>
      <c r="L27" s="325"/>
      <c r="M27" s="326"/>
      <c r="N27" s="326"/>
      <c r="O27" s="326"/>
      <c r="P27" s="327"/>
      <c r="Q27" s="256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84">
        <f>'Données projet'!A41</f>
        <v>45</v>
      </c>
      <c r="B28" s="185">
        <f>'Données projet'!D41</f>
        <v>56</v>
      </c>
      <c r="C28" s="198">
        <v>20</v>
      </c>
      <c r="D28" s="186">
        <f t="shared" si="2"/>
        <v>1120</v>
      </c>
      <c r="E28" s="198"/>
      <c r="F28" s="255"/>
      <c r="G28" s="213"/>
      <c r="H28" s="195"/>
      <c r="I28" s="196"/>
      <c r="K28" s="216"/>
      <c r="Q28" s="256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84">
        <f>'Données projet'!A42</f>
        <v>50</v>
      </c>
      <c r="B29" s="185">
        <f>'Données projet'!D42</f>
        <v>0</v>
      </c>
      <c r="C29" s="198">
        <v>0</v>
      </c>
      <c r="D29" s="186">
        <f t="shared" si="2"/>
        <v>0</v>
      </c>
      <c r="E29" s="198"/>
      <c r="F29" s="255"/>
      <c r="G29" s="209"/>
      <c r="H29" s="195"/>
      <c r="I29" s="196"/>
      <c r="K29" s="216"/>
      <c r="O29" s="25"/>
      <c r="P29" s="25"/>
      <c r="Q29" s="256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84">
        <f>'Données projet'!A43</f>
        <v>55</v>
      </c>
      <c r="B30" s="185">
        <f>'Données projet'!D43</f>
        <v>56</v>
      </c>
      <c r="C30" s="198">
        <v>30</v>
      </c>
      <c r="D30" s="186">
        <f t="shared" si="2"/>
        <v>1680</v>
      </c>
      <c r="E30" s="198"/>
      <c r="F30" s="255"/>
      <c r="G30" s="209"/>
      <c r="H30" s="195"/>
      <c r="I30" s="196"/>
      <c r="K30" s="187"/>
      <c r="L30" s="177" t="s">
        <v>259</v>
      </c>
      <c r="M30" s="188">
        <f ca="1">SUM(OFFSET($P$33,0,0,MIN('Données projet'!$E$9:$E$18)+1,1))</f>
        <v>4513.0689855217715</v>
      </c>
      <c r="O30" s="5"/>
      <c r="P30" s="5"/>
      <c r="Q30" s="257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84">
        <f>'Données projet'!A44</f>
        <v>60</v>
      </c>
      <c r="B31" s="185">
        <f>'Données projet'!D44</f>
        <v>0</v>
      </c>
      <c r="C31" s="198">
        <v>0</v>
      </c>
      <c r="D31" s="186">
        <f t="shared" si="2"/>
        <v>0</v>
      </c>
      <c r="E31" s="198"/>
      <c r="F31" s="255"/>
      <c r="G31" s="209"/>
      <c r="H31" s="195"/>
      <c r="I31" s="196"/>
      <c r="K31" s="175"/>
      <c r="Q31" s="256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84">
        <f>'Données projet'!A45</f>
        <v>65</v>
      </c>
      <c r="B32" s="185">
        <f>'Données projet'!D45</f>
        <v>56</v>
      </c>
      <c r="C32" s="198">
        <v>40</v>
      </c>
      <c r="D32" s="186">
        <f t="shared" si="2"/>
        <v>2240</v>
      </c>
      <c r="E32" s="198"/>
      <c r="F32" s="255"/>
      <c r="G32" s="209"/>
      <c r="H32" s="195"/>
      <c r="I32" s="196"/>
      <c r="K32" s="175"/>
      <c r="N32" s="5"/>
      <c r="O32" s="261" t="s">
        <v>178</v>
      </c>
      <c r="P32" s="261" t="s">
        <v>252</v>
      </c>
      <c r="Q32" s="256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84">
        <f>'Données projet'!A46</f>
        <v>70</v>
      </c>
      <c r="B33" s="185">
        <f>'Données projet'!D46</f>
        <v>0</v>
      </c>
      <c r="C33" s="198">
        <v>0</v>
      </c>
      <c r="D33" s="186">
        <f t="shared" si="2"/>
        <v>0</v>
      </c>
      <c r="E33" s="198"/>
      <c r="F33" s="255"/>
      <c r="G33" s="209"/>
      <c r="H33" s="195"/>
      <c r="I33" s="196"/>
      <c r="K33" s="175"/>
      <c r="L33" s="5"/>
      <c r="M33" s="5"/>
      <c r="N33" s="5"/>
      <c r="O33" s="199">
        <v>0</v>
      </c>
      <c r="P33" s="189">
        <f t="shared" ref="P33:P64" si="3">$P$25/(1+$M$4)^O33</f>
        <v>200</v>
      </c>
      <c r="Q33" s="256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84">
        <f>'Données projet'!A47</f>
        <v>75</v>
      </c>
      <c r="B34" s="185">
        <f>'Données projet'!D47</f>
        <v>56</v>
      </c>
      <c r="C34" s="198">
        <v>50</v>
      </c>
      <c r="D34" s="186">
        <f t="shared" si="2"/>
        <v>2800</v>
      </c>
      <c r="E34" s="198"/>
      <c r="F34" s="255"/>
      <c r="G34" s="209"/>
      <c r="H34" s="195"/>
      <c r="I34" s="196"/>
      <c r="K34" s="175"/>
      <c r="L34" s="275"/>
      <c r="M34" s="275"/>
      <c r="N34" s="276"/>
      <c r="O34" s="199">
        <f>IF(O33+1&lt;=MIN('Données projet'!$E$9:$E$18),O33+1,"STOP")</f>
        <v>1</v>
      </c>
      <c r="P34" s="189">
        <f t="shared" si="3"/>
        <v>191.38755980861245</v>
      </c>
      <c r="Q34" s="256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84">
        <f>'Données projet'!A48</f>
        <v>80</v>
      </c>
      <c r="B35" s="185">
        <f>'Données projet'!D48</f>
        <v>0</v>
      </c>
      <c r="C35" s="198">
        <v>60</v>
      </c>
      <c r="D35" s="186">
        <f t="shared" si="2"/>
        <v>0</v>
      </c>
      <c r="E35" s="198"/>
      <c r="F35" s="255"/>
      <c r="G35" s="209"/>
      <c r="H35" s="195"/>
      <c r="I35" s="196"/>
      <c r="K35" s="175"/>
      <c r="L35" s="275"/>
      <c r="M35" s="275"/>
      <c r="N35" s="276"/>
      <c r="O35" s="199">
        <f>IF(O34+1&lt;=MIN('Données projet'!$E$9:$E$18),O34+1,"STOP")</f>
        <v>2</v>
      </c>
      <c r="P35" s="189">
        <f t="shared" si="3"/>
        <v>183.14599024747605</v>
      </c>
      <c r="Q35" s="256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84">
        <f>'Données projet'!A49</f>
        <v>90</v>
      </c>
      <c r="B36" s="185">
        <f>'Données projet'!D49</f>
        <v>84</v>
      </c>
      <c r="C36" s="198">
        <v>70</v>
      </c>
      <c r="D36" s="186">
        <f t="shared" si="2"/>
        <v>5880</v>
      </c>
      <c r="E36" s="198"/>
      <c r="F36" s="255"/>
      <c r="G36" s="209"/>
      <c r="H36" s="195"/>
      <c r="I36" s="196"/>
      <c r="K36" s="175"/>
      <c r="L36" s="25"/>
      <c r="M36" s="25"/>
      <c r="N36" s="25"/>
      <c r="O36" s="199">
        <f>IF(O35+1&lt;=MIN('Données projet'!$E$9:$E$18),O35+1,"STOP")</f>
        <v>3</v>
      </c>
      <c r="P36" s="189">
        <f t="shared" si="3"/>
        <v>175.25932081098188</v>
      </c>
      <c r="Q36" s="256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84">
        <f>'Données projet'!A50</f>
        <v>105</v>
      </c>
      <c r="B37" s="185">
        <f>'Données projet'!D50</f>
        <v>81</v>
      </c>
      <c r="C37" s="198">
        <v>80</v>
      </c>
      <c r="D37" s="186">
        <f t="shared" si="2"/>
        <v>6480</v>
      </c>
      <c r="E37" s="198"/>
      <c r="F37" s="255"/>
      <c r="G37" s="209"/>
      <c r="H37" s="195"/>
      <c r="I37" s="196"/>
      <c r="K37" s="175"/>
      <c r="L37" s="25"/>
      <c r="M37" s="25"/>
      <c r="N37" s="25"/>
      <c r="O37" s="199">
        <f>IF(O36+1&lt;=MIN('Données projet'!$E$9:$E$18),O36+1,"STOP")</f>
        <v>4</v>
      </c>
      <c r="P37" s="189">
        <f t="shared" si="3"/>
        <v>167.71226871864297</v>
      </c>
      <c r="Q37" s="256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84">
        <f>'Données projet'!A51</f>
        <v>120</v>
      </c>
      <c r="B38" s="185">
        <f>'Données projet'!D51</f>
        <v>72</v>
      </c>
      <c r="C38" s="198">
        <v>100</v>
      </c>
      <c r="D38" s="186">
        <f t="shared" si="2"/>
        <v>7200</v>
      </c>
      <c r="E38" s="198"/>
      <c r="F38" s="255"/>
      <c r="G38" s="209"/>
      <c r="H38" s="195"/>
      <c r="I38" s="196"/>
      <c r="K38" s="175"/>
      <c r="L38" s="25"/>
      <c r="M38" s="25"/>
      <c r="N38" s="25"/>
      <c r="O38" s="199">
        <f>IF(O37+1&lt;=MIN('Données projet'!$E$9:$E$18),O37+1,"STOP")</f>
        <v>5</v>
      </c>
      <c r="P38" s="189">
        <f t="shared" si="3"/>
        <v>160.49020930013683</v>
      </c>
      <c r="Q38" s="256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84">
        <f>'Données projet'!A52</f>
        <v>135</v>
      </c>
      <c r="B39" s="185">
        <f>'Données projet'!D52</f>
        <v>65</v>
      </c>
      <c r="C39" s="198">
        <v>150</v>
      </c>
      <c r="D39" s="186">
        <f t="shared" si="2"/>
        <v>9750</v>
      </c>
      <c r="E39" s="198"/>
      <c r="F39" s="255"/>
      <c r="G39" s="209"/>
      <c r="H39" s="195"/>
      <c r="I39" s="196"/>
      <c r="K39" s="216"/>
      <c r="L39" s="25"/>
      <c r="M39" s="25"/>
      <c r="N39" s="25"/>
      <c r="O39" s="199">
        <f>IF(O38+1&lt;=MIN('Données projet'!$E$9:$E$18),O38+1,"STOP")</f>
        <v>6</v>
      </c>
      <c r="P39" s="189">
        <f t="shared" si="3"/>
        <v>153.57914765563336</v>
      </c>
      <c r="Q39" s="256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84">
        <f>'Données projet'!A53</f>
        <v>150</v>
      </c>
      <c r="B40" s="185">
        <f>'Données projet'!D53</f>
        <v>355</v>
      </c>
      <c r="C40" s="198">
        <v>200</v>
      </c>
      <c r="D40" s="186">
        <f t="shared" si="2"/>
        <v>71000</v>
      </c>
      <c r="E40" s="198"/>
      <c r="F40" s="255"/>
      <c r="G40" s="209"/>
      <c r="H40" s="195"/>
      <c r="I40" s="196"/>
      <c r="K40" s="216"/>
      <c r="L40" s="25"/>
      <c r="M40" s="25"/>
      <c r="N40" s="25"/>
      <c r="O40" s="199">
        <f>IF(O39+1&lt;=MIN('Données projet'!$E$9:$E$18),O39+1,"STOP")</f>
        <v>7</v>
      </c>
      <c r="P40" s="189">
        <f t="shared" si="3"/>
        <v>146.96569153649125</v>
      </c>
      <c r="Q40" s="256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84">
        <f>'Données projet'!A54</f>
        <v>0</v>
      </c>
      <c r="B41" s="185">
        <f>'Données projet'!D54</f>
        <v>0</v>
      </c>
      <c r="C41" s="198"/>
      <c r="D41" s="186">
        <f t="shared" si="2"/>
        <v>0</v>
      </c>
      <c r="E41" s="198"/>
      <c r="F41" s="255"/>
      <c r="G41" s="209"/>
      <c r="H41" s="195"/>
      <c r="I41" s="196"/>
      <c r="K41" s="216"/>
      <c r="L41" s="25"/>
      <c r="M41" s="25"/>
      <c r="N41" s="25"/>
      <c r="O41" s="199">
        <f>IF(O40+1&lt;=MIN('Données projet'!$E$9:$E$18),O40+1,"STOP")</f>
        <v>8</v>
      </c>
      <c r="P41" s="189">
        <f t="shared" si="3"/>
        <v>140.63702539377158</v>
      </c>
      <c r="Q41" s="256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84">
        <f>'Données projet'!A55</f>
        <v>0</v>
      </c>
      <c r="B42" s="185">
        <f>'Données projet'!D55</f>
        <v>0</v>
      </c>
      <c r="C42" s="198"/>
      <c r="D42" s="186">
        <f t="shared" si="2"/>
        <v>0</v>
      </c>
      <c r="E42" s="198"/>
      <c r="F42" s="255"/>
      <c r="G42" s="209"/>
      <c r="H42" s="195"/>
      <c r="I42" s="196"/>
      <c r="K42" s="216"/>
      <c r="L42" s="25"/>
      <c r="M42" s="25"/>
      <c r="N42" s="25"/>
      <c r="O42" s="199">
        <f>IF(O41+1&lt;=MIN('Données projet'!$E$9:$E$18),O41+1,"STOP")</f>
        <v>9</v>
      </c>
      <c r="P42" s="189">
        <f t="shared" si="3"/>
        <v>134.58088554427903</v>
      </c>
      <c r="Q42" s="256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1"/>
      <c r="B43" s="191"/>
      <c r="C43" s="191"/>
      <c r="D43" s="247"/>
      <c r="E43" s="247"/>
      <c r="F43" s="260"/>
      <c r="G43" s="209"/>
      <c r="H43" s="195"/>
      <c r="I43" s="196"/>
      <c r="K43" s="216"/>
      <c r="L43" s="25"/>
      <c r="M43" s="25"/>
      <c r="N43" s="25"/>
      <c r="O43" s="199">
        <f>IF(O42+1&lt;=MIN('Données projet'!$E$9:$E$18),O42+1,"STOP")</f>
        <v>10</v>
      </c>
      <c r="P43" s="189">
        <f t="shared" si="3"/>
        <v>128.78553640600865</v>
      </c>
      <c r="Q43" s="257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2"/>
      <c r="G44" s="209"/>
      <c r="H44" s="195"/>
      <c r="I44" s="196"/>
      <c r="K44" s="216"/>
      <c r="L44" s="25"/>
      <c r="M44" s="25"/>
      <c r="N44" s="25"/>
      <c r="O44" s="199">
        <f>IF(O43+1&lt;=MIN('Données projet'!$E$9:$E$18),O43+1,"STOP")</f>
        <v>11</v>
      </c>
      <c r="P44" s="189">
        <f t="shared" si="3"/>
        <v>123.23974775694609</v>
      </c>
      <c r="Q44" s="257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78" t="str">
        <f>IF('Données projet'!$B$10="","",'Données projet'!$B$10)</f>
        <v>Aulne glutineux</v>
      </c>
      <c r="C45" s="5"/>
      <c r="D45" s="5"/>
      <c r="E45" s="5"/>
      <c r="F45" s="252"/>
      <c r="G45" s="209"/>
      <c r="H45" s="195"/>
      <c r="I45" s="196"/>
      <c r="J45" s="25"/>
      <c r="K45" s="216"/>
      <c r="L45" s="25"/>
      <c r="M45" s="25"/>
      <c r="N45" s="25"/>
      <c r="O45" s="199">
        <f>IF(O44+1&lt;=MIN('Données projet'!$E$9:$E$18),O44+1,"STOP")</f>
        <v>12</v>
      </c>
      <c r="P45" s="189">
        <f t="shared" si="3"/>
        <v>117.93277297315417</v>
      </c>
      <c r="Q45" s="257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2"/>
      <c r="G46" s="209"/>
      <c r="H46" s="195"/>
      <c r="I46" s="196"/>
      <c r="J46" s="25"/>
      <c r="K46" s="216"/>
      <c r="L46" s="211"/>
      <c r="M46" s="211"/>
      <c r="N46" s="211"/>
      <c r="O46" s="199">
        <f>IF(O45+1&lt;=MIN('Données projet'!$E$9:$E$18),O45+1,"STOP")</f>
        <v>13</v>
      </c>
      <c r="P46" s="192">
        <f t="shared" si="3"/>
        <v>112.85432820397527</v>
      </c>
      <c r="Q46" s="257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48" t="s">
        <v>180</v>
      </c>
      <c r="B47" s="51" t="s">
        <v>256</v>
      </c>
      <c r="C47" s="51" t="s">
        <v>255</v>
      </c>
      <c r="D47" s="248" t="s">
        <v>252</v>
      </c>
      <c r="E47" s="248" t="s">
        <v>320</v>
      </c>
      <c r="F47" s="253"/>
      <c r="G47" s="209"/>
      <c r="H47" s="195"/>
      <c r="I47" s="196"/>
      <c r="J47" s="25"/>
      <c r="K47" s="216"/>
      <c r="L47" s="5"/>
      <c r="M47" s="5"/>
      <c r="N47" s="5"/>
      <c r="O47" s="199">
        <f>IF(O46+1&lt;=MIN('Données projet'!$E$9:$E$18),O46+1,"STOP")</f>
        <v>14</v>
      </c>
      <c r="P47" s="189">
        <f t="shared" si="3"/>
        <v>107.99457244399551</v>
      </c>
      <c r="Q47" s="257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1">
        <v>0</v>
      </c>
      <c r="B48" s="204" t="s">
        <v>132</v>
      </c>
      <c r="C48" s="203" t="s">
        <v>132</v>
      </c>
      <c r="D48" s="202" t="s">
        <v>132</v>
      </c>
      <c r="E48" s="198"/>
      <c r="F48" s="253"/>
      <c r="G48" s="209"/>
      <c r="H48" s="195"/>
      <c r="I48" s="196"/>
      <c r="J48" s="25"/>
      <c r="K48" s="216"/>
      <c r="L48" s="5"/>
      <c r="M48" s="5"/>
      <c r="N48" s="5"/>
      <c r="O48" s="199">
        <f>IF(O47+1&lt;=MIN('Données projet'!$E$9:$E$18),O47+1,"STOP")</f>
        <v>15</v>
      </c>
      <c r="P48" s="189">
        <f t="shared" si="3"/>
        <v>103.34408846315358</v>
      </c>
      <c r="Q48" s="257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0" customFormat="1" ht="17.25" customHeight="1" x14ac:dyDescent="0.3">
      <c r="A49" s="201">
        <v>1</v>
      </c>
      <c r="B49" s="204" t="s">
        <v>132</v>
      </c>
      <c r="C49" s="203" t="s">
        <v>132</v>
      </c>
      <c r="D49" s="202" t="s">
        <v>132</v>
      </c>
      <c r="E49" s="198"/>
      <c r="F49" s="253"/>
      <c r="G49" s="210"/>
      <c r="H49" s="195"/>
      <c r="I49" s="196"/>
      <c r="J49" s="211"/>
      <c r="K49" s="218"/>
      <c r="L49" s="5"/>
      <c r="M49" s="5"/>
      <c r="N49" s="5"/>
      <c r="O49" s="199">
        <f>IF(O48+1&lt;=MIN('Données projet'!$E$9:$E$18),O48+1,"STOP")</f>
        <v>16</v>
      </c>
      <c r="P49" s="189">
        <f t="shared" si="3"/>
        <v>98.893864558041756</v>
      </c>
      <c r="Q49" s="258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</row>
    <row r="50" spans="1:56" x14ac:dyDescent="0.3">
      <c r="A50" s="201">
        <v>2</v>
      </c>
      <c r="B50" s="204" t="s">
        <v>132</v>
      </c>
      <c r="C50" s="203" t="s">
        <v>132</v>
      </c>
      <c r="D50" s="202" t="s">
        <v>132</v>
      </c>
      <c r="E50" s="198"/>
      <c r="F50" s="253"/>
      <c r="G50" s="212"/>
      <c r="H50" s="195"/>
      <c r="I50" s="196"/>
      <c r="J50" s="25"/>
      <c r="K50" s="175"/>
      <c r="L50" s="5"/>
      <c r="M50" s="5"/>
      <c r="N50" s="5"/>
      <c r="O50" s="199">
        <f>IF(O49+1&lt;=MIN('Données projet'!$E$9:$E$18),O49+1,"STOP")</f>
        <v>17</v>
      </c>
      <c r="P50" s="189">
        <f t="shared" si="3"/>
        <v>94.635277089035171</v>
      </c>
      <c r="Q50" s="257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1">
        <v>3</v>
      </c>
      <c r="B51" s="204" t="s">
        <v>132</v>
      </c>
      <c r="C51" s="203" t="s">
        <v>132</v>
      </c>
      <c r="D51" s="202" t="s">
        <v>132</v>
      </c>
      <c r="E51" s="198"/>
      <c r="F51" s="253"/>
      <c r="G51" s="212"/>
      <c r="H51" s="195"/>
      <c r="I51" s="196"/>
      <c r="J51" s="25"/>
      <c r="K51" s="175"/>
      <c r="L51" s="5"/>
      <c r="M51" s="5"/>
      <c r="N51" s="5"/>
      <c r="O51" s="199">
        <f>IF(O50+1&lt;=MIN('Données projet'!$E$9:$E$18),O50+1,"STOP")</f>
        <v>18</v>
      </c>
      <c r="P51" s="189">
        <f t="shared" si="3"/>
        <v>90.560073769411659</v>
      </c>
      <c r="Q51" s="257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1">
        <v>4</v>
      </c>
      <c r="B52" s="204" t="s">
        <v>132</v>
      </c>
      <c r="C52" s="203"/>
      <c r="D52" s="202" t="s">
        <v>132</v>
      </c>
      <c r="E52" s="198"/>
      <c r="F52" s="253"/>
      <c r="G52" s="212"/>
      <c r="H52" s="195"/>
      <c r="I52" s="196"/>
      <c r="J52" s="25"/>
      <c r="K52" s="175"/>
      <c r="L52" s="5"/>
      <c r="M52" s="5"/>
      <c r="N52" s="5"/>
      <c r="O52" s="199">
        <f>IF(O51+1&lt;=MIN('Données projet'!$E$9:$E$18),O51+1,"STOP")</f>
        <v>19</v>
      </c>
      <c r="P52" s="189">
        <f t="shared" si="3"/>
        <v>86.660357674078142</v>
      </c>
      <c r="Q52" s="257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1">
        <v>5</v>
      </c>
      <c r="B53" s="204" t="s">
        <v>132</v>
      </c>
      <c r="C53" s="203"/>
      <c r="D53" s="202" t="s">
        <v>132</v>
      </c>
      <c r="E53" s="198"/>
      <c r="F53" s="253"/>
      <c r="G53" s="213"/>
      <c r="H53" s="195"/>
      <c r="I53" s="196"/>
      <c r="J53" s="25"/>
      <c r="K53" s="175"/>
      <c r="L53" s="5"/>
      <c r="M53" s="5"/>
      <c r="N53" s="5"/>
      <c r="O53" s="199">
        <f>IF(O52+1&lt;=MIN('Données projet'!$E$9:$E$18),O52+1,"STOP")</f>
        <v>20</v>
      </c>
      <c r="P53" s="189">
        <f t="shared" si="3"/>
        <v>82.92857193691691</v>
      </c>
      <c r="Q53" s="257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84">
        <f>'Données projet'!A62</f>
        <v>10</v>
      </c>
      <c r="B54" s="185">
        <f>'Données projet'!D62</f>
        <v>0</v>
      </c>
      <c r="C54" s="198"/>
      <c r="D54" s="183">
        <f>B54*C54</f>
        <v>0</v>
      </c>
      <c r="E54" s="198"/>
      <c r="F54" s="254"/>
      <c r="G54" s="213"/>
      <c r="H54" s="195"/>
      <c r="I54" s="196"/>
      <c r="J54" s="25"/>
      <c r="K54" s="175"/>
      <c r="L54" s="5"/>
      <c r="M54" s="5"/>
      <c r="N54" s="5"/>
      <c r="O54" s="199">
        <f>IF(O53+1&lt;=MIN('Données projet'!$E$9:$E$18),O53+1,"STOP")</f>
        <v>21</v>
      </c>
      <c r="P54" s="189">
        <f t="shared" si="3"/>
        <v>79.357485107097517</v>
      </c>
      <c r="Q54" s="257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84">
        <f>'Données projet'!A63</f>
        <v>15</v>
      </c>
      <c r="B55" s="185">
        <f>'Données projet'!D63</f>
        <v>0</v>
      </c>
      <c r="C55" s="198"/>
      <c r="D55" s="183">
        <f t="shared" ref="D55:D73" si="4">B55*C55</f>
        <v>0</v>
      </c>
      <c r="E55" s="198"/>
      <c r="F55" s="254"/>
      <c r="G55" s="213"/>
      <c r="H55" s="195"/>
      <c r="I55" s="196"/>
      <c r="J55" s="25"/>
      <c r="K55" s="175"/>
      <c r="L55" s="5"/>
      <c r="M55" s="5"/>
      <c r="N55" s="5"/>
      <c r="O55" s="199">
        <f>IF(O54+1&lt;=MIN('Données projet'!$E$9:$E$18),O54+1,"STOP")</f>
        <v>22</v>
      </c>
      <c r="P55" s="189">
        <f t="shared" si="3"/>
        <v>75.940177135978502</v>
      </c>
      <c r="Q55" s="257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84">
        <f>'Données projet'!A64</f>
        <v>20</v>
      </c>
      <c r="B56" s="185">
        <f>'Données projet'!D64</f>
        <v>15</v>
      </c>
      <c r="C56" s="198">
        <v>5</v>
      </c>
      <c r="D56" s="183">
        <f t="shared" si="4"/>
        <v>75</v>
      </c>
      <c r="E56" s="198"/>
      <c r="F56" s="254"/>
      <c r="G56" s="213"/>
      <c r="H56" s="195"/>
      <c r="I56" s="196"/>
      <c r="J56" s="25"/>
      <c r="K56" s="175"/>
      <c r="L56" s="5"/>
      <c r="M56" s="5"/>
      <c r="N56" s="5"/>
      <c r="O56" s="199">
        <f>IF(O55+1&lt;=MIN('Données projet'!$E$9:$E$18),O55+1,"STOP")</f>
        <v>23</v>
      </c>
      <c r="P56" s="189">
        <f t="shared" si="3"/>
        <v>72.67002596744355</v>
      </c>
      <c r="Q56" s="257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84">
        <f>'Données projet'!A65</f>
        <v>25</v>
      </c>
      <c r="B57" s="185">
        <f>'Données projet'!D65</f>
        <v>0</v>
      </c>
      <c r="C57" s="198"/>
      <c r="D57" s="183">
        <f t="shared" si="4"/>
        <v>0</v>
      </c>
      <c r="E57" s="198"/>
      <c r="F57" s="254"/>
      <c r="G57" s="213"/>
      <c r="H57" s="195"/>
      <c r="I57" s="196"/>
      <c r="J57" s="25"/>
      <c r="K57" s="175"/>
      <c r="L57" s="5"/>
      <c r="M57" s="5"/>
      <c r="N57" s="5"/>
      <c r="O57" s="199">
        <f>IF(O56+1&lt;=MIN('Données projet'!$E$9:$E$18),O56+1,"STOP")</f>
        <v>24</v>
      </c>
      <c r="P57" s="189">
        <f t="shared" si="3"/>
        <v>69.540694705687613</v>
      </c>
      <c r="Q57" s="257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84">
        <f>'Données projet'!A66</f>
        <v>30</v>
      </c>
      <c r="B58" s="185">
        <f>'Données projet'!D66</f>
        <v>44</v>
      </c>
      <c r="C58" s="198">
        <v>10</v>
      </c>
      <c r="D58" s="183">
        <f t="shared" si="4"/>
        <v>440</v>
      </c>
      <c r="E58" s="198"/>
      <c r="F58" s="254"/>
      <c r="G58" s="213"/>
      <c r="H58" s="195"/>
      <c r="I58" s="196"/>
      <c r="J58" s="25"/>
      <c r="K58" s="175"/>
      <c r="L58" s="5"/>
      <c r="M58" s="5"/>
      <c r="N58" s="5"/>
      <c r="O58" s="199">
        <f>IF(O57+1&lt;=MIN('Données projet'!$E$9:$E$18),O57+1,"STOP")</f>
        <v>25</v>
      </c>
      <c r="P58" s="189">
        <f t="shared" si="3"/>
        <v>66.546119335586241</v>
      </c>
      <c r="Q58" s="257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84">
        <f>'Données projet'!A67</f>
        <v>35</v>
      </c>
      <c r="B59" s="185">
        <f>'Données projet'!D67</f>
        <v>0</v>
      </c>
      <c r="C59" s="198"/>
      <c r="D59" s="183">
        <f t="shared" si="4"/>
        <v>0</v>
      </c>
      <c r="E59" s="198"/>
      <c r="F59" s="254"/>
      <c r="G59" s="213"/>
      <c r="H59" s="195"/>
      <c r="I59" s="196"/>
      <c r="J59" s="25"/>
      <c r="K59" s="175"/>
      <c r="L59" s="5"/>
      <c r="M59" s="5"/>
      <c r="N59" s="5"/>
      <c r="O59" s="199">
        <f>IF(O58+1&lt;=MIN('Données projet'!$E$9:$E$18),O58+1,"STOP")</f>
        <v>26</v>
      </c>
      <c r="P59" s="189">
        <f t="shared" si="3"/>
        <v>63.680496971852875</v>
      </c>
      <c r="Q59" s="257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84">
        <f>'Données projet'!A68</f>
        <v>40</v>
      </c>
      <c r="B60" s="185">
        <f>'Données projet'!D68</f>
        <v>50</v>
      </c>
      <c r="C60" s="198">
        <v>10</v>
      </c>
      <c r="D60" s="183">
        <f t="shared" si="4"/>
        <v>500</v>
      </c>
      <c r="E60" s="198"/>
      <c r="F60" s="254"/>
      <c r="G60" s="214"/>
      <c r="H60" s="195"/>
      <c r="I60" s="196"/>
      <c r="J60" s="25"/>
      <c r="K60" s="175"/>
      <c r="L60" s="5"/>
      <c r="M60" s="5"/>
      <c r="N60" s="5"/>
      <c r="O60" s="199">
        <f>IF(O59+1&lt;=MIN('Données projet'!$E$9:$E$18),O59+1,"STOP")</f>
        <v>27</v>
      </c>
      <c r="P60" s="189">
        <f t="shared" si="3"/>
        <v>60.938274614213277</v>
      </c>
      <c r="Q60" s="257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84">
        <f>'Données projet'!A69</f>
        <v>45</v>
      </c>
      <c r="B61" s="185">
        <f>'Données projet'!D69</f>
        <v>0</v>
      </c>
      <c r="C61" s="198"/>
      <c r="D61" s="183">
        <f t="shared" si="4"/>
        <v>0</v>
      </c>
      <c r="E61" s="198"/>
      <c r="F61" s="254"/>
      <c r="G61" s="214"/>
      <c r="H61" s="195"/>
      <c r="I61" s="196"/>
      <c r="J61" s="25"/>
      <c r="K61" s="175"/>
      <c r="L61" s="5"/>
      <c r="M61" s="5"/>
      <c r="N61" s="5"/>
      <c r="O61" s="199">
        <f>IF(O60+1&lt;=MIN('Données projet'!$E$9:$E$18),O60+1,"STOP")</f>
        <v>28</v>
      </c>
      <c r="P61" s="189">
        <f t="shared" si="3"/>
        <v>58.314138386806981</v>
      </c>
      <c r="Q61" s="257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84">
        <f>'Données projet'!A70</f>
        <v>50</v>
      </c>
      <c r="B62" s="185">
        <f>'Données projet'!D70</f>
        <v>43</v>
      </c>
      <c r="C62" s="198">
        <v>20</v>
      </c>
      <c r="D62" s="183">
        <f t="shared" si="4"/>
        <v>860</v>
      </c>
      <c r="E62" s="198"/>
      <c r="F62" s="254"/>
      <c r="G62" s="214"/>
      <c r="H62" s="195"/>
      <c r="I62" s="196"/>
      <c r="J62" s="25"/>
      <c r="K62" s="175"/>
      <c r="L62" s="5"/>
      <c r="M62" s="5"/>
      <c r="N62" s="5"/>
      <c r="O62" s="199">
        <f>IF(O61+1&lt;=MIN('Données projet'!$E$9:$E$18),O61+1,"STOP")</f>
        <v>29</v>
      </c>
      <c r="P62" s="189">
        <f t="shared" si="3"/>
        <v>55.803003240963605</v>
      </c>
      <c r="Q62" s="257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84">
        <f>'Données projet'!A71</f>
        <v>55</v>
      </c>
      <c r="B63" s="185">
        <f>'Données projet'!D71</f>
        <v>0</v>
      </c>
      <c r="C63" s="198"/>
      <c r="D63" s="183">
        <f t="shared" si="4"/>
        <v>0</v>
      </c>
      <c r="E63" s="198"/>
      <c r="F63" s="254"/>
      <c r="G63" s="214"/>
      <c r="H63" s="195"/>
      <c r="I63" s="196"/>
      <c r="J63" s="25"/>
      <c r="K63" s="175"/>
      <c r="L63" s="5"/>
      <c r="M63" s="5"/>
      <c r="N63" s="5"/>
      <c r="O63" s="199">
        <f>IF(O62+1&lt;=MIN('Données projet'!$E$9:$E$18),O62+1,"STOP")</f>
        <v>30</v>
      </c>
      <c r="P63" s="189">
        <f t="shared" si="3"/>
        <v>53.4000031014006</v>
      </c>
      <c r="Q63" s="257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84">
        <f>'Données projet'!A72</f>
        <v>60</v>
      </c>
      <c r="B64" s="185">
        <f>'Données projet'!D72</f>
        <v>45</v>
      </c>
      <c r="C64" s="198">
        <v>30</v>
      </c>
      <c r="D64" s="183">
        <f t="shared" si="4"/>
        <v>1350</v>
      </c>
      <c r="E64" s="198"/>
      <c r="F64" s="254"/>
      <c r="G64" s="214"/>
      <c r="H64" s="195"/>
      <c r="I64" s="196"/>
      <c r="J64" s="215"/>
      <c r="K64" s="175"/>
      <c r="L64" s="5"/>
      <c r="M64" s="5"/>
      <c r="N64" s="5"/>
      <c r="O64" s="199">
        <f>IF(O63+1&lt;=MIN('Données projet'!$E$9:$E$18),O63+1,"STOP")</f>
        <v>31</v>
      </c>
      <c r="P64" s="189">
        <f t="shared" si="3"/>
        <v>51.100481436746975</v>
      </c>
      <c r="Q64" s="257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84">
        <f>'Données projet'!A73</f>
        <v>65</v>
      </c>
      <c r="B65" s="185">
        <f>'Données projet'!D73</f>
        <v>0</v>
      </c>
      <c r="C65" s="198"/>
      <c r="D65" s="183">
        <f t="shared" si="4"/>
        <v>0</v>
      </c>
      <c r="E65" s="198"/>
      <c r="F65" s="254"/>
      <c r="G65" s="214"/>
      <c r="H65" s="195"/>
      <c r="I65" s="196"/>
      <c r="J65" s="193"/>
      <c r="K65" s="175"/>
      <c r="L65" s="5"/>
      <c r="M65" s="5"/>
      <c r="N65" s="5"/>
      <c r="O65" s="199">
        <f>IF(O64+1&lt;=MIN('Données projet'!$E$9:$E$18),O64+1,"STOP")</f>
        <v>32</v>
      </c>
      <c r="P65" s="189">
        <f t="shared" ref="P65:P96" si="5">$P$25/(1+$M$4)^O65</f>
        <v>48.899982236121538</v>
      </c>
      <c r="Q65" s="257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84">
        <f>'Données projet'!A74</f>
        <v>70</v>
      </c>
      <c r="B66" s="185">
        <f>'Données projet'!D74</f>
        <v>34</v>
      </c>
      <c r="C66" s="198">
        <v>40</v>
      </c>
      <c r="D66" s="183">
        <f t="shared" si="4"/>
        <v>1360</v>
      </c>
      <c r="E66" s="198"/>
      <c r="F66" s="254"/>
      <c r="G66" s="214"/>
      <c r="H66" s="195"/>
      <c r="I66" s="196"/>
      <c r="J66" s="193"/>
      <c r="K66" s="175"/>
      <c r="L66" s="5"/>
      <c r="M66" s="5"/>
      <c r="N66" s="5"/>
      <c r="O66" s="199">
        <f>IF(O65+1&lt;=MIN('Données projet'!$E$9:$E$18),O65+1,"STOP")</f>
        <v>33</v>
      </c>
      <c r="P66" s="189">
        <f t="shared" si="5"/>
        <v>46.79424137427899</v>
      </c>
      <c r="Q66" s="257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84">
        <f>'Données projet'!A75</f>
        <v>75</v>
      </c>
      <c r="B67" s="185">
        <f>'Données projet'!D75</f>
        <v>0</v>
      </c>
      <c r="C67" s="198"/>
      <c r="D67" s="183">
        <f t="shared" si="4"/>
        <v>0</v>
      </c>
      <c r="E67" s="198"/>
      <c r="F67" s="254"/>
      <c r="G67" s="214"/>
      <c r="H67" s="195"/>
      <c r="I67" s="196"/>
      <c r="J67" s="193"/>
      <c r="K67" s="175"/>
      <c r="L67" s="5"/>
      <c r="M67" s="5"/>
      <c r="N67" s="5"/>
      <c r="O67" s="199">
        <f>IF(O66+1&lt;=MIN('Données projet'!$E$9:$E$18),O66+1,"STOP")</f>
        <v>34</v>
      </c>
      <c r="P67" s="189">
        <f t="shared" si="5"/>
        <v>44.779178348592339</v>
      </c>
      <c r="Q67" s="257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84">
        <f>'Données projet'!A76</f>
        <v>80</v>
      </c>
      <c r="B68" s="185">
        <f>'Données projet'!D76</f>
        <v>34</v>
      </c>
      <c r="C68" s="198">
        <v>50</v>
      </c>
      <c r="D68" s="183">
        <f t="shared" si="4"/>
        <v>1700</v>
      </c>
      <c r="E68" s="198"/>
      <c r="F68" s="254"/>
      <c r="G68" s="214"/>
      <c r="H68" s="195"/>
      <c r="I68" s="196"/>
      <c r="J68" s="193"/>
      <c r="K68" s="175"/>
      <c r="L68" s="5"/>
      <c r="M68" s="5"/>
      <c r="N68" s="5"/>
      <c r="O68" s="199">
        <f>IF(O67+1&lt;=MIN('Données projet'!$E$9:$E$18),O67+1,"STOP")</f>
        <v>35</v>
      </c>
      <c r="P68" s="189">
        <f t="shared" si="5"/>
        <v>42.850888371858694</v>
      </c>
      <c r="Q68" s="257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84">
        <f>'Données projet'!A77</f>
        <v>85</v>
      </c>
      <c r="B69" s="185">
        <f>'Données projet'!D77</f>
        <v>0</v>
      </c>
      <c r="C69" s="198"/>
      <c r="D69" s="183">
        <f t="shared" si="4"/>
        <v>0</v>
      </c>
      <c r="E69" s="198"/>
      <c r="F69" s="254"/>
      <c r="G69" s="214"/>
      <c r="H69" s="195"/>
      <c r="I69" s="196"/>
      <c r="J69" s="193"/>
      <c r="K69" s="175"/>
      <c r="L69" s="5"/>
      <c r="M69" s="5"/>
      <c r="N69" s="5"/>
      <c r="O69" s="199">
        <f>IF(O68+1&lt;=MIN('Données projet'!$E$9:$E$18),O68+1,"STOP")</f>
        <v>36</v>
      </c>
      <c r="P69" s="189">
        <f t="shared" si="5"/>
        <v>41.005634805606419</v>
      </c>
      <c r="Q69" s="257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84">
        <f>'Données projet'!A78</f>
        <v>90</v>
      </c>
      <c r="B70" s="185">
        <f>'Données projet'!D78</f>
        <v>265</v>
      </c>
      <c r="C70" s="198">
        <v>50</v>
      </c>
      <c r="D70" s="183">
        <f t="shared" si="4"/>
        <v>13250</v>
      </c>
      <c r="E70" s="198"/>
      <c r="F70" s="254"/>
      <c r="G70" s="214"/>
      <c r="H70" s="195"/>
      <c r="I70" s="196"/>
      <c r="J70" s="193"/>
      <c r="K70" s="175"/>
      <c r="L70" s="5"/>
      <c r="M70" s="5"/>
      <c r="N70" s="5"/>
      <c r="O70" s="199">
        <f>IF(O69+1&lt;=MIN('Données projet'!$E$9:$E$18),O69+1,"STOP")</f>
        <v>37</v>
      </c>
      <c r="P70" s="189">
        <f t="shared" si="5"/>
        <v>39.23984191924059</v>
      </c>
      <c r="Q70" s="257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84">
        <f>'Données projet'!A79</f>
        <v>0</v>
      </c>
      <c r="B71" s="185">
        <f>'Données projet'!D79</f>
        <v>0</v>
      </c>
      <c r="C71" s="198"/>
      <c r="D71" s="183">
        <f t="shared" si="4"/>
        <v>0</v>
      </c>
      <c r="E71" s="198"/>
      <c r="F71" s="254"/>
      <c r="G71" s="214"/>
      <c r="H71" s="195"/>
      <c r="I71" s="196"/>
      <c r="J71" s="193"/>
      <c r="K71" s="175"/>
      <c r="L71" s="5"/>
      <c r="M71" s="5"/>
      <c r="N71" s="5"/>
      <c r="O71" s="199">
        <f>IF(O70+1&lt;=MIN('Données projet'!$E$9:$E$18),O70+1,"STOP")</f>
        <v>38</v>
      </c>
      <c r="P71" s="189">
        <f t="shared" si="5"/>
        <v>37.550087960995789</v>
      </c>
      <c r="Q71" s="257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84">
        <f>'Données projet'!A80</f>
        <v>0</v>
      </c>
      <c r="B72" s="185">
        <f>'Données projet'!D80</f>
        <v>0</v>
      </c>
      <c r="C72" s="198"/>
      <c r="D72" s="183">
        <f t="shared" si="4"/>
        <v>0</v>
      </c>
      <c r="E72" s="198"/>
      <c r="F72" s="254"/>
      <c r="G72" s="214"/>
      <c r="H72" s="195"/>
      <c r="I72" s="196"/>
      <c r="J72" s="5"/>
      <c r="K72" s="175"/>
      <c r="L72" s="5"/>
      <c r="M72" s="5"/>
      <c r="N72" s="5"/>
      <c r="O72" s="199">
        <f>IF(O71+1&lt;=MIN('Données projet'!$E$9:$E$18),O71+1,"STOP")</f>
        <v>39</v>
      </c>
      <c r="P72" s="189">
        <f t="shared" si="5"/>
        <v>35.933098527268697</v>
      </c>
      <c r="Q72" s="257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84">
        <f>'Données projet'!A81</f>
        <v>0</v>
      </c>
      <c r="B73" s="185">
        <f>'Données projet'!D81</f>
        <v>0</v>
      </c>
      <c r="C73" s="196"/>
      <c r="D73" s="183">
        <f t="shared" si="4"/>
        <v>0</v>
      </c>
      <c r="E73" s="198"/>
      <c r="F73" s="254"/>
      <c r="G73" s="214"/>
      <c r="H73" s="195"/>
      <c r="I73" s="196"/>
      <c r="J73" s="5"/>
      <c r="K73" s="175"/>
      <c r="L73" s="5"/>
      <c r="M73" s="5"/>
      <c r="N73" s="5"/>
      <c r="O73" s="199">
        <f>IF(O72+1&lt;=MIN('Données projet'!$E$9:$E$18),O72+1,"STOP")</f>
        <v>40</v>
      </c>
      <c r="P73" s="189">
        <f t="shared" si="5"/>
        <v>34.385740217482017</v>
      </c>
      <c r="Q73" s="257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2"/>
      <c r="G74" s="214"/>
      <c r="H74" s="195"/>
      <c r="I74" s="196"/>
      <c r="J74" s="5"/>
      <c r="K74" s="175"/>
      <c r="L74" s="5"/>
      <c r="M74" s="5"/>
      <c r="N74" s="5"/>
      <c r="O74" s="199">
        <f>IF(O73+1&lt;=MIN('Données projet'!$E$9:$E$18),O73+1,"STOP")</f>
        <v>41</v>
      </c>
      <c r="P74" s="189">
        <f t="shared" si="5"/>
        <v>32.905014562183752</v>
      </c>
      <c r="Q74" s="257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2"/>
      <c r="G75" s="214"/>
      <c r="H75" s="195"/>
      <c r="I75" s="196"/>
      <c r="J75" s="5"/>
      <c r="K75" s="175"/>
      <c r="L75" s="5"/>
      <c r="M75" s="5"/>
      <c r="N75" s="5"/>
      <c r="O75" s="199">
        <f>IF(O74+1&lt;=MIN('Données projet'!$E$9:$E$18),O74+1,"STOP")</f>
        <v>42</v>
      </c>
      <c r="P75" s="189">
        <f t="shared" si="5"/>
        <v>31.488052212616033</v>
      </c>
      <c r="Q75" s="257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78" t="str">
        <f>IF('Données projet'!B11="","",'Données projet'!B11)</f>
        <v>Erable sycomore</v>
      </c>
      <c r="C76" s="5"/>
      <c r="D76" s="5"/>
      <c r="E76" s="5"/>
      <c r="F76" s="252"/>
      <c r="G76" s="214"/>
      <c r="H76" s="195"/>
      <c r="I76" s="196"/>
      <c r="J76" s="5"/>
      <c r="K76" s="175"/>
      <c r="L76" s="5"/>
      <c r="M76" s="5"/>
      <c r="N76" s="5"/>
      <c r="O76" s="199">
        <f>IF(O75+1&lt;=MIN('Données projet'!$E$9:$E$18),O75+1,"STOP")</f>
        <v>43</v>
      </c>
      <c r="P76" s="189">
        <f t="shared" si="5"/>
        <v>30.132107380493814</v>
      </c>
      <c r="Q76" s="257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2"/>
      <c r="G77" s="214"/>
      <c r="H77" s="195"/>
      <c r="I77" s="196"/>
      <c r="J77" s="5"/>
      <c r="K77" s="175"/>
      <c r="L77" s="5"/>
      <c r="M77" s="5"/>
      <c r="N77" s="5"/>
      <c r="O77" s="199">
        <f>IF(O76+1&lt;=MIN('Données projet'!$E$9:$E$18),O76+1,"STOP")</f>
        <v>44</v>
      </c>
      <c r="P77" s="189">
        <f t="shared" si="5"/>
        <v>28.834552517218963</v>
      </c>
      <c r="Q77" s="257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48" t="s">
        <v>180</v>
      </c>
      <c r="B78" s="51" t="s">
        <v>256</v>
      </c>
      <c r="C78" s="51" t="s">
        <v>255</v>
      </c>
      <c r="D78" s="248" t="s">
        <v>252</v>
      </c>
      <c r="E78" s="248" t="s">
        <v>320</v>
      </c>
      <c r="F78" s="253"/>
      <c r="G78" s="214"/>
      <c r="H78" s="195"/>
      <c r="I78" s="196"/>
      <c r="J78" s="5"/>
      <c r="K78" s="175"/>
      <c r="L78" s="5"/>
      <c r="M78" s="5"/>
      <c r="N78" s="5"/>
      <c r="O78" s="199">
        <f>IF(O77+1&lt;=MIN('Données projet'!$E$9:$E$18),O77+1,"STOP")</f>
        <v>45</v>
      </c>
      <c r="P78" s="189">
        <f t="shared" si="5"/>
        <v>27.592873222219101</v>
      </c>
      <c r="Q78" s="257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1">
        <v>0</v>
      </c>
      <c r="B79" s="204" t="s">
        <v>132</v>
      </c>
      <c r="C79" s="203" t="s">
        <v>132</v>
      </c>
      <c r="D79" s="202" t="s">
        <v>132</v>
      </c>
      <c r="E79" s="198"/>
      <c r="F79" s="253"/>
      <c r="G79" s="214"/>
      <c r="H79" s="195"/>
      <c r="I79" s="196"/>
      <c r="J79" s="5"/>
      <c r="K79" s="175"/>
      <c r="L79" s="5"/>
      <c r="M79" s="5"/>
      <c r="N79" s="5"/>
      <c r="O79" s="199">
        <f>IF(O78+1&lt;=MIN('Données projet'!$E$9:$E$18),O78+1,"STOP")</f>
        <v>46</v>
      </c>
      <c r="P79" s="189">
        <f t="shared" si="5"/>
        <v>26.404663370544601</v>
      </c>
      <c r="Q79" s="257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1">
        <v>1</v>
      </c>
      <c r="B80" s="204" t="s">
        <v>132</v>
      </c>
      <c r="C80" s="203" t="s">
        <v>132</v>
      </c>
      <c r="D80" s="202" t="s">
        <v>132</v>
      </c>
      <c r="E80" s="198"/>
      <c r="F80" s="253"/>
      <c r="G80" s="212"/>
      <c r="H80" s="195"/>
      <c r="I80" s="196"/>
      <c r="J80" s="5"/>
      <c r="K80" s="175"/>
      <c r="L80" s="5"/>
      <c r="M80" s="5"/>
      <c r="N80" s="5"/>
      <c r="O80" s="199">
        <f>IF(O79+1&lt;=MIN('Données projet'!$E$9:$E$18),O79+1,"STOP")</f>
        <v>47</v>
      </c>
      <c r="P80" s="189">
        <f t="shared" si="5"/>
        <v>25.267620450281914</v>
      </c>
      <c r="Q80" s="257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1">
        <v>2</v>
      </c>
      <c r="B81" s="204" t="s">
        <v>132</v>
      </c>
      <c r="C81" s="203" t="s">
        <v>132</v>
      </c>
      <c r="D81" s="202" t="s">
        <v>132</v>
      </c>
      <c r="E81" s="198"/>
      <c r="F81" s="253"/>
      <c r="G81" s="212"/>
      <c r="H81" s="195"/>
      <c r="I81" s="196"/>
      <c r="J81" s="5"/>
      <c r="K81" s="175"/>
      <c r="L81" s="5"/>
      <c r="M81" s="5"/>
      <c r="N81" s="5"/>
      <c r="O81" s="199">
        <f>IF(O80+1&lt;=MIN('Données projet'!$E$9:$E$18),O80+1,"STOP")</f>
        <v>48</v>
      </c>
      <c r="P81" s="189">
        <f t="shared" si="5"/>
        <v>24.179541100748253</v>
      </c>
      <c r="Q81" s="257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1">
        <v>3</v>
      </c>
      <c r="B82" s="204" t="s">
        <v>132</v>
      </c>
      <c r="C82" s="203"/>
      <c r="D82" s="202" t="s">
        <v>132</v>
      </c>
      <c r="E82" s="198"/>
      <c r="F82" s="253"/>
      <c r="G82" s="212"/>
      <c r="H82" s="195"/>
      <c r="I82" s="196"/>
      <c r="J82" s="5"/>
      <c r="K82" s="175"/>
      <c r="L82" s="5"/>
      <c r="M82" s="5"/>
      <c r="N82" s="5"/>
      <c r="O82" s="199">
        <f>IF(O81+1&lt;=MIN('Données projet'!$E$9:$E$18),O81+1,"STOP")</f>
        <v>49</v>
      </c>
      <c r="P82" s="189">
        <f t="shared" si="5"/>
        <v>23.138316842821293</v>
      </c>
      <c r="Q82" s="257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1">
        <v>4</v>
      </c>
      <c r="B83" s="204" t="s">
        <v>132</v>
      </c>
      <c r="C83" s="203"/>
      <c r="D83" s="202" t="s">
        <v>132</v>
      </c>
      <c r="E83" s="198"/>
      <c r="F83" s="253"/>
      <c r="G83" s="212"/>
      <c r="H83" s="195"/>
      <c r="I83" s="196"/>
      <c r="J83" s="5"/>
      <c r="K83" s="175"/>
      <c r="L83" s="5"/>
      <c r="M83" s="5"/>
      <c r="N83" s="5"/>
      <c r="O83" s="199">
        <f>IF(O82+1&lt;=MIN('Données projet'!$E$9:$E$18),O82+1,"STOP")</f>
        <v>50</v>
      </c>
      <c r="P83" s="189">
        <f t="shared" si="5"/>
        <v>22.141929993130429</v>
      </c>
      <c r="Q83" s="257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1">
        <v>5</v>
      </c>
      <c r="B84" s="204" t="s">
        <v>132</v>
      </c>
      <c r="C84" s="203"/>
      <c r="D84" s="202" t="s">
        <v>132</v>
      </c>
      <c r="E84" s="198"/>
      <c r="F84" s="253"/>
      <c r="G84" s="213"/>
      <c r="H84" s="195"/>
      <c r="I84" s="196"/>
      <c r="J84" s="5"/>
      <c r="K84" s="175"/>
      <c r="L84" s="5"/>
      <c r="M84" s="5"/>
      <c r="N84" s="5"/>
      <c r="O84" s="199">
        <f>IF(O83+1&lt;=MIN('Données projet'!$E$9:$E$18),O83+1,"STOP")</f>
        <v>51</v>
      </c>
      <c r="P84" s="189">
        <f t="shared" si="5"/>
        <v>21.188449754191801</v>
      </c>
      <c r="Q84" s="257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84">
        <f>'Données projet'!A88</f>
        <v>15</v>
      </c>
      <c r="B85" s="185">
        <f>'Données projet'!D88</f>
        <v>0</v>
      </c>
      <c r="C85" s="196">
        <v>10</v>
      </c>
      <c r="D85" s="183">
        <f>B85*C85</f>
        <v>0</v>
      </c>
      <c r="E85" s="198"/>
      <c r="F85" s="254"/>
      <c r="G85" s="213"/>
      <c r="H85" s="195"/>
      <c r="I85" s="196"/>
      <c r="J85" s="5"/>
      <c r="K85" s="175"/>
      <c r="L85" s="5"/>
      <c r="M85" s="5"/>
      <c r="N85" s="5"/>
      <c r="O85" s="199">
        <f>IF(O84+1&lt;=MIN('Données projet'!$E$9:$E$18),O84+1,"STOP")</f>
        <v>52</v>
      </c>
      <c r="P85" s="189">
        <f t="shared" si="5"/>
        <v>20.276028472910816</v>
      </c>
      <c r="Q85" s="257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84">
        <f>'Données projet'!A89</f>
        <v>20</v>
      </c>
      <c r="B86" s="185">
        <f>'Données projet'!D89</f>
        <v>43.1</v>
      </c>
      <c r="C86" s="196"/>
      <c r="D86" s="183">
        <f t="shared" ref="D86:D104" si="6">B86*C86</f>
        <v>0</v>
      </c>
      <c r="E86" s="198"/>
      <c r="F86" s="254"/>
      <c r="G86" s="213"/>
      <c r="H86" s="195"/>
      <c r="I86" s="196"/>
      <c r="J86" s="5"/>
      <c r="K86" s="175"/>
      <c r="L86" s="5"/>
      <c r="M86" s="5"/>
      <c r="N86" s="5"/>
      <c r="O86" s="199">
        <f>IF(O85+1&lt;=MIN('Données projet'!$E$9:$E$18),O85+1,"STOP")</f>
        <v>53</v>
      </c>
      <c r="P86" s="189">
        <f t="shared" si="5"/>
        <v>19.402898060201739</v>
      </c>
      <c r="Q86" s="257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84">
        <f>'Données projet'!A90</f>
        <v>25</v>
      </c>
      <c r="B87" s="185">
        <f>'Données projet'!D90</f>
        <v>0</v>
      </c>
      <c r="C87" s="196">
        <v>10</v>
      </c>
      <c r="D87" s="183">
        <f t="shared" si="6"/>
        <v>0</v>
      </c>
      <c r="E87" s="198"/>
      <c r="F87" s="254"/>
      <c r="G87" s="213"/>
      <c r="H87" s="195"/>
      <c r="I87" s="196"/>
      <c r="J87" s="5"/>
      <c r="K87" s="175"/>
      <c r="L87" s="5"/>
      <c r="M87" s="5"/>
      <c r="N87" s="5"/>
      <c r="O87" s="199">
        <f>IF(O86+1&lt;=MIN('Données projet'!$E$9:$E$18),O86+1,"STOP")</f>
        <v>54</v>
      </c>
      <c r="P87" s="189">
        <f t="shared" si="5"/>
        <v>18.567366564786358</v>
      </c>
      <c r="Q87" s="257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84">
        <f>'Données projet'!A91</f>
        <v>30</v>
      </c>
      <c r="B88" s="185">
        <f>'Données projet'!D91</f>
        <v>56</v>
      </c>
      <c r="C88" s="198"/>
      <c r="D88" s="183">
        <f t="shared" si="6"/>
        <v>0</v>
      </c>
      <c r="E88" s="198"/>
      <c r="F88" s="254"/>
      <c r="G88" s="213"/>
      <c r="H88" s="195"/>
      <c r="I88" s="196"/>
      <c r="J88" s="5"/>
      <c r="K88" s="175"/>
      <c r="L88" s="5"/>
      <c r="M88" s="5"/>
      <c r="N88" s="5"/>
      <c r="O88" s="199">
        <f>IF(O87+1&lt;=MIN('Données projet'!$E$9:$E$18),O87+1,"STOP")</f>
        <v>55</v>
      </c>
      <c r="P88" s="189">
        <f t="shared" si="5"/>
        <v>17.7678148945324</v>
      </c>
      <c r="Q88" s="257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84">
        <f>'Données projet'!A92</f>
        <v>35</v>
      </c>
      <c r="B89" s="185">
        <f>'Données projet'!D92</f>
        <v>0</v>
      </c>
      <c r="C89" s="198">
        <v>15</v>
      </c>
      <c r="D89" s="183">
        <f t="shared" si="6"/>
        <v>0</v>
      </c>
      <c r="E89" s="198"/>
      <c r="F89" s="254"/>
      <c r="G89" s="213"/>
      <c r="H89" s="195"/>
      <c r="I89" s="196"/>
      <c r="J89" s="5"/>
      <c r="K89" s="175"/>
      <c r="L89" s="5"/>
      <c r="M89" s="5"/>
      <c r="N89" s="5"/>
      <c r="O89" s="199">
        <f>IF(O88+1&lt;=MIN('Données projet'!$E$9:$E$18),O88+1,"STOP")</f>
        <v>56</v>
      </c>
      <c r="P89" s="189">
        <f t="shared" si="5"/>
        <v>17.002693678978375</v>
      </c>
      <c r="Q89" s="257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84">
        <f>'Données projet'!A93</f>
        <v>40</v>
      </c>
      <c r="B90" s="185">
        <f>'Données projet'!D93</f>
        <v>56</v>
      </c>
      <c r="C90" s="198"/>
      <c r="D90" s="183">
        <f t="shared" si="6"/>
        <v>0</v>
      </c>
      <c r="E90" s="198"/>
      <c r="F90" s="254"/>
      <c r="G90" s="213"/>
      <c r="H90" s="195"/>
      <c r="I90" s="196"/>
      <c r="J90" s="5"/>
      <c r="K90" s="175"/>
      <c r="L90" s="5"/>
      <c r="M90" s="5"/>
      <c r="N90" s="5"/>
      <c r="O90" s="199">
        <f>IF(O89+1&lt;=MIN('Données projet'!$E$9:$E$18),O89+1,"STOP")</f>
        <v>57</v>
      </c>
      <c r="P90" s="189">
        <f t="shared" si="5"/>
        <v>16.270520266964954</v>
      </c>
      <c r="Q90" s="257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84">
        <f>'Données projet'!A94</f>
        <v>45</v>
      </c>
      <c r="B91" s="185">
        <f>'Données projet'!D94</f>
        <v>0</v>
      </c>
      <c r="C91" s="198">
        <v>20</v>
      </c>
      <c r="D91" s="183">
        <f t="shared" si="6"/>
        <v>0</v>
      </c>
      <c r="E91" s="198"/>
      <c r="F91" s="254"/>
      <c r="G91" s="214"/>
      <c r="H91" s="195"/>
      <c r="I91" s="196"/>
      <c r="J91" s="5"/>
      <c r="K91" s="175"/>
      <c r="L91" s="5"/>
      <c r="M91" s="5"/>
      <c r="N91" s="5"/>
      <c r="O91" s="199">
        <f>IF(O90+1&lt;=MIN('Données projet'!$E$9:$E$18),O90+1,"STOP")</f>
        <v>58</v>
      </c>
      <c r="P91" s="189">
        <f t="shared" si="5"/>
        <v>15.569875853554985</v>
      </c>
      <c r="Q91" s="257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84">
        <f>'Données projet'!A95</f>
        <v>50</v>
      </c>
      <c r="B92" s="185">
        <f>'Données projet'!D95</f>
        <v>38.299999999999997</v>
      </c>
      <c r="C92" s="198"/>
      <c r="D92" s="183">
        <f t="shared" si="6"/>
        <v>0</v>
      </c>
      <c r="E92" s="198"/>
      <c r="F92" s="254"/>
      <c r="G92" s="214"/>
      <c r="H92" s="195"/>
      <c r="I92" s="196"/>
      <c r="J92" s="5"/>
      <c r="K92" s="175"/>
      <c r="L92" s="5"/>
      <c r="M92" s="5"/>
      <c r="N92" s="5"/>
      <c r="O92" s="199">
        <f>IF(O91+1&lt;=MIN('Données projet'!$E$9:$E$18),O91+1,"STOP")</f>
        <v>59</v>
      </c>
      <c r="P92" s="189">
        <f t="shared" si="5"/>
        <v>14.899402730674627</v>
      </c>
      <c r="Q92" s="257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84">
        <f>'Données projet'!A96</f>
        <v>55</v>
      </c>
      <c r="B93" s="185">
        <f>'Données projet'!D96</f>
        <v>0</v>
      </c>
      <c r="C93" s="198">
        <v>30</v>
      </c>
      <c r="D93" s="183">
        <f t="shared" si="6"/>
        <v>0</v>
      </c>
      <c r="E93" s="198"/>
      <c r="F93" s="254"/>
      <c r="G93" s="214"/>
      <c r="H93" s="195"/>
      <c r="I93" s="196"/>
      <c r="J93" s="5"/>
      <c r="K93" s="175"/>
      <c r="L93" s="5"/>
      <c r="M93" s="5"/>
      <c r="N93" s="5"/>
      <c r="O93" s="199">
        <f>IF(O92+1&lt;=MIN('Données projet'!$E$9:$E$18),O92+1,"STOP")</f>
        <v>60</v>
      </c>
      <c r="P93" s="189">
        <f t="shared" si="5"/>
        <v>14.25780165614797</v>
      </c>
      <c r="Q93" s="257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84">
        <f>'Données projet'!A97</f>
        <v>60</v>
      </c>
      <c r="B94" s="185">
        <f>'Données projet'!D97</f>
        <v>25.200000000000003</v>
      </c>
      <c r="C94" s="198"/>
      <c r="D94" s="183">
        <f t="shared" si="6"/>
        <v>0</v>
      </c>
      <c r="E94" s="198"/>
      <c r="F94" s="254"/>
      <c r="G94" s="214"/>
      <c r="H94" s="195"/>
      <c r="I94" s="196"/>
      <c r="J94" s="5"/>
      <c r="K94" s="175"/>
      <c r="L94" s="5"/>
      <c r="M94" s="5"/>
      <c r="N94" s="5"/>
      <c r="O94" s="199">
        <f>IF(O93+1&lt;=MIN('Données projet'!$E$9:$E$18),O93+1,"STOP")</f>
        <v>61</v>
      </c>
      <c r="P94" s="189">
        <f t="shared" si="5"/>
        <v>13.643829336026764</v>
      </c>
      <c r="Q94" s="257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84">
        <f>'Données projet'!A98</f>
        <v>65</v>
      </c>
      <c r="B95" s="185">
        <f>'Données projet'!D98</f>
        <v>0</v>
      </c>
      <c r="C95" s="198">
        <v>35</v>
      </c>
      <c r="D95" s="183">
        <f t="shared" si="6"/>
        <v>0</v>
      </c>
      <c r="E95" s="198"/>
      <c r="F95" s="254"/>
      <c r="G95" s="214"/>
      <c r="H95" s="195"/>
      <c r="I95" s="196"/>
      <c r="J95" s="5"/>
      <c r="K95" s="175"/>
      <c r="L95" s="5"/>
      <c r="M95" s="5"/>
      <c r="N95" s="5"/>
      <c r="O95" s="199">
        <f>IF(O94+1&lt;=MIN('Données projet'!$E$9:$E$18),O94+1,"STOP")</f>
        <v>62</v>
      </c>
      <c r="P95" s="189">
        <f t="shared" si="5"/>
        <v>13.056296015336622</v>
      </c>
      <c r="Q95" s="257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84">
        <f>'Données projet'!A99</f>
        <v>70</v>
      </c>
      <c r="B96" s="185">
        <f>'Données projet'!D99</f>
        <v>20.9</v>
      </c>
      <c r="C96" s="198"/>
      <c r="D96" s="183">
        <f t="shared" si="6"/>
        <v>0</v>
      </c>
      <c r="E96" s="198"/>
      <c r="F96" s="254"/>
      <c r="G96" s="214"/>
      <c r="H96" s="195"/>
      <c r="I96" s="196"/>
      <c r="J96" s="5"/>
      <c r="K96" s="175"/>
      <c r="L96" s="5"/>
      <c r="M96" s="5"/>
      <c r="N96" s="5"/>
      <c r="O96" s="199">
        <f>IF(O95+1&lt;=MIN('Données projet'!$E$9:$E$18),O95+1,"STOP")</f>
        <v>63</v>
      </c>
      <c r="P96" s="189">
        <f t="shared" si="5"/>
        <v>12.494063172570927</v>
      </c>
      <c r="Q96" s="257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84">
        <f>'Données projet'!A100</f>
        <v>75</v>
      </c>
      <c r="B97" s="185">
        <f>'Données projet'!D100</f>
        <v>0</v>
      </c>
      <c r="C97" s="198">
        <v>40</v>
      </c>
      <c r="D97" s="183">
        <f t="shared" si="6"/>
        <v>0</v>
      </c>
      <c r="E97" s="198"/>
      <c r="F97" s="254"/>
      <c r="G97" s="214"/>
      <c r="H97" s="195"/>
      <c r="I97" s="196"/>
      <c r="J97" s="5"/>
      <c r="K97" s="175"/>
      <c r="L97" s="5"/>
      <c r="M97" s="5"/>
      <c r="N97" s="5"/>
      <c r="O97" s="199">
        <f>IF(O96+1&lt;=MIN('Données projet'!$E$9:$E$18),O96+1,"STOP")</f>
        <v>64</v>
      </c>
      <c r="P97" s="189">
        <f t="shared" ref="P97:P128" si="7">$P$25/(1+$M$4)^O97</f>
        <v>11.956041313465009</v>
      </c>
      <c r="Q97" s="257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84">
        <f>'Données projet'!A101</f>
        <v>80</v>
      </c>
      <c r="B98" s="185">
        <f>'Données projet'!D101</f>
        <v>275.5</v>
      </c>
      <c r="C98" s="198"/>
      <c r="D98" s="183">
        <f t="shared" si="6"/>
        <v>0</v>
      </c>
      <c r="E98" s="198"/>
      <c r="F98" s="254"/>
      <c r="G98" s="214"/>
      <c r="H98" s="195"/>
      <c r="I98" s="196"/>
      <c r="J98" s="5"/>
      <c r="K98" s="175"/>
      <c r="L98" s="5"/>
      <c r="M98" s="5"/>
      <c r="N98" s="5"/>
      <c r="O98" s="199">
        <f>IF(O97+1&lt;=MIN('Données projet'!$E$9:$E$18),O97+1,"STOP")</f>
        <v>65</v>
      </c>
      <c r="P98" s="189">
        <f t="shared" si="7"/>
        <v>11.441187859775129</v>
      </c>
      <c r="Q98" s="257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84">
        <f>'Données projet'!A102</f>
        <v>0</v>
      </c>
      <c r="B99" s="185">
        <f>'Données projet'!D102</f>
        <v>0</v>
      </c>
      <c r="C99" s="198">
        <v>45</v>
      </c>
      <c r="D99" s="183">
        <f t="shared" si="6"/>
        <v>0</v>
      </c>
      <c r="E99" s="198"/>
      <c r="F99" s="254"/>
      <c r="G99" s="214"/>
      <c r="H99" s="195"/>
      <c r="I99" s="196"/>
      <c r="J99" s="5"/>
      <c r="K99" s="175"/>
      <c r="L99" s="5"/>
      <c r="M99" s="5"/>
      <c r="N99" s="5"/>
      <c r="O99" s="199">
        <f>IF(O98+1&lt;=MIN('Données projet'!$E$9:$E$18),O98+1,"STOP")</f>
        <v>66</v>
      </c>
      <c r="P99" s="189">
        <f t="shared" si="7"/>
        <v>10.948505128971417</v>
      </c>
      <c r="Q99" s="257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84">
        <f>'Données projet'!A103</f>
        <v>0</v>
      </c>
      <c r="B100" s="185">
        <f>'Données projet'!D103</f>
        <v>0</v>
      </c>
      <c r="C100" s="198"/>
      <c r="D100" s="183">
        <f t="shared" si="6"/>
        <v>0</v>
      </c>
      <c r="E100" s="198"/>
      <c r="F100" s="254"/>
      <c r="G100" s="214"/>
      <c r="H100" s="195"/>
      <c r="I100" s="196"/>
      <c r="J100" s="5"/>
      <c r="K100" s="175"/>
      <c r="L100" s="5"/>
      <c r="M100" s="5"/>
      <c r="N100" s="5"/>
      <c r="O100" s="199">
        <f>IF(O99+1&lt;=MIN('Données projet'!$E$9:$E$18),O99+1,"STOP")</f>
        <v>67</v>
      </c>
      <c r="P100" s="189">
        <f t="shared" si="7"/>
        <v>10.477038400929585</v>
      </c>
      <c r="Q100" s="257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84">
        <f>'Données projet'!A104</f>
        <v>0</v>
      </c>
      <c r="B101" s="185">
        <f>'Données projet'!D104</f>
        <v>0</v>
      </c>
      <c r="C101" s="198">
        <v>50</v>
      </c>
      <c r="D101" s="183">
        <f t="shared" si="6"/>
        <v>0</v>
      </c>
      <c r="E101" s="198"/>
      <c r="F101" s="254"/>
      <c r="G101" s="214"/>
      <c r="H101" s="195"/>
      <c r="I101" s="196"/>
      <c r="J101" s="5"/>
      <c r="K101" s="175"/>
      <c r="L101" s="5"/>
      <c r="M101" s="5"/>
      <c r="N101" s="5"/>
      <c r="O101" s="199">
        <f>IF(O100+1&lt;=MIN('Données projet'!$E$9:$E$18),O100+1,"STOP")</f>
        <v>68</v>
      </c>
      <c r="P101" s="189">
        <f t="shared" si="7"/>
        <v>10.025874067875202</v>
      </c>
      <c r="Q101" s="257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84">
        <f>'Données projet'!A105</f>
        <v>0</v>
      </c>
      <c r="B102" s="185">
        <f>'Données projet'!D105</f>
        <v>0</v>
      </c>
      <c r="C102" s="198"/>
      <c r="D102" s="183">
        <f t="shared" si="6"/>
        <v>0</v>
      </c>
      <c r="E102" s="198"/>
      <c r="F102" s="254"/>
      <c r="G102" s="214"/>
      <c r="H102" s="195"/>
      <c r="I102" s="196"/>
      <c r="J102" s="5"/>
      <c r="K102" s="175"/>
      <c r="L102" s="5"/>
      <c r="M102" s="5"/>
      <c r="N102" s="5"/>
      <c r="O102" s="199">
        <f>IF(O101+1&lt;=MIN('Données projet'!$E$9:$E$18),O101+1,"STOP")</f>
        <v>69</v>
      </c>
      <c r="P102" s="189">
        <f t="shared" si="7"/>
        <v>9.5941378639954102</v>
      </c>
      <c r="Q102" s="257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84">
        <f>'Données projet'!A106</f>
        <v>0</v>
      </c>
      <c r="B103" s="185">
        <f>'Données projet'!D106</f>
        <v>0</v>
      </c>
      <c r="C103" s="198">
        <v>55</v>
      </c>
      <c r="D103" s="183">
        <f t="shared" si="6"/>
        <v>0</v>
      </c>
      <c r="E103" s="198"/>
      <c r="F103" s="254"/>
      <c r="G103" s="214"/>
      <c r="H103" s="195"/>
      <c r="I103" s="196"/>
      <c r="J103" s="5"/>
      <c r="K103" s="175"/>
      <c r="L103" s="5"/>
      <c r="M103" s="5"/>
      <c r="N103" s="5"/>
      <c r="O103" s="199">
        <f>IF(O102+1&lt;=MIN('Données projet'!$E$9:$E$18),O102+1,"STOP")</f>
        <v>70</v>
      </c>
      <c r="P103" s="189">
        <f t="shared" si="7"/>
        <v>9.1809931712874757</v>
      </c>
      <c r="Q103" s="257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84">
        <f>'Données projet'!A107</f>
        <v>0</v>
      </c>
      <c r="B104" s="185">
        <f>'Données projet'!D107</f>
        <v>0</v>
      </c>
      <c r="C104" s="198">
        <v>60</v>
      </c>
      <c r="D104" s="183">
        <f t="shared" si="6"/>
        <v>0</v>
      </c>
      <c r="E104" s="198"/>
      <c r="F104" s="254"/>
      <c r="G104" s="214"/>
      <c r="H104" s="195"/>
      <c r="I104" s="196"/>
      <c r="J104" s="5"/>
      <c r="K104" s="175"/>
      <c r="L104" s="5"/>
      <c r="M104" s="5"/>
      <c r="N104" s="5"/>
      <c r="O104" s="199">
        <f>IF(O103+1&lt;=MIN('Données projet'!$E$9:$E$18),O103+1,"STOP")</f>
        <v>71</v>
      </c>
      <c r="P104" s="189">
        <f t="shared" si="7"/>
        <v>8.7856393983612211</v>
      </c>
      <c r="Q104" s="257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2"/>
      <c r="G105" s="214"/>
      <c r="H105" s="195"/>
      <c r="I105" s="196"/>
      <c r="J105" s="5"/>
      <c r="K105" s="175"/>
      <c r="L105" s="5"/>
      <c r="M105" s="5"/>
      <c r="N105" s="5"/>
      <c r="O105" s="199">
        <f>IF(O104+1&lt;=MIN('Données projet'!$E$9:$E$18),O104+1,"STOP")</f>
        <v>72</v>
      </c>
      <c r="P105" s="189">
        <f t="shared" si="7"/>
        <v>8.407310429053803</v>
      </c>
      <c r="Q105" s="257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2"/>
      <c r="G106" s="214"/>
      <c r="H106" s="195"/>
      <c r="I106" s="196"/>
      <c r="J106" s="5"/>
      <c r="K106" s="175"/>
      <c r="L106" s="5"/>
      <c r="M106" s="5"/>
      <c r="N106" s="5"/>
      <c r="O106" s="199">
        <f>IF(O105+1&lt;=MIN('Données projet'!$E$9:$E$18),O105+1,"STOP")</f>
        <v>73</v>
      </c>
      <c r="P106" s="189">
        <f t="shared" si="7"/>
        <v>8.0452731378505291</v>
      </c>
      <c r="Q106" s="257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78" t="str">
        <f>IF('Données projet'!B12="","",'Données projet'!B12)</f>
        <v>Bouleau verruqueux</v>
      </c>
      <c r="C107" s="5"/>
      <c r="D107" s="5"/>
      <c r="E107" s="5"/>
      <c r="F107" s="252"/>
      <c r="G107" s="214"/>
      <c r="H107" s="195"/>
      <c r="I107" s="196"/>
      <c r="J107" s="5"/>
      <c r="K107" s="175"/>
      <c r="L107" s="5"/>
      <c r="M107" s="5"/>
      <c r="N107" s="5"/>
      <c r="O107" s="199">
        <f>IF(O106+1&lt;=MIN('Données projet'!$E$9:$E$18),O106+1,"STOP")</f>
        <v>74</v>
      </c>
      <c r="P107" s="189">
        <f t="shared" si="7"/>
        <v>7.6988259692349565</v>
      </c>
      <c r="Q107" s="257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2"/>
      <c r="G108" s="214"/>
      <c r="H108" s="195"/>
      <c r="I108" s="196"/>
      <c r="J108" s="5"/>
      <c r="K108" s="175"/>
      <c r="L108" s="5"/>
      <c r="M108" s="5"/>
      <c r="N108" s="5"/>
      <c r="O108" s="199">
        <f>IF(O107+1&lt;=MIN('Données projet'!$E$9:$E$18),O107+1,"STOP")</f>
        <v>75</v>
      </c>
      <c r="P108" s="189">
        <f t="shared" si="7"/>
        <v>7.3672975782152701</v>
      </c>
      <c r="Q108" s="257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48" t="s">
        <v>180</v>
      </c>
      <c r="B109" s="51" t="s">
        <v>256</v>
      </c>
      <c r="C109" s="51" t="s">
        <v>255</v>
      </c>
      <c r="D109" s="248" t="s">
        <v>252</v>
      </c>
      <c r="E109" s="248" t="s">
        <v>320</v>
      </c>
      <c r="F109" s="253"/>
      <c r="G109" s="214"/>
      <c r="H109" s="195"/>
      <c r="I109" s="196"/>
      <c r="J109" s="5"/>
      <c r="K109" s="175"/>
      <c r="L109" s="5"/>
      <c r="M109" s="5"/>
      <c r="N109" s="5"/>
      <c r="O109" s="199">
        <f>IF(O108+1&lt;=MIN('Données projet'!$E$9:$E$18),O108+1,"STOP")</f>
        <v>76</v>
      </c>
      <c r="P109" s="189">
        <f t="shared" si="7"/>
        <v>7.0500455293926043</v>
      </c>
      <c r="Q109" s="257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1">
        <v>0</v>
      </c>
      <c r="B110" s="204" t="s">
        <v>132</v>
      </c>
      <c r="C110" s="203" t="s">
        <v>132</v>
      </c>
      <c r="D110" s="202" t="s">
        <v>132</v>
      </c>
      <c r="E110" s="198"/>
      <c r="F110" s="253"/>
      <c r="G110" s="214"/>
      <c r="H110" s="195"/>
      <c r="I110" s="196"/>
      <c r="J110" s="5"/>
      <c r="K110" s="175"/>
      <c r="L110" s="5"/>
      <c r="M110" s="5"/>
      <c r="N110" s="5"/>
      <c r="O110" s="199">
        <f>IF(O109+1&lt;=MIN('Données projet'!$E$9:$E$18),O109+1,"STOP")</f>
        <v>77</v>
      </c>
      <c r="P110" s="189">
        <f t="shared" si="7"/>
        <v>6.7464550520503392</v>
      </c>
      <c r="Q110" s="257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1">
        <v>1</v>
      </c>
      <c r="B111" s="204" t="s">
        <v>132</v>
      </c>
      <c r="C111" s="203" t="s">
        <v>132</v>
      </c>
      <c r="D111" s="202" t="s">
        <v>132</v>
      </c>
      <c r="E111" s="198"/>
      <c r="F111" s="253"/>
      <c r="G111" s="212"/>
      <c r="H111" s="195"/>
      <c r="I111" s="196"/>
      <c r="J111" s="5"/>
      <c r="K111" s="175"/>
      <c r="L111" s="5"/>
      <c r="M111" s="5"/>
      <c r="N111" s="5"/>
      <c r="O111" s="199">
        <f>IF(O110+1&lt;=MIN('Données projet'!$E$9:$E$18),O110+1,"STOP")</f>
        <v>78</v>
      </c>
      <c r="P111" s="189">
        <f t="shared" si="7"/>
        <v>6.4559378488520007</v>
      </c>
      <c r="Q111" s="257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1">
        <v>2</v>
      </c>
      <c r="B112" s="204" t="s">
        <v>132</v>
      </c>
      <c r="C112" s="203" t="s">
        <v>132</v>
      </c>
      <c r="D112" s="202" t="s">
        <v>132</v>
      </c>
      <c r="E112" s="198"/>
      <c r="F112" s="253"/>
      <c r="G112" s="212"/>
      <c r="H112" s="195"/>
      <c r="I112" s="196"/>
      <c r="J112" s="5"/>
      <c r="K112" s="175"/>
      <c r="L112" s="5"/>
      <c r="M112" s="5"/>
      <c r="N112" s="5"/>
      <c r="O112" s="199">
        <f>IF(O111+1&lt;=MIN('Données projet'!$E$9:$E$18),O111+1,"STOP")</f>
        <v>79</v>
      </c>
      <c r="P112" s="189">
        <f t="shared" si="7"/>
        <v>6.1779309558392344</v>
      </c>
      <c r="Q112" s="257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1">
        <v>3</v>
      </c>
      <c r="B113" s="204" t="s">
        <v>132</v>
      </c>
      <c r="C113" s="203" t="s">
        <v>132</v>
      </c>
      <c r="D113" s="202" t="s">
        <v>132</v>
      </c>
      <c r="E113" s="198"/>
      <c r="F113" s="253"/>
      <c r="G113" s="212"/>
      <c r="H113" s="195"/>
      <c r="I113" s="196"/>
      <c r="J113" s="5"/>
      <c r="K113" s="175"/>
      <c r="L113" s="5"/>
      <c r="M113" s="5"/>
      <c r="N113" s="5"/>
      <c r="O113" s="199">
        <f>IF(O112+1&lt;=MIN('Données projet'!$E$9:$E$18),O112+1,"STOP")</f>
        <v>80</v>
      </c>
      <c r="P113" s="189">
        <f t="shared" si="7"/>
        <v>5.9118956515208003</v>
      </c>
      <c r="Q113" s="257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1">
        <v>4</v>
      </c>
      <c r="B114" s="204" t="s">
        <v>132</v>
      </c>
      <c r="C114" s="203" t="s">
        <v>132</v>
      </c>
      <c r="D114" s="202" t="s">
        <v>132</v>
      </c>
      <c r="E114" s="198"/>
      <c r="F114" s="253"/>
      <c r="G114" s="212"/>
      <c r="H114" s="195"/>
      <c r="I114" s="196"/>
      <c r="J114" s="5"/>
      <c r="K114" s="175"/>
      <c r="L114" s="5"/>
      <c r="M114" s="5"/>
      <c r="N114" s="5"/>
      <c r="O114" s="199" t="str">
        <f>IF(O113+1&lt;=MIN('Données projet'!$E$9:$E$18),O113+1,"STOP")</f>
        <v>STOP</v>
      </c>
      <c r="P114" s="189" t="e">
        <f t="shared" si="7"/>
        <v>#VALUE!</v>
      </c>
      <c r="Q114" s="257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1">
        <v>5</v>
      </c>
      <c r="B115" s="204" t="s">
        <v>132</v>
      </c>
      <c r="C115" s="203" t="s">
        <v>132</v>
      </c>
      <c r="D115" s="202" t="s">
        <v>132</v>
      </c>
      <c r="E115" s="198"/>
      <c r="F115" s="253"/>
      <c r="G115" s="213"/>
      <c r="H115" s="195"/>
      <c r="I115" s="196"/>
      <c r="J115" s="5"/>
      <c r="K115" s="175"/>
      <c r="L115" s="5"/>
      <c r="M115" s="5"/>
      <c r="N115" s="5"/>
      <c r="O115" s="199" t="e">
        <f>IF(O114+1&lt;=MIN('Données projet'!$E$9:$E$18),O114+1,"STOP")</f>
        <v>#VALUE!</v>
      </c>
      <c r="P115" s="189" t="e">
        <f t="shared" si="7"/>
        <v>#VALUE!</v>
      </c>
      <c r="Q115" s="257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84">
        <f>'Données projet'!A114</f>
        <v>15</v>
      </c>
      <c r="B116" s="185">
        <f>'Données projet'!D114</f>
        <v>0</v>
      </c>
      <c r="C116" s="198"/>
      <c r="D116" s="183">
        <f>B116*C116</f>
        <v>0</v>
      </c>
      <c r="E116" s="198"/>
      <c r="F116" s="254"/>
      <c r="G116" s="213"/>
      <c r="H116" s="195"/>
      <c r="I116" s="196"/>
      <c r="J116" s="5"/>
      <c r="K116" s="175"/>
      <c r="L116" s="5"/>
      <c r="M116" s="5"/>
      <c r="N116" s="5"/>
      <c r="O116" s="199" t="e">
        <f>IF(O115+1&lt;=MIN('Données projet'!$E$9:$E$18),O115+1,"STOP")</f>
        <v>#VALUE!</v>
      </c>
      <c r="P116" s="189" t="e">
        <f t="shared" si="7"/>
        <v>#VALUE!</v>
      </c>
      <c r="Q116" s="257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84">
        <f>'Données projet'!A115</f>
        <v>20</v>
      </c>
      <c r="B117" s="185">
        <f>'Données projet'!D115</f>
        <v>15</v>
      </c>
      <c r="C117" s="198">
        <v>10</v>
      </c>
      <c r="D117" s="183">
        <f t="shared" ref="D117:D135" si="8">B117*C117</f>
        <v>150</v>
      </c>
      <c r="E117" s="198"/>
      <c r="F117" s="254"/>
      <c r="G117" s="213"/>
      <c r="H117" s="195"/>
      <c r="I117" s="196"/>
      <c r="J117" s="5"/>
      <c r="K117" s="175"/>
      <c r="L117" s="5"/>
      <c r="M117" s="5"/>
      <c r="N117" s="5"/>
      <c r="O117" s="199" t="e">
        <f>IF(O116+1&lt;=MIN('Données projet'!$E$9:$E$18),O116+1,"STOP")</f>
        <v>#VALUE!</v>
      </c>
      <c r="P117" s="189" t="e">
        <f t="shared" si="7"/>
        <v>#VALUE!</v>
      </c>
      <c r="Q117" s="257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84">
        <f>'Données projet'!A116</f>
        <v>25</v>
      </c>
      <c r="B118" s="185">
        <f>'Données projet'!D116</f>
        <v>0</v>
      </c>
      <c r="C118" s="198"/>
      <c r="D118" s="183">
        <f t="shared" si="8"/>
        <v>0</v>
      </c>
      <c r="E118" s="198"/>
      <c r="F118" s="254"/>
      <c r="G118" s="213"/>
      <c r="H118" s="195"/>
      <c r="I118" s="196"/>
      <c r="J118" s="5"/>
      <c r="K118" s="175"/>
      <c r="L118" s="5"/>
      <c r="M118" s="5"/>
      <c r="N118" s="5"/>
      <c r="O118" s="199" t="e">
        <f>IF(O117+1&lt;=MIN('Données projet'!$E$9:$E$18),O117+1,"STOP")</f>
        <v>#VALUE!</v>
      </c>
      <c r="P118" s="189" t="e">
        <f t="shared" si="7"/>
        <v>#VALUE!</v>
      </c>
      <c r="Q118" s="257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84">
        <f>'Données projet'!A117</f>
        <v>30</v>
      </c>
      <c r="B119" s="185">
        <f>'Données projet'!D117</f>
        <v>21</v>
      </c>
      <c r="C119" s="198">
        <v>15</v>
      </c>
      <c r="D119" s="183">
        <f t="shared" si="8"/>
        <v>315</v>
      </c>
      <c r="E119" s="198"/>
      <c r="F119" s="254"/>
      <c r="G119" s="213"/>
      <c r="H119" s="195"/>
      <c r="I119" s="196"/>
      <c r="J119" s="5"/>
      <c r="K119" s="175"/>
      <c r="L119" s="5"/>
      <c r="M119" s="5"/>
      <c r="N119" s="5"/>
      <c r="O119" s="199" t="e">
        <f>IF(O118+1&lt;=MIN('Données projet'!$E$9:$E$18),O118+1,"STOP")</f>
        <v>#VALUE!</v>
      </c>
      <c r="P119" s="189" t="e">
        <f t="shared" si="7"/>
        <v>#VALUE!</v>
      </c>
      <c r="Q119" s="257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84">
        <f>'Données projet'!A118</f>
        <v>35</v>
      </c>
      <c r="B120" s="185">
        <f>'Données projet'!D118</f>
        <v>0</v>
      </c>
      <c r="C120" s="198"/>
      <c r="D120" s="183">
        <f t="shared" si="8"/>
        <v>0</v>
      </c>
      <c r="E120" s="198"/>
      <c r="F120" s="254"/>
      <c r="G120" s="213"/>
      <c r="H120" s="195"/>
      <c r="I120" s="196"/>
      <c r="J120" s="5"/>
      <c r="K120" s="175"/>
      <c r="L120" s="5"/>
      <c r="M120" s="5"/>
      <c r="N120" s="5"/>
      <c r="O120" s="199" t="e">
        <f>IF(O119+1&lt;=MIN('Données projet'!$E$9:$E$18),O119+1,"STOP")</f>
        <v>#VALUE!</v>
      </c>
      <c r="P120" s="189" t="e">
        <f t="shared" si="7"/>
        <v>#VALUE!</v>
      </c>
      <c r="Q120" s="257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84">
        <f>'Données projet'!A119</f>
        <v>40</v>
      </c>
      <c r="B121" s="185">
        <f>'Données projet'!D119</f>
        <v>27</v>
      </c>
      <c r="C121" s="198">
        <v>20</v>
      </c>
      <c r="D121" s="183">
        <f t="shared" si="8"/>
        <v>540</v>
      </c>
      <c r="E121" s="198"/>
      <c r="F121" s="254"/>
      <c r="G121" s="213"/>
      <c r="H121" s="195"/>
      <c r="I121" s="196"/>
      <c r="J121" s="5"/>
      <c r="K121" s="175"/>
      <c r="L121" s="5"/>
      <c r="M121" s="5"/>
      <c r="N121" s="5"/>
      <c r="O121" s="199" t="e">
        <f>IF(O120+1&lt;=MIN('Données projet'!$E$9:$E$18),O120+1,"STOP")</f>
        <v>#VALUE!</v>
      </c>
      <c r="P121" s="189" t="e">
        <f t="shared" si="7"/>
        <v>#VALUE!</v>
      </c>
      <c r="Q121" s="257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84">
        <f>'Données projet'!A120</f>
        <v>45</v>
      </c>
      <c r="B122" s="185">
        <f>'Données projet'!D120</f>
        <v>0</v>
      </c>
      <c r="C122" s="198"/>
      <c r="D122" s="183">
        <f t="shared" si="8"/>
        <v>0</v>
      </c>
      <c r="E122" s="198"/>
      <c r="F122" s="254"/>
      <c r="G122" s="214"/>
      <c r="H122" s="195"/>
      <c r="I122" s="196"/>
      <c r="J122" s="5"/>
      <c r="K122" s="175"/>
      <c r="L122" s="5"/>
      <c r="M122" s="5"/>
      <c r="N122" s="5"/>
      <c r="O122" s="199" t="e">
        <f>IF(O121+1&lt;=MIN('Données projet'!$E$9:$E$18),O121+1,"STOP")</f>
        <v>#VALUE!</v>
      </c>
      <c r="P122" s="189" t="e">
        <f t="shared" si="7"/>
        <v>#VALUE!</v>
      </c>
      <c r="Q122" s="257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84">
        <f>'Données projet'!A121</f>
        <v>50</v>
      </c>
      <c r="B123" s="185">
        <f>'Données projet'!D121</f>
        <v>28</v>
      </c>
      <c r="C123" s="198">
        <v>25</v>
      </c>
      <c r="D123" s="183">
        <f t="shared" si="8"/>
        <v>700</v>
      </c>
      <c r="E123" s="198"/>
      <c r="F123" s="254"/>
      <c r="G123" s="214"/>
      <c r="H123" s="195"/>
      <c r="I123" s="196"/>
      <c r="J123" s="5"/>
      <c r="K123" s="175"/>
      <c r="L123" s="5"/>
      <c r="M123" s="5"/>
      <c r="N123" s="5"/>
      <c r="O123" s="199" t="e">
        <f>IF(O122+1&lt;=MIN('Données projet'!$E$9:$E$18),O122+1,"STOP")</f>
        <v>#VALUE!</v>
      </c>
      <c r="P123" s="189" t="e">
        <f t="shared" si="7"/>
        <v>#VALUE!</v>
      </c>
      <c r="Q123" s="257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84">
        <f>'Données projet'!A122</f>
        <v>55</v>
      </c>
      <c r="B124" s="185">
        <f>'Données projet'!D122</f>
        <v>0</v>
      </c>
      <c r="C124" s="198"/>
      <c r="D124" s="183">
        <f t="shared" si="8"/>
        <v>0</v>
      </c>
      <c r="E124" s="198"/>
      <c r="F124" s="254"/>
      <c r="G124" s="214"/>
      <c r="H124" s="195"/>
      <c r="I124" s="196"/>
      <c r="J124" s="5"/>
      <c r="K124" s="175"/>
      <c r="L124" s="5"/>
      <c r="M124" s="5"/>
      <c r="N124" s="5"/>
      <c r="O124" s="199" t="e">
        <f>IF(O123+1&lt;=MIN('Données projet'!$E$9:$E$18),O123+1,"STOP")</f>
        <v>#VALUE!</v>
      </c>
      <c r="P124" s="189" t="e">
        <f t="shared" si="7"/>
        <v>#VALUE!</v>
      </c>
      <c r="Q124" s="257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84">
        <f>'Données projet'!A123</f>
        <v>60</v>
      </c>
      <c r="B125" s="185">
        <f>'Données projet'!D123</f>
        <v>28</v>
      </c>
      <c r="C125" s="198">
        <v>30</v>
      </c>
      <c r="D125" s="183">
        <f t="shared" si="8"/>
        <v>840</v>
      </c>
      <c r="E125" s="198"/>
      <c r="F125" s="254"/>
      <c r="G125" s="214"/>
      <c r="H125" s="195"/>
      <c r="I125" s="196"/>
      <c r="J125" s="5"/>
      <c r="K125" s="175"/>
      <c r="L125" s="5"/>
      <c r="M125" s="5"/>
      <c r="N125" s="5"/>
      <c r="O125" s="199" t="e">
        <f>IF(O124+1&lt;=MIN('Données projet'!$E$9:$E$18),O124+1,"STOP")</f>
        <v>#VALUE!</v>
      </c>
      <c r="P125" s="189" t="e">
        <f t="shared" si="7"/>
        <v>#VALUE!</v>
      </c>
      <c r="Q125" s="257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84">
        <f>'Données projet'!A124</f>
        <v>65</v>
      </c>
      <c r="B126" s="185">
        <f>'Données projet'!D124</f>
        <v>0</v>
      </c>
      <c r="C126" s="198"/>
      <c r="D126" s="183">
        <f t="shared" si="8"/>
        <v>0</v>
      </c>
      <c r="E126" s="198"/>
      <c r="F126" s="254"/>
      <c r="G126" s="214"/>
      <c r="H126" s="195"/>
      <c r="I126" s="196"/>
      <c r="J126" s="5"/>
      <c r="K126" s="175"/>
      <c r="L126" s="5"/>
      <c r="M126" s="5"/>
      <c r="N126" s="5"/>
      <c r="O126" s="199" t="e">
        <f>IF(O125+1&lt;=MIN('Données projet'!$E$9:$E$18),O125+1,"STOP")</f>
        <v>#VALUE!</v>
      </c>
      <c r="P126" s="189" t="e">
        <f t="shared" si="7"/>
        <v>#VALUE!</v>
      </c>
      <c r="Q126" s="257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84">
        <f>'Données projet'!A125</f>
        <v>70</v>
      </c>
      <c r="B127" s="185">
        <f>'Données projet'!D125</f>
        <v>28</v>
      </c>
      <c r="C127" s="198">
        <v>35</v>
      </c>
      <c r="D127" s="183">
        <f t="shared" si="8"/>
        <v>980</v>
      </c>
      <c r="E127" s="198"/>
      <c r="F127" s="254"/>
      <c r="G127" s="214"/>
      <c r="H127" s="195"/>
      <c r="I127" s="196"/>
      <c r="J127" s="5"/>
      <c r="K127" s="175"/>
      <c r="L127" s="5"/>
      <c r="M127" s="5"/>
      <c r="N127" s="5"/>
      <c r="O127" s="199" t="e">
        <f>IF(O126+1&lt;=MIN('Données projet'!$E$9:$E$18),O126+1,"STOP")</f>
        <v>#VALUE!</v>
      </c>
      <c r="P127" s="189" t="e">
        <f t="shared" si="7"/>
        <v>#VALUE!</v>
      </c>
      <c r="Q127" s="257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84">
        <f>'Données projet'!A126</f>
        <v>75</v>
      </c>
      <c r="B128" s="185">
        <f>'Données projet'!D126</f>
        <v>0</v>
      </c>
      <c r="C128" s="198"/>
      <c r="D128" s="183">
        <f t="shared" si="8"/>
        <v>0</v>
      </c>
      <c r="E128" s="198"/>
      <c r="F128" s="254"/>
      <c r="G128" s="214"/>
      <c r="H128" s="195"/>
      <c r="I128" s="196"/>
      <c r="J128" s="5"/>
      <c r="K128" s="175"/>
      <c r="L128" s="5"/>
      <c r="M128" s="5"/>
      <c r="N128" s="5"/>
      <c r="O128" s="199" t="e">
        <f>IF(O127+1&lt;=MIN('Données projet'!$E$9:$E$18),O127+1,"STOP")</f>
        <v>#VALUE!</v>
      </c>
      <c r="P128" s="189" t="e">
        <f t="shared" si="7"/>
        <v>#VALUE!</v>
      </c>
      <c r="Q128" s="257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84">
        <f>'Données projet'!A127</f>
        <v>80</v>
      </c>
      <c r="B129" s="185">
        <f>'Données projet'!D127</f>
        <v>27</v>
      </c>
      <c r="C129" s="198">
        <v>40</v>
      </c>
      <c r="D129" s="183">
        <f t="shared" si="8"/>
        <v>1080</v>
      </c>
      <c r="E129" s="198"/>
      <c r="F129" s="254"/>
      <c r="G129" s="214"/>
      <c r="H129" s="195"/>
      <c r="I129" s="196"/>
      <c r="J129" s="5"/>
      <c r="K129" s="175"/>
      <c r="L129" s="5"/>
      <c r="M129" s="5"/>
      <c r="N129" s="5"/>
      <c r="O129" s="199" t="e">
        <f>IF(O128+1&lt;=MIN('Données projet'!$E$9:$E$18),O128+1,"STOP")</f>
        <v>#VALUE!</v>
      </c>
      <c r="P129" s="189" t="e">
        <f t="shared" ref="P129:P132" si="9">$P$25/(1+$M$4)^O129</f>
        <v>#VALUE!</v>
      </c>
      <c r="Q129" s="257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84">
        <f>'Données projet'!A128</f>
        <v>85</v>
      </c>
      <c r="B130" s="185">
        <f>'Données projet'!D128</f>
        <v>0</v>
      </c>
      <c r="C130" s="198"/>
      <c r="D130" s="183">
        <f t="shared" si="8"/>
        <v>0</v>
      </c>
      <c r="E130" s="198"/>
      <c r="F130" s="254"/>
      <c r="G130" s="214"/>
      <c r="H130" s="195"/>
      <c r="I130" s="196"/>
      <c r="J130" s="5"/>
      <c r="K130" s="175"/>
      <c r="L130" s="5"/>
      <c r="M130" s="5"/>
      <c r="N130" s="5"/>
      <c r="O130" s="199" t="e">
        <f>IF(O129+1&lt;=MIN('Données projet'!$E$9:$E$18),O129+1,"STOP")</f>
        <v>#VALUE!</v>
      </c>
      <c r="P130" s="189" t="e">
        <f t="shared" si="9"/>
        <v>#VALUE!</v>
      </c>
      <c r="Q130" s="257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84">
        <f>'Données projet'!A129</f>
        <v>90</v>
      </c>
      <c r="B131" s="185">
        <f>'Données projet'!D129</f>
        <v>259</v>
      </c>
      <c r="C131" s="198">
        <v>50</v>
      </c>
      <c r="D131" s="183">
        <f t="shared" si="8"/>
        <v>12950</v>
      </c>
      <c r="E131" s="198"/>
      <c r="F131" s="254"/>
      <c r="G131" s="214"/>
      <c r="H131" s="195"/>
      <c r="I131" s="196"/>
      <c r="J131" s="5"/>
      <c r="K131" s="175"/>
      <c r="L131" s="5"/>
      <c r="M131" s="5"/>
      <c r="N131" s="5"/>
      <c r="O131" s="199" t="e">
        <f>IF(O130+1&lt;=MIN('Données projet'!$E$9:$E$18),O130+1,"STOP")</f>
        <v>#VALUE!</v>
      </c>
      <c r="P131" s="189" t="e">
        <f t="shared" si="9"/>
        <v>#VALUE!</v>
      </c>
      <c r="Q131" s="257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84">
        <f>'Données projet'!A130</f>
        <v>0</v>
      </c>
      <c r="B132" s="185">
        <f>'Données projet'!D130</f>
        <v>0</v>
      </c>
      <c r="C132" s="198"/>
      <c r="D132" s="183">
        <f t="shared" si="8"/>
        <v>0</v>
      </c>
      <c r="E132" s="198"/>
      <c r="F132" s="254"/>
      <c r="G132" s="214"/>
      <c r="H132" s="195"/>
      <c r="I132" s="196"/>
      <c r="J132" s="5"/>
      <c r="K132" s="175"/>
      <c r="L132" s="5"/>
      <c r="M132" s="5"/>
      <c r="N132" s="5"/>
      <c r="O132" s="199" t="e">
        <f>IF(O131+1&lt;=MIN('Données projet'!$E$9:$E$18),O131+1,"STOP")</f>
        <v>#VALUE!</v>
      </c>
      <c r="P132" s="189" t="e">
        <f t="shared" si="9"/>
        <v>#VALUE!</v>
      </c>
      <c r="Q132" s="257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84">
        <f>'Données projet'!A131</f>
        <v>0</v>
      </c>
      <c r="B133" s="185">
        <f>'Données projet'!D131</f>
        <v>0</v>
      </c>
      <c r="C133" s="198"/>
      <c r="D133" s="183">
        <f t="shared" si="8"/>
        <v>0</v>
      </c>
      <c r="E133" s="198"/>
      <c r="F133" s="254"/>
      <c r="G133" s="214"/>
      <c r="H133" s="195"/>
      <c r="I133" s="196"/>
      <c r="J133" s="5"/>
      <c r="K133" s="175"/>
      <c r="Q133" s="257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84">
        <f>'Données projet'!A132</f>
        <v>0</v>
      </c>
      <c r="B134" s="185">
        <f>'Données projet'!D132</f>
        <v>0</v>
      </c>
      <c r="C134" s="198"/>
      <c r="D134" s="183">
        <f t="shared" si="8"/>
        <v>0</v>
      </c>
      <c r="E134" s="198"/>
      <c r="F134" s="254"/>
      <c r="G134" s="214"/>
      <c r="H134" s="195"/>
      <c r="I134" s="196"/>
      <c r="J134" s="5"/>
      <c r="K134" s="175"/>
      <c r="Q134" s="257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84">
        <f>'Données projet'!A133</f>
        <v>0</v>
      </c>
      <c r="B135" s="185">
        <f>'Données projet'!D133</f>
        <v>0</v>
      </c>
      <c r="C135" s="198"/>
      <c r="D135" s="183">
        <f t="shared" si="8"/>
        <v>0</v>
      </c>
      <c r="E135" s="198"/>
      <c r="F135" s="254"/>
      <c r="G135" s="214"/>
      <c r="H135" s="195"/>
      <c r="I135" s="196"/>
      <c r="J135" s="5"/>
      <c r="K135" s="175"/>
      <c r="Q135" s="257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2"/>
      <c r="G136" s="214"/>
      <c r="H136" s="195"/>
      <c r="I136" s="196"/>
      <c r="J136" s="5"/>
      <c r="K136" s="175"/>
      <c r="L136" s="5"/>
      <c r="M136" s="5"/>
      <c r="N136" s="5"/>
      <c r="Q136" s="257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2"/>
      <c r="G137" s="214"/>
      <c r="H137" s="195"/>
      <c r="I137" s="196"/>
      <c r="J137" s="5"/>
      <c r="K137" s="175"/>
      <c r="L137" s="5"/>
      <c r="M137" s="5"/>
      <c r="N137" s="5"/>
      <c r="Q137" s="257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78" t="str">
        <f>IF('Données projet'!B13="","",'Données projet'!B13)</f>
        <v>Charme</v>
      </c>
      <c r="C138" s="5"/>
      <c r="D138" s="5"/>
      <c r="E138" s="5"/>
      <c r="F138" s="252"/>
      <c r="G138" s="214"/>
      <c r="H138" s="195"/>
      <c r="I138" s="196"/>
      <c r="J138" s="5"/>
      <c r="K138" s="175"/>
      <c r="L138" s="5"/>
      <c r="M138" s="5"/>
      <c r="N138" s="5"/>
      <c r="Q138" s="257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2"/>
      <c r="G139" s="214"/>
      <c r="H139" s="195"/>
      <c r="I139" s="196"/>
      <c r="J139" s="5"/>
      <c r="K139" s="175"/>
      <c r="L139" s="5"/>
      <c r="M139" s="5"/>
      <c r="N139" s="5"/>
      <c r="Q139" s="257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48" t="s">
        <v>180</v>
      </c>
      <c r="B140" s="51" t="s">
        <v>256</v>
      </c>
      <c r="C140" s="51" t="s">
        <v>255</v>
      </c>
      <c r="D140" s="248" t="s">
        <v>252</v>
      </c>
      <c r="E140" s="248" t="s">
        <v>320</v>
      </c>
      <c r="F140" s="253"/>
      <c r="G140" s="214"/>
      <c r="H140" s="195"/>
      <c r="I140" s="196"/>
      <c r="J140" s="5"/>
      <c r="K140" s="175"/>
      <c r="L140" s="5"/>
      <c r="M140" s="5"/>
      <c r="N140" s="5"/>
      <c r="Q140" s="257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1">
        <v>0</v>
      </c>
      <c r="B141" s="204" t="s">
        <v>132</v>
      </c>
      <c r="C141" s="203"/>
      <c r="D141" s="202" t="s">
        <v>132</v>
      </c>
      <c r="E141" s="198"/>
      <c r="F141" s="253"/>
      <c r="G141" s="214"/>
      <c r="H141" s="195"/>
      <c r="I141" s="196"/>
      <c r="J141" s="5"/>
      <c r="K141" s="175"/>
      <c r="L141" s="5"/>
      <c r="M141" s="5"/>
      <c r="N141" s="5"/>
      <c r="Q141" s="257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1">
        <v>1</v>
      </c>
      <c r="B142" s="204" t="s">
        <v>132</v>
      </c>
      <c r="C142" s="203"/>
      <c r="D142" s="202" t="s">
        <v>132</v>
      </c>
      <c r="E142" s="198"/>
      <c r="F142" s="253"/>
      <c r="G142" s="212"/>
      <c r="H142" s="195"/>
      <c r="I142" s="196"/>
      <c r="J142" s="5"/>
      <c r="K142" s="175"/>
      <c r="L142" s="5"/>
      <c r="M142" s="5"/>
      <c r="N142" s="5"/>
      <c r="Q142" s="257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1">
        <v>2</v>
      </c>
      <c r="B143" s="204" t="s">
        <v>132</v>
      </c>
      <c r="C143" s="203"/>
      <c r="D143" s="202" t="s">
        <v>132</v>
      </c>
      <c r="E143" s="198"/>
      <c r="F143" s="253"/>
      <c r="G143" s="212"/>
      <c r="H143" s="195"/>
      <c r="I143" s="196"/>
      <c r="J143" s="5"/>
      <c r="K143" s="175"/>
      <c r="L143" s="5"/>
      <c r="M143" s="5"/>
      <c r="N143" s="5"/>
      <c r="Q143" s="257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1">
        <v>3</v>
      </c>
      <c r="B144" s="204" t="s">
        <v>132</v>
      </c>
      <c r="C144" s="203"/>
      <c r="D144" s="202" t="s">
        <v>132</v>
      </c>
      <c r="E144" s="198"/>
      <c r="F144" s="253"/>
      <c r="G144" s="212"/>
      <c r="H144" s="195"/>
      <c r="I144" s="196"/>
      <c r="J144" s="5"/>
      <c r="K144" s="175"/>
      <c r="L144" s="5"/>
      <c r="M144" s="5"/>
      <c r="N144" s="5"/>
      <c r="Q144" s="257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1">
        <v>4</v>
      </c>
      <c r="B145" s="204" t="s">
        <v>132</v>
      </c>
      <c r="C145" s="203"/>
      <c r="D145" s="202" t="s">
        <v>132</v>
      </c>
      <c r="E145" s="198"/>
      <c r="F145" s="253"/>
      <c r="G145" s="212"/>
      <c r="H145" s="195"/>
      <c r="I145" s="196"/>
      <c r="J145" s="5"/>
      <c r="K145" s="175"/>
      <c r="L145" s="5"/>
      <c r="M145" s="5"/>
      <c r="N145" s="5"/>
      <c r="Q145" s="257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1">
        <v>5</v>
      </c>
      <c r="B146" s="204" t="s">
        <v>132</v>
      </c>
      <c r="C146" s="196"/>
      <c r="D146" s="202" t="s">
        <v>132</v>
      </c>
      <c r="E146" s="198"/>
      <c r="F146" s="253"/>
      <c r="G146" s="213"/>
      <c r="H146" s="195"/>
      <c r="I146" s="196"/>
      <c r="J146" s="5"/>
      <c r="K146" s="175"/>
      <c r="L146" s="5"/>
      <c r="M146" s="5"/>
      <c r="N146" s="5"/>
      <c r="Q146" s="257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79">
        <f>'Données projet'!D140</f>
        <v>16.666666666666668</v>
      </c>
      <c r="C147" s="196">
        <v>10</v>
      </c>
      <c r="D147" s="186">
        <f>B147*C147</f>
        <v>166.66666666666669</v>
      </c>
      <c r="E147" s="198"/>
      <c r="F147" s="255"/>
      <c r="G147" s="213"/>
      <c r="H147" s="195"/>
      <c r="I147" s="196"/>
      <c r="J147" s="5"/>
      <c r="K147" s="175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30</v>
      </c>
      <c r="B148" s="179">
        <f>'Données projet'!D141</f>
        <v>35.256410256410255</v>
      </c>
      <c r="C148" s="196"/>
      <c r="D148" s="186">
        <f t="shared" ref="D148:D166" si="10">B148*C148</f>
        <v>0</v>
      </c>
      <c r="E148" s="198"/>
      <c r="F148" s="255"/>
      <c r="G148" s="213"/>
      <c r="H148" s="195"/>
      <c r="I148" s="196"/>
      <c r="J148" s="5"/>
      <c r="K148" s="175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35</v>
      </c>
      <c r="B149" s="179">
        <f>'Données projet'!D142</f>
        <v>0</v>
      </c>
      <c r="C149" s="196">
        <v>10</v>
      </c>
      <c r="D149" s="186">
        <f t="shared" si="10"/>
        <v>0</v>
      </c>
      <c r="E149" s="198"/>
      <c r="F149" s="255"/>
      <c r="G149" s="213"/>
      <c r="H149" s="195"/>
      <c r="I149" s="196"/>
      <c r="J149" s="5"/>
      <c r="K149" s="175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40</v>
      </c>
      <c r="B150" s="179">
        <f>'Données projet'!D143</f>
        <v>28.846153846153847</v>
      </c>
      <c r="C150" s="196"/>
      <c r="D150" s="186">
        <f t="shared" si="10"/>
        <v>0</v>
      </c>
      <c r="E150" s="198"/>
      <c r="F150" s="255"/>
      <c r="G150" s="213"/>
      <c r="H150" s="195"/>
      <c r="I150" s="196"/>
      <c r="J150" s="5"/>
      <c r="K150" s="175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45</v>
      </c>
      <c r="B151" s="179">
        <f>'Données projet'!D144</f>
        <v>0</v>
      </c>
      <c r="C151" s="196">
        <v>10</v>
      </c>
      <c r="D151" s="186">
        <f t="shared" si="10"/>
        <v>0</v>
      </c>
      <c r="E151" s="198"/>
      <c r="F151" s="255"/>
      <c r="G151" s="213"/>
      <c r="H151" s="195"/>
      <c r="I151" s="196"/>
      <c r="J151" s="5"/>
      <c r="K151" s="175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50</v>
      </c>
      <c r="B152" s="179">
        <f>'Données projet'!D145</f>
        <v>30.769230769230766</v>
      </c>
      <c r="C152" s="196"/>
      <c r="D152" s="186">
        <f t="shared" si="10"/>
        <v>0</v>
      </c>
      <c r="E152" s="198"/>
      <c r="F152" s="255"/>
      <c r="G152" s="213"/>
      <c r="H152" s="195"/>
      <c r="I152" s="196"/>
      <c r="J152" s="5"/>
      <c r="K152" s="175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55</v>
      </c>
      <c r="B153" s="179">
        <f>'Données projet'!D146</f>
        <v>0</v>
      </c>
      <c r="C153" s="196">
        <v>15</v>
      </c>
      <c r="D153" s="186">
        <f t="shared" si="10"/>
        <v>0</v>
      </c>
      <c r="E153" s="198"/>
      <c r="F153" s="255"/>
      <c r="G153" s="209"/>
      <c r="H153" s="195"/>
      <c r="I153" s="196"/>
      <c r="J153" s="5"/>
      <c r="K153" s="175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60</v>
      </c>
      <c r="B154" s="179">
        <f>'Données projet'!D147</f>
        <v>29.487179487179485</v>
      </c>
      <c r="C154" s="196"/>
      <c r="D154" s="186">
        <f t="shared" si="10"/>
        <v>0</v>
      </c>
      <c r="E154" s="198"/>
      <c r="F154" s="255"/>
      <c r="G154" s="209"/>
      <c r="H154" s="195"/>
      <c r="I154" s="196"/>
      <c r="J154" s="5"/>
      <c r="K154" s="175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65</v>
      </c>
      <c r="B155" s="179">
        <f>'Données projet'!D148</f>
        <v>0</v>
      </c>
      <c r="C155" s="196">
        <v>20</v>
      </c>
      <c r="D155" s="186">
        <f t="shared" si="10"/>
        <v>0</v>
      </c>
      <c r="E155" s="198"/>
      <c r="F155" s="255"/>
      <c r="G155" s="209"/>
      <c r="H155" s="195"/>
      <c r="I155" s="196"/>
      <c r="J155" s="5"/>
      <c r="K155" s="175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70</v>
      </c>
      <c r="B156" s="179">
        <f>'Données projet'!D149</f>
        <v>28.846153846153847</v>
      </c>
      <c r="C156" s="196"/>
      <c r="D156" s="186">
        <f t="shared" si="10"/>
        <v>0</v>
      </c>
      <c r="E156" s="198"/>
      <c r="F156" s="255"/>
      <c r="G156" s="209"/>
      <c r="H156" s="195"/>
      <c r="I156" s="196"/>
      <c r="J156" s="5"/>
      <c r="K156" s="175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75</v>
      </c>
      <c r="B157" s="179">
        <f>'Données projet'!D150</f>
        <v>0</v>
      </c>
      <c r="C157" s="196">
        <v>20</v>
      </c>
      <c r="D157" s="186">
        <f t="shared" si="10"/>
        <v>0</v>
      </c>
      <c r="E157" s="198"/>
      <c r="F157" s="255"/>
      <c r="G157" s="209"/>
      <c r="H157" s="195"/>
      <c r="I157" s="196"/>
      <c r="J157" s="5"/>
      <c r="K157" s="175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80</v>
      </c>
      <c r="B158" s="179">
        <f>'Données projet'!D151</f>
        <v>27.564102564102562</v>
      </c>
      <c r="C158" s="196"/>
      <c r="D158" s="186">
        <f t="shared" si="10"/>
        <v>0</v>
      </c>
      <c r="E158" s="198"/>
      <c r="F158" s="255"/>
      <c r="G158" s="209"/>
      <c r="H158" s="195"/>
      <c r="I158" s="196"/>
      <c r="J158" s="5"/>
      <c r="K158" s="175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85</v>
      </c>
      <c r="B159" s="179">
        <f>'Données projet'!D152</f>
        <v>0</v>
      </c>
      <c r="C159" s="196">
        <v>25</v>
      </c>
      <c r="D159" s="186">
        <f t="shared" si="10"/>
        <v>0</v>
      </c>
      <c r="E159" s="198"/>
      <c r="F159" s="255"/>
      <c r="G159" s="209"/>
      <c r="H159" s="195"/>
      <c r="I159" s="196"/>
      <c r="J159" s="5"/>
      <c r="K159" s="175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90</v>
      </c>
      <c r="B160" s="179">
        <f>'Données projet'!D153</f>
        <v>25.641025641025639</v>
      </c>
      <c r="C160" s="196"/>
      <c r="D160" s="186">
        <f t="shared" si="10"/>
        <v>0</v>
      </c>
      <c r="E160" s="198"/>
      <c r="F160" s="255"/>
      <c r="G160" s="209"/>
      <c r="H160" s="195"/>
      <c r="I160" s="196"/>
      <c r="J160" s="5"/>
      <c r="K160" s="17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95</v>
      </c>
      <c r="B161" s="179">
        <f>'Données projet'!D154</f>
        <v>0</v>
      </c>
      <c r="C161" s="196">
        <v>30</v>
      </c>
      <c r="D161" s="186">
        <f t="shared" si="10"/>
        <v>0</v>
      </c>
      <c r="E161" s="198"/>
      <c r="F161" s="255"/>
      <c r="G161" s="209"/>
      <c r="H161" s="195"/>
      <c r="I161" s="196"/>
      <c r="J161" s="5"/>
      <c r="K161" s="17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100</v>
      </c>
      <c r="B162" s="179">
        <f>'Données projet'!D155</f>
        <v>23.717948717948715</v>
      </c>
      <c r="C162" s="196"/>
      <c r="D162" s="186">
        <f t="shared" si="10"/>
        <v>0</v>
      </c>
      <c r="E162" s="198"/>
      <c r="F162" s="255"/>
      <c r="G162" s="209"/>
      <c r="H162" s="195"/>
      <c r="I162" s="196"/>
      <c r="J162" s="5"/>
      <c r="K162" s="17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105</v>
      </c>
      <c r="B163" s="179">
        <f>'Données projet'!D156</f>
        <v>0</v>
      </c>
      <c r="C163" s="196">
        <v>35</v>
      </c>
      <c r="D163" s="186">
        <f t="shared" si="10"/>
        <v>0</v>
      </c>
      <c r="E163" s="198"/>
      <c r="F163" s="255"/>
      <c r="G163" s="209"/>
      <c r="H163" s="195"/>
      <c r="I163" s="196"/>
      <c r="J163" s="5"/>
      <c r="K163" s="17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110</v>
      </c>
      <c r="B164" s="179">
        <f>'Données projet'!D157</f>
        <v>22.435897435897434</v>
      </c>
      <c r="C164" s="196"/>
      <c r="D164" s="186">
        <f t="shared" si="10"/>
        <v>0</v>
      </c>
      <c r="E164" s="198"/>
      <c r="F164" s="255"/>
      <c r="G164" s="209"/>
      <c r="H164" s="195"/>
      <c r="I164" s="196"/>
      <c r="J164" s="5"/>
      <c r="K164" s="17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115</v>
      </c>
      <c r="B165" s="179">
        <f>'Données projet'!D158</f>
        <v>0</v>
      </c>
      <c r="C165" s="196">
        <v>40</v>
      </c>
      <c r="D165" s="186">
        <f t="shared" si="10"/>
        <v>0</v>
      </c>
      <c r="E165" s="198"/>
      <c r="F165" s="255"/>
      <c r="G165" s="209"/>
      <c r="H165" s="195"/>
      <c r="I165" s="196"/>
      <c r="J165" s="5"/>
      <c r="K165" s="17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120</v>
      </c>
      <c r="B166" s="179">
        <f>'Données projet'!D159</f>
        <v>259.61538461538458</v>
      </c>
      <c r="C166" s="196">
        <v>50</v>
      </c>
      <c r="D166" s="186">
        <f t="shared" si="10"/>
        <v>12980.769230769229</v>
      </c>
      <c r="E166" s="198"/>
      <c r="F166" s="255"/>
      <c r="G166" s="209"/>
      <c r="H166" s="195"/>
      <c r="I166" s="196"/>
      <c r="J166" s="5"/>
      <c r="K166" s="17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2"/>
      <c r="G167" s="209"/>
      <c r="H167" s="195"/>
      <c r="I167" s="196"/>
      <c r="J167" s="5"/>
      <c r="K167" s="17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2"/>
      <c r="G168" s="209"/>
      <c r="H168" s="195"/>
      <c r="I168" s="196"/>
      <c r="J168" s="5"/>
      <c r="K168" s="17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78" t="str">
        <f>IF('Données projet'!B14="","",'Données projet'!B14)</f>
        <v/>
      </c>
      <c r="C169" s="5"/>
      <c r="D169" s="5"/>
      <c r="E169" s="5"/>
      <c r="F169" s="252"/>
      <c r="G169" s="209"/>
      <c r="H169" s="195"/>
      <c r="I169" s="196"/>
      <c r="J169" s="5"/>
      <c r="K169" s="17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2"/>
      <c r="G170" s="209"/>
      <c r="H170" s="195"/>
      <c r="I170" s="196"/>
      <c r="J170" s="5"/>
      <c r="K170" s="17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48" t="s">
        <v>180</v>
      </c>
      <c r="B171" s="51" t="s">
        <v>256</v>
      </c>
      <c r="C171" s="51" t="s">
        <v>255</v>
      </c>
      <c r="D171" s="248" t="s">
        <v>252</v>
      </c>
      <c r="E171" s="248" t="s">
        <v>320</v>
      </c>
      <c r="F171" s="253"/>
      <c r="G171" s="209"/>
      <c r="H171" s="195"/>
      <c r="I171" s="196"/>
      <c r="J171" s="5"/>
      <c r="K171" s="17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1">
        <v>0</v>
      </c>
      <c r="B172" s="204" t="s">
        <v>132</v>
      </c>
      <c r="C172" s="203"/>
      <c r="D172" s="202" t="s">
        <v>132</v>
      </c>
      <c r="E172" s="198"/>
      <c r="F172" s="253"/>
      <c r="G172" s="209"/>
      <c r="H172" s="195"/>
      <c r="I172" s="196"/>
      <c r="J172" s="5"/>
      <c r="K172" s="17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1">
        <v>1</v>
      </c>
      <c r="B173" s="204" t="s">
        <v>132</v>
      </c>
      <c r="C173" s="203"/>
      <c r="D173" s="202" t="s">
        <v>132</v>
      </c>
      <c r="E173" s="198"/>
      <c r="F173" s="253"/>
      <c r="G173" s="212"/>
      <c r="H173" s="195"/>
      <c r="I173" s="196"/>
      <c r="J173" s="5"/>
      <c r="K173" s="17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1">
        <v>2</v>
      </c>
      <c r="B174" s="204" t="s">
        <v>132</v>
      </c>
      <c r="C174" s="203"/>
      <c r="D174" s="202" t="s">
        <v>132</v>
      </c>
      <c r="E174" s="198"/>
      <c r="F174" s="253"/>
      <c r="G174" s="212"/>
      <c r="H174" s="195"/>
      <c r="I174" s="196"/>
      <c r="J174" s="5"/>
      <c r="K174" s="17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1">
        <v>3</v>
      </c>
      <c r="B175" s="204" t="s">
        <v>132</v>
      </c>
      <c r="C175" s="203"/>
      <c r="D175" s="202" t="s">
        <v>132</v>
      </c>
      <c r="E175" s="198"/>
      <c r="F175" s="253"/>
      <c r="G175" s="212"/>
      <c r="H175" s="195"/>
      <c r="I175" s="196"/>
      <c r="J175" s="5"/>
      <c r="K175" s="17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1">
        <v>4</v>
      </c>
      <c r="B176" s="204" t="s">
        <v>132</v>
      </c>
      <c r="C176" s="203"/>
      <c r="D176" s="202" t="s">
        <v>132</v>
      </c>
      <c r="E176" s="198"/>
      <c r="F176" s="253"/>
      <c r="G176" s="212"/>
      <c r="H176" s="195"/>
      <c r="I176" s="196"/>
      <c r="J176" s="5"/>
      <c r="K176" s="17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1">
        <v>5</v>
      </c>
      <c r="B177" s="204" t="s">
        <v>132</v>
      </c>
      <c r="C177" s="203"/>
      <c r="D177" s="202" t="s">
        <v>132</v>
      </c>
      <c r="E177" s="198"/>
      <c r="F177" s="253"/>
      <c r="G177" s="213"/>
      <c r="H177" s="195"/>
      <c r="I177" s="196"/>
      <c r="J177" s="5"/>
      <c r="K177" s="17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84">
        <f>'Données projet'!A166</f>
        <v>0</v>
      </c>
      <c r="B178" s="185">
        <f>'Données projet'!D166</f>
        <v>0</v>
      </c>
      <c r="C178" s="198"/>
      <c r="D178" s="183">
        <f>B178*C178</f>
        <v>0</v>
      </c>
      <c r="E178" s="198"/>
      <c r="F178" s="254"/>
      <c r="G178" s="213"/>
      <c r="H178" s="195"/>
      <c r="I178" s="196"/>
      <c r="J178" s="5"/>
      <c r="K178" s="17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84">
        <f>'Données projet'!A167</f>
        <v>0</v>
      </c>
      <c r="B179" s="185">
        <f>'Données projet'!D167</f>
        <v>0</v>
      </c>
      <c r="C179" s="196"/>
      <c r="D179" s="183">
        <f t="shared" ref="D179:D197" si="11">B179*C179</f>
        <v>0</v>
      </c>
      <c r="E179" s="198"/>
      <c r="F179" s="254"/>
      <c r="G179" s="213"/>
      <c r="H179" s="195"/>
      <c r="I179" s="196"/>
      <c r="J179" s="5"/>
      <c r="K179" s="17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84">
        <f>'Données projet'!A168</f>
        <v>0</v>
      </c>
      <c r="B180" s="185">
        <f>'Données projet'!D168</f>
        <v>0</v>
      </c>
      <c r="C180" s="196"/>
      <c r="D180" s="183">
        <f t="shared" si="11"/>
        <v>0</v>
      </c>
      <c r="E180" s="198"/>
      <c r="F180" s="254"/>
      <c r="G180" s="213"/>
      <c r="H180" s="195"/>
      <c r="I180" s="196"/>
      <c r="J180" s="5"/>
      <c r="K180" s="17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84">
        <f>'Données projet'!A169</f>
        <v>0</v>
      </c>
      <c r="B181" s="185">
        <f>'Données projet'!D169</f>
        <v>0</v>
      </c>
      <c r="C181" s="196"/>
      <c r="D181" s="183">
        <f t="shared" si="11"/>
        <v>0</v>
      </c>
      <c r="E181" s="198"/>
      <c r="F181" s="254"/>
      <c r="G181" s="213"/>
      <c r="H181" s="195"/>
      <c r="I181" s="196"/>
      <c r="J181" s="5"/>
      <c r="K181" s="17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84">
        <f>'Données projet'!A170</f>
        <v>0</v>
      </c>
      <c r="B182" s="185">
        <f>'Données projet'!D170</f>
        <v>0</v>
      </c>
      <c r="C182" s="196"/>
      <c r="D182" s="183">
        <f t="shared" si="11"/>
        <v>0</v>
      </c>
      <c r="E182" s="198"/>
      <c r="F182" s="254"/>
      <c r="G182" s="213"/>
      <c r="H182" s="195"/>
      <c r="I182" s="196"/>
      <c r="J182" s="5"/>
      <c r="K182" s="17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84">
        <f>'Données projet'!A171</f>
        <v>0</v>
      </c>
      <c r="B183" s="185">
        <f>'Données projet'!D171</f>
        <v>0</v>
      </c>
      <c r="C183" s="196"/>
      <c r="D183" s="183">
        <f t="shared" si="11"/>
        <v>0</v>
      </c>
      <c r="E183" s="198"/>
      <c r="F183" s="254"/>
      <c r="G183" s="213"/>
      <c r="H183" s="195"/>
      <c r="I183" s="196"/>
      <c r="J183" s="5"/>
      <c r="K183" s="17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84">
        <f>'Données projet'!A172</f>
        <v>0</v>
      </c>
      <c r="B184" s="185">
        <f>'Données projet'!D172</f>
        <v>0</v>
      </c>
      <c r="C184" s="196"/>
      <c r="D184" s="183">
        <f t="shared" si="11"/>
        <v>0</v>
      </c>
      <c r="E184" s="198"/>
      <c r="F184" s="254"/>
      <c r="G184" s="214"/>
      <c r="H184" s="195"/>
      <c r="I184" s="196"/>
      <c r="J184" s="5"/>
      <c r="K184" s="17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84">
        <f>'Données projet'!A173</f>
        <v>0</v>
      </c>
      <c r="B185" s="185">
        <f>'Données projet'!D173</f>
        <v>0</v>
      </c>
      <c r="C185" s="196"/>
      <c r="D185" s="183">
        <f t="shared" si="11"/>
        <v>0</v>
      </c>
      <c r="E185" s="198"/>
      <c r="F185" s="254"/>
      <c r="G185" s="214"/>
      <c r="H185" s="195"/>
      <c r="I185" s="196"/>
      <c r="J185" s="5"/>
      <c r="K185" s="17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84">
        <f>'Données projet'!A174</f>
        <v>0</v>
      </c>
      <c r="B186" s="185">
        <f>'Données projet'!D174</f>
        <v>0</v>
      </c>
      <c r="C186" s="198"/>
      <c r="D186" s="183">
        <f t="shared" si="11"/>
        <v>0</v>
      </c>
      <c r="E186" s="198"/>
      <c r="F186" s="254"/>
      <c r="G186" s="214"/>
      <c r="H186" s="195"/>
      <c r="I186" s="196"/>
      <c r="J186" s="5"/>
      <c r="K186" s="17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84">
        <f>'Données projet'!A175</f>
        <v>0</v>
      </c>
      <c r="B187" s="185">
        <f>'Données projet'!D175</f>
        <v>0</v>
      </c>
      <c r="C187" s="198"/>
      <c r="D187" s="183">
        <f t="shared" si="11"/>
        <v>0</v>
      </c>
      <c r="E187" s="198"/>
      <c r="F187" s="254"/>
      <c r="G187" s="214"/>
      <c r="H187" s="195"/>
      <c r="I187" s="196"/>
      <c r="J187" s="5"/>
      <c r="K187" s="17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84">
        <f>'Données projet'!A176</f>
        <v>0</v>
      </c>
      <c r="B188" s="185">
        <f>'Données projet'!D176</f>
        <v>0</v>
      </c>
      <c r="C188" s="198"/>
      <c r="D188" s="183">
        <f t="shared" si="11"/>
        <v>0</v>
      </c>
      <c r="E188" s="198"/>
      <c r="F188" s="254"/>
      <c r="G188" s="214"/>
      <c r="H188" s="195"/>
      <c r="I188" s="196"/>
      <c r="J188" s="5"/>
      <c r="K188" s="17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84">
        <f>'Données projet'!A177</f>
        <v>0</v>
      </c>
      <c r="B189" s="185">
        <f>'Données projet'!D177</f>
        <v>0</v>
      </c>
      <c r="C189" s="198"/>
      <c r="D189" s="183">
        <f t="shared" si="11"/>
        <v>0</v>
      </c>
      <c r="E189" s="198"/>
      <c r="F189" s="254"/>
      <c r="G189" s="214"/>
      <c r="H189" s="195"/>
      <c r="I189" s="196"/>
      <c r="J189" s="5"/>
      <c r="K189" s="17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84">
        <f>'Données projet'!A178</f>
        <v>0</v>
      </c>
      <c r="B190" s="185">
        <f>'Données projet'!D178</f>
        <v>0</v>
      </c>
      <c r="C190" s="198"/>
      <c r="D190" s="183">
        <f t="shared" si="11"/>
        <v>0</v>
      </c>
      <c r="E190" s="198"/>
      <c r="F190" s="254"/>
      <c r="G190" s="214"/>
      <c r="H190" s="195"/>
      <c r="I190" s="196"/>
      <c r="J190" s="5"/>
      <c r="K190" s="17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84">
        <f>'Données projet'!A179</f>
        <v>0</v>
      </c>
      <c r="B191" s="185">
        <f>'Données projet'!D179</f>
        <v>0</v>
      </c>
      <c r="C191" s="198"/>
      <c r="D191" s="183">
        <f t="shared" si="11"/>
        <v>0</v>
      </c>
      <c r="E191" s="198"/>
      <c r="F191" s="254"/>
      <c r="G191" s="214"/>
      <c r="H191" s="195"/>
      <c r="I191" s="196"/>
      <c r="J191" s="5"/>
      <c r="K191" s="17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84">
        <f>'Données projet'!A180</f>
        <v>0</v>
      </c>
      <c r="B192" s="185">
        <f>'Données projet'!D180</f>
        <v>0</v>
      </c>
      <c r="C192" s="198"/>
      <c r="D192" s="183">
        <f t="shared" si="11"/>
        <v>0</v>
      </c>
      <c r="E192" s="198"/>
      <c r="F192" s="254"/>
      <c r="G192" s="214"/>
      <c r="H192" s="195"/>
      <c r="I192" s="196"/>
      <c r="J192" s="5"/>
      <c r="K192" s="17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84">
        <f>'Données projet'!A181</f>
        <v>0</v>
      </c>
      <c r="B193" s="185">
        <f>'Données projet'!D181</f>
        <v>0</v>
      </c>
      <c r="C193" s="198"/>
      <c r="D193" s="183">
        <f t="shared" si="11"/>
        <v>0</v>
      </c>
      <c r="E193" s="198"/>
      <c r="F193" s="254"/>
      <c r="G193" s="214"/>
      <c r="H193" s="195"/>
      <c r="I193" s="196"/>
      <c r="J193" s="5"/>
      <c r="K193" s="17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84">
        <f>'Données projet'!A182</f>
        <v>0</v>
      </c>
      <c r="B194" s="185">
        <f>'Données projet'!D182</f>
        <v>0</v>
      </c>
      <c r="C194" s="198"/>
      <c r="D194" s="183">
        <f t="shared" si="11"/>
        <v>0</v>
      </c>
      <c r="E194" s="198"/>
      <c r="F194" s="254"/>
      <c r="G194" s="214"/>
      <c r="H194" s="195"/>
      <c r="I194" s="196"/>
      <c r="J194" s="5"/>
      <c r="K194" s="17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84">
        <f>'Données projet'!A183</f>
        <v>0</v>
      </c>
      <c r="B195" s="185">
        <f>'Données projet'!D183</f>
        <v>0</v>
      </c>
      <c r="C195" s="198"/>
      <c r="D195" s="183">
        <f t="shared" si="11"/>
        <v>0</v>
      </c>
      <c r="E195" s="198"/>
      <c r="F195" s="254"/>
      <c r="G195" s="214"/>
      <c r="H195" s="195"/>
      <c r="I195" s="196"/>
      <c r="J195" s="5"/>
      <c r="K195" s="17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84">
        <f>'Données projet'!A184</f>
        <v>0</v>
      </c>
      <c r="B196" s="185">
        <f>'Données projet'!D184</f>
        <v>0</v>
      </c>
      <c r="C196" s="198"/>
      <c r="D196" s="183">
        <f t="shared" si="11"/>
        <v>0</v>
      </c>
      <c r="E196" s="198"/>
      <c r="F196" s="254"/>
      <c r="G196" s="214"/>
      <c r="H196" s="195"/>
      <c r="I196" s="196"/>
      <c r="J196" s="5"/>
      <c r="K196" s="17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84">
        <f>'Données projet'!A185</f>
        <v>0</v>
      </c>
      <c r="B197" s="185">
        <f>'Données projet'!D185</f>
        <v>0</v>
      </c>
      <c r="C197" s="198"/>
      <c r="D197" s="183">
        <f t="shared" si="11"/>
        <v>0</v>
      </c>
      <c r="E197" s="198"/>
      <c r="F197" s="254"/>
      <c r="G197" s="214"/>
      <c r="H197" s="195"/>
      <c r="I197" s="196"/>
      <c r="J197" s="5"/>
      <c r="K197" s="17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2"/>
      <c r="G198" s="214"/>
      <c r="H198" s="195"/>
      <c r="I198" s="196"/>
      <c r="J198" s="5"/>
      <c r="K198" s="17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2"/>
      <c r="G199" s="214"/>
      <c r="H199" s="195"/>
      <c r="I199" s="196"/>
      <c r="J199" s="5"/>
      <c r="K199" s="17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78" t="str">
        <f>IF('Données projet'!$B$15="","",'Données projet'!$B$15)</f>
        <v/>
      </c>
      <c r="C200" s="5"/>
      <c r="D200" s="5"/>
      <c r="E200" s="5"/>
      <c r="F200" s="252"/>
      <c r="G200" s="214"/>
      <c r="H200" s="195"/>
      <c r="I200" s="196"/>
      <c r="J200" s="5"/>
      <c r="K200" s="17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2"/>
      <c r="G201" s="214"/>
      <c r="H201" s="195"/>
      <c r="I201" s="196"/>
      <c r="J201" s="5"/>
      <c r="K201" s="17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48" t="s">
        <v>180</v>
      </c>
      <c r="B202" s="51" t="s">
        <v>256</v>
      </c>
      <c r="C202" s="51" t="s">
        <v>255</v>
      </c>
      <c r="D202" s="248" t="s">
        <v>252</v>
      </c>
      <c r="E202" s="248" t="s">
        <v>320</v>
      </c>
      <c r="F202" s="253"/>
      <c r="G202" s="214"/>
      <c r="H202" s="195"/>
      <c r="I202" s="196"/>
      <c r="J202" s="5"/>
      <c r="K202" s="17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1">
        <v>0</v>
      </c>
      <c r="B203" s="204" t="s">
        <v>132</v>
      </c>
      <c r="C203" s="203"/>
      <c r="D203" s="202" t="s">
        <v>132</v>
      </c>
      <c r="E203" s="198"/>
      <c r="F203" s="253"/>
      <c r="G203" s="214"/>
      <c r="H203" s="195"/>
      <c r="I203" s="196"/>
      <c r="J203" s="5"/>
      <c r="K203" s="17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1">
        <v>1</v>
      </c>
      <c r="B204" s="204" t="s">
        <v>132</v>
      </c>
      <c r="C204" s="203"/>
      <c r="D204" s="202" t="s">
        <v>132</v>
      </c>
      <c r="E204" s="198"/>
      <c r="F204" s="253"/>
      <c r="G204" s="212"/>
      <c r="H204" s="195"/>
      <c r="I204" s="196"/>
      <c r="J204" s="5"/>
      <c r="K204" s="17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1">
        <v>2</v>
      </c>
      <c r="B205" s="204" t="s">
        <v>132</v>
      </c>
      <c r="C205" s="203"/>
      <c r="D205" s="202" t="s">
        <v>132</v>
      </c>
      <c r="E205" s="198"/>
      <c r="F205" s="253"/>
      <c r="G205" s="212"/>
      <c r="H205" s="195"/>
      <c r="I205" s="196"/>
      <c r="J205" s="5"/>
      <c r="K205" s="17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1">
        <v>3</v>
      </c>
      <c r="B206" s="204" t="s">
        <v>132</v>
      </c>
      <c r="C206" s="203"/>
      <c r="D206" s="202" t="s">
        <v>132</v>
      </c>
      <c r="E206" s="198"/>
      <c r="F206" s="253"/>
      <c r="G206" s="212"/>
      <c r="H206" s="195"/>
      <c r="I206" s="196"/>
      <c r="J206" s="5"/>
      <c r="K206" s="17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1">
        <v>4</v>
      </c>
      <c r="B207" s="204" t="s">
        <v>132</v>
      </c>
      <c r="C207" s="203"/>
      <c r="D207" s="202" t="s">
        <v>132</v>
      </c>
      <c r="E207" s="198"/>
      <c r="F207" s="253"/>
      <c r="G207" s="212"/>
      <c r="H207" s="195"/>
      <c r="I207" s="196"/>
      <c r="J207" s="5"/>
      <c r="K207" s="17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1">
        <v>5</v>
      </c>
      <c r="B208" s="204" t="s">
        <v>132</v>
      </c>
      <c r="C208" s="203"/>
      <c r="D208" s="202" t="s">
        <v>132</v>
      </c>
      <c r="E208" s="198"/>
      <c r="F208" s="253"/>
      <c r="G208" s="213"/>
      <c r="H208" s="195"/>
      <c r="I208" s="196"/>
      <c r="J208" s="5"/>
      <c r="K208" s="17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84">
        <f>'Données projet'!A192</f>
        <v>0</v>
      </c>
      <c r="B209" s="185">
        <f>'Données projet'!D192</f>
        <v>0</v>
      </c>
      <c r="C209" s="196"/>
      <c r="D209" s="183">
        <f>B209*C209</f>
        <v>0</v>
      </c>
      <c r="E209" s="198"/>
      <c r="F209" s="254"/>
      <c r="G209" s="213"/>
      <c r="H209" s="195"/>
      <c r="I209" s="196"/>
      <c r="J209" s="5"/>
      <c r="K209" s="17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84">
        <f>'Données projet'!A193</f>
        <v>0</v>
      </c>
      <c r="B210" s="185">
        <f>'Données projet'!D193</f>
        <v>0</v>
      </c>
      <c r="C210" s="196"/>
      <c r="D210" s="183">
        <f t="shared" ref="D210:D228" si="12">B210*C210</f>
        <v>0</v>
      </c>
      <c r="E210" s="198"/>
      <c r="F210" s="254"/>
      <c r="G210" s="213"/>
      <c r="H210" s="195"/>
      <c r="I210" s="196"/>
      <c r="J210" s="5"/>
      <c r="K210" s="17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84">
        <f>'Données projet'!A194</f>
        <v>0</v>
      </c>
      <c r="B211" s="185">
        <f>'Données projet'!D194</f>
        <v>0</v>
      </c>
      <c r="C211" s="198"/>
      <c r="D211" s="183">
        <f t="shared" si="12"/>
        <v>0</v>
      </c>
      <c r="E211" s="198"/>
      <c r="F211" s="254"/>
      <c r="G211" s="213"/>
      <c r="H211" s="195"/>
      <c r="I211" s="196"/>
      <c r="J211" s="5"/>
      <c r="K211" s="17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84">
        <f>'Données projet'!A195</f>
        <v>0</v>
      </c>
      <c r="B212" s="185">
        <f>'Données projet'!D195</f>
        <v>0</v>
      </c>
      <c r="C212" s="198"/>
      <c r="D212" s="183">
        <f t="shared" si="12"/>
        <v>0</v>
      </c>
      <c r="E212" s="198"/>
      <c r="F212" s="254"/>
      <c r="G212" s="213"/>
      <c r="H212" s="195"/>
      <c r="I212" s="196"/>
      <c r="J212" s="5"/>
      <c r="K212" s="17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84">
        <f>'Données projet'!A196</f>
        <v>0</v>
      </c>
      <c r="B213" s="185">
        <f>'Données projet'!D196</f>
        <v>0</v>
      </c>
      <c r="C213" s="198"/>
      <c r="D213" s="183">
        <f t="shared" si="12"/>
        <v>0</v>
      </c>
      <c r="E213" s="198"/>
      <c r="F213" s="254"/>
      <c r="G213" s="213"/>
      <c r="H213" s="195"/>
      <c r="I213" s="196"/>
      <c r="J213" s="5"/>
      <c r="K213" s="17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84">
        <f>'Données projet'!A197</f>
        <v>0</v>
      </c>
      <c r="B214" s="185">
        <f>'Données projet'!D197</f>
        <v>0</v>
      </c>
      <c r="C214" s="198"/>
      <c r="D214" s="183">
        <f>B214*C214</f>
        <v>0</v>
      </c>
      <c r="E214" s="198"/>
      <c r="F214" s="254"/>
      <c r="G214" s="213"/>
      <c r="H214" s="195"/>
      <c r="I214" s="196"/>
      <c r="J214" s="5"/>
      <c r="K214" s="17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84">
        <f>'Données projet'!A198</f>
        <v>0</v>
      </c>
      <c r="B215" s="185">
        <f>'Données projet'!D198</f>
        <v>0</v>
      </c>
      <c r="C215" s="198"/>
      <c r="D215" s="183">
        <f t="shared" si="12"/>
        <v>0</v>
      </c>
      <c r="E215" s="198"/>
      <c r="F215" s="254"/>
      <c r="G215" s="214"/>
      <c r="H215" s="195"/>
      <c r="I215" s="196"/>
      <c r="J215" s="5"/>
      <c r="K215" s="17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84">
        <f>'Données projet'!A199</f>
        <v>0</v>
      </c>
      <c r="B216" s="185">
        <f>'Données projet'!D199</f>
        <v>0</v>
      </c>
      <c r="C216" s="198"/>
      <c r="D216" s="183">
        <f t="shared" si="12"/>
        <v>0</v>
      </c>
      <c r="E216" s="198"/>
      <c r="F216" s="254"/>
      <c r="G216" s="214"/>
      <c r="H216" s="195"/>
      <c r="I216" s="196"/>
      <c r="J216" s="5"/>
      <c r="K216" s="17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84">
        <f>'Données projet'!A200</f>
        <v>0</v>
      </c>
      <c r="B217" s="185">
        <f>'Données projet'!D200</f>
        <v>0</v>
      </c>
      <c r="C217" s="198"/>
      <c r="D217" s="183">
        <f>B217*C217</f>
        <v>0</v>
      </c>
      <c r="E217" s="198"/>
      <c r="F217" s="254"/>
      <c r="G217" s="214"/>
      <c r="H217" s="195"/>
      <c r="I217" s="196"/>
      <c r="J217" s="5"/>
      <c r="K217" s="17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84">
        <f>'Données projet'!A201</f>
        <v>0</v>
      </c>
      <c r="B218" s="185">
        <f>'Données projet'!D201</f>
        <v>0</v>
      </c>
      <c r="C218" s="198"/>
      <c r="D218" s="183">
        <f t="shared" si="12"/>
        <v>0</v>
      </c>
      <c r="E218" s="198"/>
      <c r="F218" s="254"/>
      <c r="G218" s="214"/>
      <c r="H218" s="195"/>
      <c r="I218" s="196"/>
      <c r="J218" s="5"/>
      <c r="K218" s="17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84">
        <f>'Données projet'!A202</f>
        <v>0</v>
      </c>
      <c r="B219" s="185">
        <f>'Données projet'!D202</f>
        <v>0</v>
      </c>
      <c r="C219" s="198"/>
      <c r="D219" s="183">
        <f t="shared" si="12"/>
        <v>0</v>
      </c>
      <c r="E219" s="198"/>
      <c r="F219" s="254"/>
      <c r="G219" s="214"/>
      <c r="H219" s="195"/>
      <c r="I219" s="196"/>
      <c r="J219" s="5"/>
      <c r="K219" s="17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84">
        <f>'Données projet'!A203</f>
        <v>0</v>
      </c>
      <c r="B220" s="185">
        <f>'Données projet'!D203</f>
        <v>0</v>
      </c>
      <c r="C220" s="198"/>
      <c r="D220" s="183">
        <f t="shared" si="12"/>
        <v>0</v>
      </c>
      <c r="E220" s="198"/>
      <c r="F220" s="254"/>
      <c r="G220" s="214"/>
      <c r="H220" s="5"/>
      <c r="I220" s="5"/>
      <c r="J220" s="5"/>
      <c r="K220" s="17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84">
        <f>'Données projet'!A204</f>
        <v>0</v>
      </c>
      <c r="B221" s="185">
        <f>'Données projet'!D204</f>
        <v>0</v>
      </c>
      <c r="C221" s="198"/>
      <c r="D221" s="183">
        <f t="shared" si="12"/>
        <v>0</v>
      </c>
      <c r="E221" s="198"/>
      <c r="F221" s="254"/>
      <c r="G221" s="214"/>
      <c r="H221" s="5"/>
      <c r="I221" s="5"/>
      <c r="J221" s="5"/>
      <c r="K221" s="17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84">
        <f>'Données projet'!A205</f>
        <v>0</v>
      </c>
      <c r="B222" s="185">
        <f>'Données projet'!D205</f>
        <v>0</v>
      </c>
      <c r="C222" s="198"/>
      <c r="D222" s="183">
        <f t="shared" si="12"/>
        <v>0</v>
      </c>
      <c r="E222" s="198"/>
      <c r="F222" s="254"/>
      <c r="G222" s="214"/>
      <c r="H222" s="5"/>
      <c r="I222" s="5"/>
      <c r="J222" s="5"/>
      <c r="K222" s="17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84">
        <f>'Données projet'!A206</f>
        <v>0</v>
      </c>
      <c r="B223" s="185">
        <f>'Données projet'!D206</f>
        <v>0</v>
      </c>
      <c r="C223" s="198"/>
      <c r="D223" s="183">
        <f t="shared" si="12"/>
        <v>0</v>
      </c>
      <c r="E223" s="198"/>
      <c r="F223" s="254"/>
      <c r="G223" s="214"/>
      <c r="H223" s="5"/>
      <c r="I223" s="5"/>
      <c r="J223" s="5"/>
      <c r="K223" s="17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84">
        <f>'Données projet'!A207</f>
        <v>0</v>
      </c>
      <c r="B224" s="185">
        <f>'Données projet'!D207</f>
        <v>0</v>
      </c>
      <c r="C224" s="198"/>
      <c r="D224" s="183">
        <f t="shared" si="12"/>
        <v>0</v>
      </c>
      <c r="E224" s="198"/>
      <c r="F224" s="254"/>
      <c r="G224" s="214"/>
      <c r="H224" s="5"/>
      <c r="I224" s="5"/>
      <c r="J224" s="5"/>
      <c r="K224" s="17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84">
        <f>'Données projet'!A208</f>
        <v>0</v>
      </c>
      <c r="B225" s="185">
        <f>'Données projet'!D208</f>
        <v>0</v>
      </c>
      <c r="C225" s="198"/>
      <c r="D225" s="183">
        <f t="shared" si="12"/>
        <v>0</v>
      </c>
      <c r="E225" s="198"/>
      <c r="F225" s="254"/>
      <c r="G225" s="214"/>
      <c r="H225" s="5"/>
      <c r="I225" s="5"/>
      <c r="J225" s="5"/>
      <c r="K225" s="17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84">
        <f>'Données projet'!A209</f>
        <v>0</v>
      </c>
      <c r="B226" s="185">
        <f>'Données projet'!D209</f>
        <v>0</v>
      </c>
      <c r="C226" s="198"/>
      <c r="D226" s="183">
        <f t="shared" si="12"/>
        <v>0</v>
      </c>
      <c r="E226" s="198"/>
      <c r="F226" s="254"/>
      <c r="G226" s="214"/>
      <c r="H226" s="5"/>
      <c r="I226" s="5"/>
      <c r="J226" s="5"/>
      <c r="K226" s="17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84">
        <f>'Données projet'!A210</f>
        <v>0</v>
      </c>
      <c r="B227" s="185">
        <f>'Données projet'!D210</f>
        <v>0</v>
      </c>
      <c r="C227" s="198"/>
      <c r="D227" s="183">
        <f t="shared" si="12"/>
        <v>0</v>
      </c>
      <c r="E227" s="198"/>
      <c r="F227" s="254"/>
      <c r="G227" s="214"/>
      <c r="H227" s="5"/>
      <c r="I227" s="5"/>
      <c r="J227" s="5"/>
      <c r="K227" s="17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84">
        <f>'Données projet'!A211</f>
        <v>0</v>
      </c>
      <c r="B228" s="185">
        <f>'Données projet'!D211</f>
        <v>0</v>
      </c>
      <c r="C228" s="198"/>
      <c r="D228" s="183">
        <f t="shared" si="12"/>
        <v>0</v>
      </c>
      <c r="E228" s="198"/>
      <c r="F228" s="254"/>
      <c r="G228" s="214"/>
      <c r="H228" s="5"/>
      <c r="I228" s="5"/>
      <c r="J228" s="5"/>
      <c r="K228" s="17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2"/>
      <c r="G229" s="214"/>
      <c r="H229" s="5"/>
      <c r="I229" s="5"/>
      <c r="J229" s="5"/>
      <c r="K229" s="17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2"/>
      <c r="G230" s="214"/>
      <c r="H230" s="5"/>
      <c r="I230" s="5"/>
      <c r="J230" s="5"/>
      <c r="K230" s="17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78" t="str">
        <f>IF('Données projet'!$B$16="","",'Données projet'!$B$16)</f>
        <v/>
      </c>
      <c r="C231" s="5"/>
      <c r="D231" s="5"/>
      <c r="E231" s="5"/>
      <c r="F231" s="252"/>
      <c r="G231" s="214"/>
      <c r="H231" s="5"/>
      <c r="I231" s="5"/>
      <c r="J231" s="5"/>
      <c r="K231" s="17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2"/>
      <c r="G232" s="214"/>
      <c r="H232" s="5"/>
      <c r="I232" s="5"/>
      <c r="J232" s="5"/>
      <c r="K232" s="17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48" t="s">
        <v>180</v>
      </c>
      <c r="B233" s="51" t="s">
        <v>256</v>
      </c>
      <c r="C233" s="51" t="s">
        <v>255</v>
      </c>
      <c r="D233" s="248" t="s">
        <v>252</v>
      </c>
      <c r="E233" s="248" t="s">
        <v>320</v>
      </c>
      <c r="F233" s="253"/>
      <c r="G233" s="214"/>
      <c r="H233" s="5"/>
      <c r="I233" s="5"/>
      <c r="J233" s="5"/>
      <c r="K233" s="17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1">
        <v>0</v>
      </c>
      <c r="B234" s="204" t="s">
        <v>132</v>
      </c>
      <c r="C234" s="203"/>
      <c r="D234" s="202" t="s">
        <v>132</v>
      </c>
      <c r="E234" s="198"/>
      <c r="F234" s="253"/>
      <c r="G234" s="214"/>
      <c r="H234" s="5"/>
      <c r="I234" s="5"/>
      <c r="J234" s="5"/>
      <c r="K234" s="17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1">
        <v>1</v>
      </c>
      <c r="B235" s="204" t="s">
        <v>132</v>
      </c>
      <c r="C235" s="203"/>
      <c r="D235" s="202" t="s">
        <v>132</v>
      </c>
      <c r="E235" s="198"/>
      <c r="F235" s="253"/>
      <c r="G235" s="212"/>
      <c r="H235" s="5"/>
      <c r="I235" s="5"/>
      <c r="J235" s="5"/>
      <c r="K235" s="17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1">
        <v>2</v>
      </c>
      <c r="B236" s="204" t="s">
        <v>132</v>
      </c>
      <c r="C236" s="203"/>
      <c r="D236" s="202" t="s">
        <v>132</v>
      </c>
      <c r="E236" s="198"/>
      <c r="F236" s="253"/>
      <c r="G236" s="212"/>
      <c r="H236" s="5"/>
      <c r="I236" s="5"/>
      <c r="J236" s="5"/>
      <c r="K236" s="17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1">
        <v>3</v>
      </c>
      <c r="B237" s="204" t="s">
        <v>132</v>
      </c>
      <c r="C237" s="203"/>
      <c r="D237" s="202" t="s">
        <v>132</v>
      </c>
      <c r="E237" s="198"/>
      <c r="F237" s="253"/>
      <c r="G237" s="212"/>
      <c r="H237" s="5"/>
      <c r="I237" s="5"/>
      <c r="J237" s="5"/>
      <c r="K237" s="17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1">
        <v>4</v>
      </c>
      <c r="B238" s="204" t="s">
        <v>132</v>
      </c>
      <c r="C238" s="203"/>
      <c r="D238" s="202" t="s">
        <v>132</v>
      </c>
      <c r="E238" s="198"/>
      <c r="F238" s="253"/>
      <c r="G238" s="212"/>
      <c r="H238" s="5"/>
      <c r="I238" s="5"/>
      <c r="J238" s="5"/>
      <c r="K238" s="17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1">
        <v>5</v>
      </c>
      <c r="B239" s="204" t="s">
        <v>132</v>
      </c>
      <c r="C239" s="203"/>
      <c r="D239" s="202" t="s">
        <v>132</v>
      </c>
      <c r="E239" s="198"/>
      <c r="F239" s="253"/>
      <c r="G239" s="213"/>
      <c r="H239" s="5"/>
      <c r="I239" s="5"/>
      <c r="J239" s="5"/>
      <c r="K239" s="17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84">
        <f>'Données projet'!A218</f>
        <v>0</v>
      </c>
      <c r="B240" s="185">
        <f>'Données projet'!D218</f>
        <v>0</v>
      </c>
      <c r="C240" s="198"/>
      <c r="D240" s="183">
        <f>B240*C240</f>
        <v>0</v>
      </c>
      <c r="E240" s="198"/>
      <c r="F240" s="254"/>
      <c r="G240" s="213"/>
      <c r="H240" s="5"/>
      <c r="I240" s="5"/>
      <c r="J240" s="5"/>
      <c r="K240" s="17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84">
        <f>'Données projet'!A219</f>
        <v>0</v>
      </c>
      <c r="B241" s="185">
        <f>'Données projet'!D219</f>
        <v>0</v>
      </c>
      <c r="C241" s="198"/>
      <c r="D241" s="183">
        <f t="shared" ref="D241:D259" si="13">B241*C241</f>
        <v>0</v>
      </c>
      <c r="E241" s="198"/>
      <c r="F241" s="254"/>
      <c r="G241" s="213"/>
      <c r="H241" s="5"/>
      <c r="I241" s="5"/>
      <c r="J241" s="5"/>
      <c r="K241" s="17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84">
        <f>'Données projet'!A220</f>
        <v>0</v>
      </c>
      <c r="B242" s="185">
        <f>'Données projet'!D220</f>
        <v>0</v>
      </c>
      <c r="C242" s="196"/>
      <c r="D242" s="183">
        <f t="shared" si="13"/>
        <v>0</v>
      </c>
      <c r="E242" s="198"/>
      <c r="F242" s="254"/>
      <c r="G242" s="213"/>
      <c r="H242" s="5"/>
      <c r="I242" s="5"/>
      <c r="J242" s="5"/>
      <c r="K242" s="17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84">
        <f>'Données projet'!A221</f>
        <v>0</v>
      </c>
      <c r="B243" s="185">
        <f>'Données projet'!D221</f>
        <v>0</v>
      </c>
      <c r="C243" s="196"/>
      <c r="D243" s="183">
        <f t="shared" si="13"/>
        <v>0</v>
      </c>
      <c r="E243" s="198"/>
      <c r="F243" s="254"/>
      <c r="G243" s="213"/>
      <c r="H243" s="5"/>
      <c r="I243" s="5"/>
      <c r="J243" s="5"/>
      <c r="K243" s="17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84">
        <f>'Données projet'!A222</f>
        <v>0</v>
      </c>
      <c r="B244" s="185">
        <f>'Données projet'!D222</f>
        <v>0</v>
      </c>
      <c r="C244" s="196"/>
      <c r="D244" s="183">
        <f t="shared" si="13"/>
        <v>0</v>
      </c>
      <c r="E244" s="198"/>
      <c r="F244" s="254"/>
      <c r="G244" s="213"/>
      <c r="H244" s="5"/>
      <c r="I244" s="5"/>
      <c r="J244" s="5"/>
      <c r="K244" s="17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84">
        <f>'Données projet'!A223</f>
        <v>0</v>
      </c>
      <c r="B245" s="185">
        <f>'Données projet'!D223</f>
        <v>0</v>
      </c>
      <c r="C245" s="196"/>
      <c r="D245" s="183">
        <f t="shared" si="13"/>
        <v>0</v>
      </c>
      <c r="E245" s="198"/>
      <c r="F245" s="254"/>
      <c r="G245" s="213"/>
      <c r="H245" s="5"/>
      <c r="I245" s="5"/>
      <c r="J245" s="5"/>
      <c r="K245" s="17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84">
        <f>'Données projet'!A224</f>
        <v>0</v>
      </c>
      <c r="B246" s="185">
        <f>'Données projet'!D224</f>
        <v>0</v>
      </c>
      <c r="C246" s="196"/>
      <c r="D246" s="183">
        <f t="shared" si="13"/>
        <v>0</v>
      </c>
      <c r="E246" s="198"/>
      <c r="F246" s="254"/>
      <c r="G246" s="214"/>
      <c r="H246" s="5"/>
      <c r="I246" s="5"/>
      <c r="J246" s="5"/>
      <c r="K246" s="17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84">
        <f>'Données projet'!A225</f>
        <v>0</v>
      </c>
      <c r="B247" s="185">
        <f>'Données projet'!D225</f>
        <v>0</v>
      </c>
      <c r="C247" s="196"/>
      <c r="D247" s="183">
        <f t="shared" si="13"/>
        <v>0</v>
      </c>
      <c r="E247" s="198"/>
      <c r="F247" s="254"/>
      <c r="G247" s="214"/>
      <c r="H247" s="5"/>
      <c r="I247" s="5"/>
      <c r="J247" s="5"/>
      <c r="K247" s="17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84">
        <f>'Données projet'!A226</f>
        <v>0</v>
      </c>
      <c r="B248" s="185">
        <f>'Données projet'!D226</f>
        <v>0</v>
      </c>
      <c r="C248" s="196"/>
      <c r="D248" s="183">
        <f t="shared" si="13"/>
        <v>0</v>
      </c>
      <c r="E248" s="198"/>
      <c r="F248" s="254"/>
      <c r="G248" s="214"/>
      <c r="H248" s="5"/>
      <c r="I248" s="5"/>
      <c r="J248" s="5"/>
      <c r="K248" s="17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84">
        <f>'Données projet'!A227</f>
        <v>0</v>
      </c>
      <c r="B249" s="185">
        <f>'Données projet'!D227</f>
        <v>0</v>
      </c>
      <c r="C249" s="196"/>
      <c r="D249" s="183">
        <f t="shared" si="13"/>
        <v>0</v>
      </c>
      <c r="E249" s="198"/>
      <c r="F249" s="254"/>
      <c r="G249" s="214"/>
      <c r="H249" s="5"/>
      <c r="I249" s="5"/>
      <c r="J249" s="5"/>
      <c r="K249" s="17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84">
        <f>'Données projet'!A228</f>
        <v>0</v>
      </c>
      <c r="B250" s="185">
        <f>'Données projet'!D228</f>
        <v>0</v>
      </c>
      <c r="C250" s="196"/>
      <c r="D250" s="183">
        <f t="shared" si="13"/>
        <v>0</v>
      </c>
      <c r="E250" s="198"/>
      <c r="F250" s="254"/>
      <c r="G250" s="214"/>
      <c r="H250" s="5"/>
      <c r="I250" s="5"/>
      <c r="J250" s="5"/>
      <c r="K250" s="17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84">
        <f>'Données projet'!A229</f>
        <v>0</v>
      </c>
      <c r="B251" s="185">
        <f>'Données projet'!D229</f>
        <v>0</v>
      </c>
      <c r="C251" s="196"/>
      <c r="D251" s="183">
        <f t="shared" si="13"/>
        <v>0</v>
      </c>
      <c r="E251" s="198"/>
      <c r="F251" s="254"/>
      <c r="G251" s="214"/>
      <c r="H251" s="5"/>
      <c r="I251" s="5"/>
      <c r="J251" s="5"/>
      <c r="K251" s="17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84">
        <f>'Données projet'!A230</f>
        <v>0</v>
      </c>
      <c r="B252" s="185">
        <f>'Données projet'!D230</f>
        <v>0</v>
      </c>
      <c r="C252" s="198"/>
      <c r="D252" s="183">
        <f t="shared" si="13"/>
        <v>0</v>
      </c>
      <c r="E252" s="198"/>
      <c r="F252" s="254"/>
      <c r="G252" s="214"/>
      <c r="H252" s="5"/>
      <c r="I252" s="5"/>
      <c r="J252" s="5"/>
      <c r="K252" s="17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84">
        <f>'Données projet'!A231</f>
        <v>0</v>
      </c>
      <c r="B253" s="185">
        <f>'Données projet'!D231</f>
        <v>0</v>
      </c>
      <c r="C253" s="198"/>
      <c r="D253" s="183">
        <f t="shared" si="13"/>
        <v>0</v>
      </c>
      <c r="E253" s="198"/>
      <c r="F253" s="254"/>
      <c r="G253" s="214"/>
      <c r="H253" s="5"/>
      <c r="I253" s="5"/>
      <c r="J253" s="5"/>
      <c r="K253" s="17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84">
        <f>'Données projet'!A232</f>
        <v>0</v>
      </c>
      <c r="B254" s="185">
        <f>'Données projet'!D232</f>
        <v>0</v>
      </c>
      <c r="C254" s="198"/>
      <c r="D254" s="183">
        <f t="shared" si="13"/>
        <v>0</v>
      </c>
      <c r="E254" s="198"/>
      <c r="F254" s="254"/>
      <c r="G254" s="214"/>
      <c r="H254" s="5"/>
      <c r="I254" s="5"/>
      <c r="J254" s="5"/>
      <c r="K254" s="17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84">
        <f>'Données projet'!A233</f>
        <v>0</v>
      </c>
      <c r="B255" s="185">
        <f>'Données projet'!D233</f>
        <v>0</v>
      </c>
      <c r="C255" s="198"/>
      <c r="D255" s="183">
        <f t="shared" si="13"/>
        <v>0</v>
      </c>
      <c r="E255" s="198"/>
      <c r="F255" s="254"/>
      <c r="G255" s="214"/>
      <c r="H255" s="5"/>
      <c r="I255" s="5"/>
      <c r="J255" s="5"/>
      <c r="K255" s="17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84">
        <f>'Données projet'!A234</f>
        <v>0</v>
      </c>
      <c r="B256" s="185">
        <f>'Données projet'!D234</f>
        <v>0</v>
      </c>
      <c r="C256" s="198"/>
      <c r="D256" s="183">
        <f t="shared" si="13"/>
        <v>0</v>
      </c>
      <c r="E256" s="198"/>
      <c r="F256" s="254"/>
      <c r="G256" s="214"/>
      <c r="H256" s="5"/>
      <c r="I256" s="5"/>
      <c r="J256" s="5"/>
      <c r="K256" s="17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84">
        <f>'Données projet'!A235</f>
        <v>0</v>
      </c>
      <c r="B257" s="185">
        <f>'Données projet'!D235</f>
        <v>0</v>
      </c>
      <c r="C257" s="198"/>
      <c r="D257" s="183">
        <f t="shared" si="13"/>
        <v>0</v>
      </c>
      <c r="E257" s="198"/>
      <c r="F257" s="254"/>
      <c r="G257" s="214"/>
      <c r="H257" s="5"/>
      <c r="I257" s="5"/>
      <c r="J257" s="5"/>
      <c r="K257" s="17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84">
        <f>'Données projet'!A236</f>
        <v>0</v>
      </c>
      <c r="B258" s="185">
        <f>'Données projet'!D236</f>
        <v>0</v>
      </c>
      <c r="C258" s="198"/>
      <c r="D258" s="183">
        <f t="shared" si="13"/>
        <v>0</v>
      </c>
      <c r="E258" s="198"/>
      <c r="F258" s="254"/>
      <c r="G258" s="214"/>
      <c r="H258" s="5"/>
      <c r="I258" s="5"/>
      <c r="J258" s="5"/>
      <c r="K258" s="17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84">
        <f>'Données projet'!A237</f>
        <v>0</v>
      </c>
      <c r="B259" s="185">
        <f>'Données projet'!D237</f>
        <v>0</v>
      </c>
      <c r="C259" s="198"/>
      <c r="D259" s="183">
        <f t="shared" si="13"/>
        <v>0</v>
      </c>
      <c r="E259" s="198"/>
      <c r="F259" s="254"/>
      <c r="G259" s="214"/>
      <c r="H259" s="5"/>
      <c r="I259" s="5"/>
      <c r="J259" s="5"/>
      <c r="K259" s="17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2"/>
      <c r="G260" s="214"/>
      <c r="H260" s="5"/>
      <c r="I260" s="5"/>
      <c r="J260" s="5"/>
      <c r="K260" s="17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2"/>
      <c r="G261" s="214"/>
      <c r="H261" s="5"/>
      <c r="I261" s="5"/>
      <c r="J261" s="5"/>
      <c r="K261" s="17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78" t="str">
        <f>IF('Données projet'!$B$17="","",'Données projet'!$B$17)</f>
        <v/>
      </c>
      <c r="C262" s="5"/>
      <c r="D262" s="5"/>
      <c r="E262" s="5"/>
      <c r="F262" s="252"/>
      <c r="G262" s="214"/>
      <c r="H262" s="5"/>
      <c r="I262" s="5"/>
      <c r="J262" s="5"/>
      <c r="K262" s="17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2"/>
      <c r="G263" s="214"/>
      <c r="H263" s="5"/>
      <c r="I263" s="5"/>
      <c r="J263" s="5"/>
      <c r="K263" s="17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48" t="s">
        <v>180</v>
      </c>
      <c r="B264" s="51" t="s">
        <v>256</v>
      </c>
      <c r="C264" s="51" t="s">
        <v>255</v>
      </c>
      <c r="D264" s="248" t="s">
        <v>252</v>
      </c>
      <c r="E264" s="248" t="s">
        <v>320</v>
      </c>
      <c r="F264" s="253"/>
      <c r="G264" s="214"/>
      <c r="H264" s="5"/>
      <c r="I264" s="5"/>
      <c r="J264" s="5"/>
      <c r="K264" s="17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1">
        <v>0</v>
      </c>
      <c r="B265" s="204" t="s">
        <v>132</v>
      </c>
      <c r="C265" s="203"/>
      <c r="D265" s="202" t="s">
        <v>132</v>
      </c>
      <c r="E265" s="198"/>
      <c r="F265" s="253"/>
      <c r="G265" s="214"/>
      <c r="H265" s="5"/>
      <c r="I265" s="5"/>
      <c r="J265" s="5"/>
      <c r="K265" s="17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1">
        <v>1</v>
      </c>
      <c r="B266" s="204" t="s">
        <v>132</v>
      </c>
      <c r="C266" s="203"/>
      <c r="D266" s="202" t="s">
        <v>132</v>
      </c>
      <c r="E266" s="198"/>
      <c r="F266" s="253"/>
      <c r="G266" s="212"/>
      <c r="H266" s="5"/>
      <c r="I266" s="5"/>
      <c r="J266" s="5"/>
      <c r="K266" s="17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1">
        <v>2</v>
      </c>
      <c r="B267" s="204" t="s">
        <v>132</v>
      </c>
      <c r="C267" s="203"/>
      <c r="D267" s="202" t="s">
        <v>132</v>
      </c>
      <c r="E267" s="198"/>
      <c r="F267" s="253"/>
      <c r="G267" s="212"/>
      <c r="H267" s="5"/>
      <c r="I267" s="5"/>
      <c r="J267" s="5"/>
      <c r="K267" s="17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1">
        <v>3</v>
      </c>
      <c r="B268" s="204" t="s">
        <v>132</v>
      </c>
      <c r="C268" s="203"/>
      <c r="D268" s="202" t="s">
        <v>132</v>
      </c>
      <c r="E268" s="198"/>
      <c r="F268" s="253"/>
      <c r="G268" s="212"/>
      <c r="H268" s="5"/>
      <c r="I268" s="5"/>
      <c r="J268" s="5"/>
      <c r="K268" s="17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1">
        <v>4</v>
      </c>
      <c r="B269" s="204" t="s">
        <v>132</v>
      </c>
      <c r="C269" s="203"/>
      <c r="D269" s="202" t="s">
        <v>132</v>
      </c>
      <c r="E269" s="198"/>
      <c r="F269" s="253"/>
      <c r="G269" s="212"/>
      <c r="H269" s="5"/>
      <c r="I269" s="5"/>
      <c r="J269" s="5"/>
      <c r="K269" s="17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1">
        <v>5</v>
      </c>
      <c r="B270" s="204" t="s">
        <v>132</v>
      </c>
      <c r="C270" s="203"/>
      <c r="D270" s="202" t="s">
        <v>132</v>
      </c>
      <c r="E270" s="198"/>
      <c r="F270" s="253"/>
      <c r="G270" s="213"/>
      <c r="H270" s="5"/>
      <c r="I270" s="5"/>
      <c r="J270" s="5"/>
      <c r="K270" s="17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84">
        <f>'Données projet'!A244</f>
        <v>0</v>
      </c>
      <c r="B271" s="185">
        <f>'Données projet'!D244</f>
        <v>0</v>
      </c>
      <c r="C271" s="198"/>
      <c r="D271" s="183">
        <f>B271*C271</f>
        <v>0</v>
      </c>
      <c r="E271" s="198"/>
      <c r="F271" s="254"/>
      <c r="G271" s="213"/>
      <c r="H271" s="5"/>
      <c r="I271" s="5"/>
      <c r="J271" s="5"/>
      <c r="K271" s="17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84">
        <f>'Données projet'!A245</f>
        <v>0</v>
      </c>
      <c r="B272" s="185">
        <f>'Données projet'!D245</f>
        <v>0</v>
      </c>
      <c r="C272" s="198"/>
      <c r="D272" s="183">
        <f t="shared" ref="D272:D290" si="14">B272*C272</f>
        <v>0</v>
      </c>
      <c r="E272" s="198"/>
      <c r="F272" s="254"/>
      <c r="G272" s="213"/>
      <c r="H272" s="5"/>
      <c r="I272" s="5"/>
      <c r="J272" s="5"/>
      <c r="K272" s="17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84">
        <f>'Données projet'!A246</f>
        <v>0</v>
      </c>
      <c r="B273" s="185">
        <f>'Données projet'!D246</f>
        <v>0</v>
      </c>
      <c r="C273" s="196"/>
      <c r="D273" s="183">
        <f t="shared" si="14"/>
        <v>0</v>
      </c>
      <c r="E273" s="198"/>
      <c r="F273" s="254"/>
      <c r="G273" s="213"/>
      <c r="H273" s="5"/>
      <c r="I273" s="5"/>
      <c r="J273" s="5"/>
      <c r="K273" s="17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84">
        <f>'Données projet'!A247</f>
        <v>0</v>
      </c>
      <c r="B274" s="185">
        <f>'Données projet'!D247</f>
        <v>0</v>
      </c>
      <c r="C274" s="196"/>
      <c r="D274" s="183">
        <f t="shared" si="14"/>
        <v>0</v>
      </c>
      <c r="E274" s="198"/>
      <c r="F274" s="254"/>
      <c r="G274" s="213"/>
      <c r="H274" s="5"/>
      <c r="I274" s="5"/>
      <c r="J274" s="5"/>
      <c r="K274" s="17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84">
        <f>'Données projet'!A248</f>
        <v>0</v>
      </c>
      <c r="B275" s="185">
        <f>'Données projet'!D248</f>
        <v>0</v>
      </c>
      <c r="C275" s="196"/>
      <c r="D275" s="183">
        <f t="shared" si="14"/>
        <v>0</v>
      </c>
      <c r="E275" s="198"/>
      <c r="F275" s="254"/>
      <c r="G275" s="213"/>
      <c r="H275" s="5"/>
      <c r="I275" s="5"/>
      <c r="J275" s="5"/>
      <c r="K275" s="17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84">
        <f>'Données projet'!A249</f>
        <v>0</v>
      </c>
      <c r="B276" s="185">
        <f>'Données projet'!D249</f>
        <v>0</v>
      </c>
      <c r="C276" s="196"/>
      <c r="D276" s="183">
        <f t="shared" si="14"/>
        <v>0</v>
      </c>
      <c r="E276" s="198"/>
      <c r="F276" s="254"/>
      <c r="G276" s="213"/>
      <c r="H276" s="5"/>
      <c r="I276" s="5"/>
      <c r="J276" s="5"/>
      <c r="K276" s="17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84">
        <f>'Données projet'!A250</f>
        <v>0</v>
      </c>
      <c r="B277" s="185">
        <f>'Données projet'!D250</f>
        <v>0</v>
      </c>
      <c r="C277" s="198"/>
      <c r="D277" s="183">
        <f t="shared" si="14"/>
        <v>0</v>
      </c>
      <c r="E277" s="198"/>
      <c r="F277" s="254"/>
      <c r="G277" s="214"/>
      <c r="H277" s="5"/>
      <c r="I277" s="5"/>
      <c r="J277" s="5"/>
      <c r="K277" s="17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84">
        <f>'Données projet'!A251</f>
        <v>0</v>
      </c>
      <c r="B278" s="185">
        <f>'Données projet'!D251</f>
        <v>0</v>
      </c>
      <c r="C278" s="198"/>
      <c r="D278" s="183">
        <f t="shared" si="14"/>
        <v>0</v>
      </c>
      <c r="E278" s="198"/>
      <c r="F278" s="254"/>
      <c r="G278" s="214"/>
      <c r="H278" s="5"/>
      <c r="I278" s="5"/>
      <c r="J278" s="5"/>
      <c r="K278" s="17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84">
        <f>'Données projet'!A252</f>
        <v>0</v>
      </c>
      <c r="B279" s="185">
        <f>'Données projet'!D252</f>
        <v>0</v>
      </c>
      <c r="C279" s="198"/>
      <c r="D279" s="183">
        <f t="shared" si="14"/>
        <v>0</v>
      </c>
      <c r="E279" s="198"/>
      <c r="F279" s="254"/>
      <c r="G279" s="214"/>
      <c r="H279" s="5"/>
      <c r="I279" s="5"/>
      <c r="J279" s="5"/>
      <c r="K279" s="17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84">
        <f>'Données projet'!A253</f>
        <v>0</v>
      </c>
      <c r="B280" s="185">
        <f>'Données projet'!D253</f>
        <v>0</v>
      </c>
      <c r="C280" s="198"/>
      <c r="D280" s="183">
        <f t="shared" si="14"/>
        <v>0</v>
      </c>
      <c r="E280" s="198"/>
      <c r="F280" s="254"/>
      <c r="G280" s="214"/>
      <c r="H280" s="5"/>
      <c r="I280" s="5"/>
      <c r="J280" s="5"/>
      <c r="K280" s="17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84">
        <f>'Données projet'!A254</f>
        <v>0</v>
      </c>
      <c r="B281" s="185">
        <f>'Données projet'!D254</f>
        <v>0</v>
      </c>
      <c r="C281" s="198"/>
      <c r="D281" s="183">
        <f t="shared" si="14"/>
        <v>0</v>
      </c>
      <c r="E281" s="198"/>
      <c r="F281" s="254"/>
      <c r="G281" s="214"/>
      <c r="H281" s="5"/>
      <c r="I281" s="5"/>
      <c r="J281" s="5"/>
      <c r="K281" s="17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84">
        <f>'Données projet'!A255</f>
        <v>0</v>
      </c>
      <c r="B282" s="185">
        <f>'Données projet'!D255</f>
        <v>0</v>
      </c>
      <c r="C282" s="196"/>
      <c r="D282" s="183">
        <f t="shared" si="14"/>
        <v>0</v>
      </c>
      <c r="E282" s="198"/>
      <c r="F282" s="254"/>
      <c r="G282" s="214"/>
      <c r="H282" s="5"/>
      <c r="I282" s="5"/>
      <c r="J282" s="5"/>
      <c r="K282" s="17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84">
        <f>'Données projet'!A256</f>
        <v>0</v>
      </c>
      <c r="B283" s="185">
        <f>'Données projet'!D256</f>
        <v>0</v>
      </c>
      <c r="C283" s="196"/>
      <c r="D283" s="183">
        <f t="shared" si="14"/>
        <v>0</v>
      </c>
      <c r="E283" s="198"/>
      <c r="F283" s="254"/>
      <c r="G283" s="214"/>
      <c r="H283" s="5"/>
      <c r="I283" s="5"/>
      <c r="J283" s="5"/>
      <c r="K283" s="17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84">
        <f>'Données projet'!A257</f>
        <v>0</v>
      </c>
      <c r="B284" s="185">
        <f>'Données projet'!D257</f>
        <v>0</v>
      </c>
      <c r="C284" s="198"/>
      <c r="D284" s="183">
        <f t="shared" si="14"/>
        <v>0</v>
      </c>
      <c r="E284" s="198"/>
      <c r="F284" s="254"/>
      <c r="G284" s="214"/>
      <c r="H284" s="5"/>
      <c r="I284" s="5"/>
      <c r="J284" s="5"/>
      <c r="K284" s="17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84">
        <f>'Données projet'!A258</f>
        <v>0</v>
      </c>
      <c r="B285" s="185">
        <f>'Données projet'!D258</f>
        <v>0</v>
      </c>
      <c r="C285" s="198"/>
      <c r="D285" s="183">
        <f t="shared" si="14"/>
        <v>0</v>
      </c>
      <c r="E285" s="198"/>
      <c r="F285" s="254"/>
      <c r="G285" s="214"/>
      <c r="H285" s="5"/>
      <c r="I285" s="5"/>
      <c r="J285" s="5"/>
      <c r="K285" s="17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84">
        <f>'Données projet'!A259</f>
        <v>0</v>
      </c>
      <c r="B286" s="185">
        <f>'Données projet'!D259</f>
        <v>0</v>
      </c>
      <c r="C286" s="198"/>
      <c r="D286" s="183">
        <f t="shared" si="14"/>
        <v>0</v>
      </c>
      <c r="E286" s="198"/>
      <c r="F286" s="254"/>
      <c r="G286" s="214"/>
      <c r="H286" s="5"/>
      <c r="I286" s="5"/>
      <c r="J286" s="5"/>
      <c r="K286" s="17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84">
        <f>'Données projet'!A260</f>
        <v>0</v>
      </c>
      <c r="B287" s="185">
        <f>'Données projet'!D260</f>
        <v>0</v>
      </c>
      <c r="C287" s="198"/>
      <c r="D287" s="183">
        <f t="shared" si="14"/>
        <v>0</v>
      </c>
      <c r="E287" s="198"/>
      <c r="F287" s="254"/>
      <c r="G287" s="214"/>
      <c r="H287" s="5"/>
      <c r="I287" s="5"/>
      <c r="J287" s="5"/>
      <c r="K287" s="17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84">
        <f>'Données projet'!A261</f>
        <v>0</v>
      </c>
      <c r="B288" s="185">
        <f>'Données projet'!D261</f>
        <v>0</v>
      </c>
      <c r="C288" s="196"/>
      <c r="D288" s="183">
        <f t="shared" si="14"/>
        <v>0</v>
      </c>
      <c r="E288" s="198"/>
      <c r="F288" s="254"/>
      <c r="G288" s="214"/>
      <c r="H288" s="5"/>
      <c r="I288" s="5"/>
      <c r="J288" s="5"/>
      <c r="K288" s="17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84">
        <f>'Données projet'!A262</f>
        <v>0</v>
      </c>
      <c r="B289" s="185">
        <f>'Données projet'!D262</f>
        <v>0</v>
      </c>
      <c r="C289" s="196"/>
      <c r="D289" s="183">
        <f t="shared" si="14"/>
        <v>0</v>
      </c>
      <c r="E289" s="198"/>
      <c r="F289" s="254"/>
      <c r="G289" s="214"/>
      <c r="H289" s="5"/>
      <c r="I289" s="5"/>
      <c r="J289" s="5"/>
      <c r="K289" s="17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84">
        <f>'Données projet'!A263</f>
        <v>0</v>
      </c>
      <c r="B290" s="185">
        <f>'Données projet'!D263</f>
        <v>0</v>
      </c>
      <c r="C290" s="196"/>
      <c r="D290" s="183">
        <f t="shared" si="14"/>
        <v>0</v>
      </c>
      <c r="E290" s="198"/>
      <c r="F290" s="254"/>
      <c r="G290" s="214"/>
      <c r="H290" s="5"/>
      <c r="I290" s="5"/>
      <c r="J290" s="5"/>
      <c r="K290" s="17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2"/>
      <c r="G291" s="214"/>
      <c r="H291" s="5"/>
      <c r="I291" s="5"/>
      <c r="J291" s="5"/>
      <c r="K291" s="17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2"/>
      <c r="G292" s="214"/>
      <c r="H292" s="5"/>
      <c r="I292" s="5"/>
      <c r="J292" s="5"/>
      <c r="K292" s="17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78" t="str">
        <f>IF('Données projet'!$B$18="","",'Données projet'!$B$18)</f>
        <v/>
      </c>
      <c r="C293" s="5"/>
      <c r="D293" s="5"/>
      <c r="E293" s="5"/>
      <c r="F293" s="252"/>
      <c r="G293" s="214"/>
      <c r="H293" s="5"/>
      <c r="I293" s="5"/>
      <c r="J293" s="5"/>
      <c r="K293" s="17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2"/>
      <c r="G294" s="214"/>
      <c r="H294" s="5"/>
      <c r="I294" s="5"/>
      <c r="J294" s="5"/>
      <c r="K294" s="17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48" t="s">
        <v>180</v>
      </c>
      <c r="B295" s="51" t="s">
        <v>256</v>
      </c>
      <c r="C295" s="51" t="s">
        <v>255</v>
      </c>
      <c r="D295" s="248" t="s">
        <v>252</v>
      </c>
      <c r="E295" s="248" t="s">
        <v>320</v>
      </c>
      <c r="F295" s="253"/>
      <c r="G295" s="214"/>
      <c r="H295" s="5"/>
      <c r="I295" s="5"/>
      <c r="J295" s="5"/>
      <c r="K295" s="17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1">
        <v>0</v>
      </c>
      <c r="B296" s="204" t="s">
        <v>132</v>
      </c>
      <c r="C296" s="203"/>
      <c r="D296" s="202" t="s">
        <v>132</v>
      </c>
      <c r="E296" s="198"/>
      <c r="F296" s="253"/>
      <c r="G296" s="214"/>
      <c r="H296" s="5"/>
      <c r="I296" s="5"/>
      <c r="J296" s="5"/>
      <c r="K296" s="17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1">
        <v>1</v>
      </c>
      <c r="B297" s="204" t="s">
        <v>132</v>
      </c>
      <c r="C297" s="203"/>
      <c r="D297" s="202" t="s">
        <v>132</v>
      </c>
      <c r="E297" s="198"/>
      <c r="F297" s="253"/>
      <c r="G297" s="212"/>
      <c r="H297" s="5"/>
      <c r="I297" s="5"/>
      <c r="J297" s="5"/>
      <c r="K297" s="17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1">
        <v>2</v>
      </c>
      <c r="B298" s="204" t="s">
        <v>132</v>
      </c>
      <c r="C298" s="203"/>
      <c r="D298" s="202" t="s">
        <v>132</v>
      </c>
      <c r="E298" s="198"/>
      <c r="F298" s="253"/>
      <c r="G298" s="212"/>
      <c r="H298" s="5"/>
      <c r="I298" s="5"/>
      <c r="J298" s="5"/>
      <c r="K298" s="17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1">
        <v>3</v>
      </c>
      <c r="B299" s="204" t="s">
        <v>132</v>
      </c>
      <c r="C299" s="203"/>
      <c r="D299" s="202" t="s">
        <v>132</v>
      </c>
      <c r="E299" s="198"/>
      <c r="F299" s="253"/>
      <c r="G299" s="212"/>
      <c r="H299" s="5"/>
      <c r="I299" s="5"/>
      <c r="J299" s="5"/>
      <c r="K299" s="17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1">
        <v>4</v>
      </c>
      <c r="B300" s="204" t="s">
        <v>132</v>
      </c>
      <c r="C300" s="203"/>
      <c r="D300" s="202" t="s">
        <v>132</v>
      </c>
      <c r="E300" s="198"/>
      <c r="F300" s="253"/>
      <c r="G300" s="212"/>
      <c r="H300" s="5"/>
      <c r="I300" s="5"/>
      <c r="J300" s="5"/>
      <c r="K300" s="17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1">
        <v>5</v>
      </c>
      <c r="B301" s="204" t="s">
        <v>132</v>
      </c>
      <c r="C301" s="203"/>
      <c r="D301" s="202" t="s">
        <v>132</v>
      </c>
      <c r="E301" s="198"/>
      <c r="F301" s="253"/>
      <c r="G301" s="213"/>
      <c r="H301" s="5"/>
      <c r="I301" s="5"/>
      <c r="J301" s="5"/>
      <c r="K301" s="17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84">
        <f>'Données projet'!A270</f>
        <v>0</v>
      </c>
      <c r="B302" s="185">
        <f>'Données projet'!D270</f>
        <v>0</v>
      </c>
      <c r="C302" s="196"/>
      <c r="D302" s="186">
        <f t="shared" ref="D302:D314" si="15">B302*C302</f>
        <v>0</v>
      </c>
      <c r="E302" s="198"/>
      <c r="F302" s="255"/>
      <c r="G302" s="213"/>
      <c r="H302" s="5"/>
      <c r="I302" s="5"/>
      <c r="J302" s="5"/>
      <c r="K302" s="17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84">
        <f>'Données projet'!A271</f>
        <v>0</v>
      </c>
      <c r="B303" s="185">
        <f>'Données projet'!D271</f>
        <v>0</v>
      </c>
      <c r="C303" s="198"/>
      <c r="D303" s="186">
        <f t="shared" si="15"/>
        <v>0</v>
      </c>
      <c r="E303" s="198"/>
      <c r="F303" s="255"/>
      <c r="G303" s="213"/>
      <c r="H303" s="5"/>
      <c r="I303" s="5"/>
      <c r="J303" s="5"/>
      <c r="K303" s="17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84">
        <f>'Données projet'!A272</f>
        <v>0</v>
      </c>
      <c r="B304" s="185">
        <f>'Données projet'!D272</f>
        <v>0</v>
      </c>
      <c r="C304" s="198"/>
      <c r="D304" s="186">
        <f t="shared" si="15"/>
        <v>0</v>
      </c>
      <c r="E304" s="198"/>
      <c r="F304" s="255"/>
      <c r="G304" s="213"/>
      <c r="H304" s="5"/>
      <c r="I304" s="5"/>
      <c r="J304" s="5"/>
      <c r="K304" s="17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84">
        <f>'Données projet'!A273</f>
        <v>0</v>
      </c>
      <c r="B305" s="185">
        <f>'Données projet'!D273</f>
        <v>0</v>
      </c>
      <c r="C305" s="198"/>
      <c r="D305" s="186">
        <f t="shared" si="15"/>
        <v>0</v>
      </c>
      <c r="E305" s="198"/>
      <c r="F305" s="255"/>
      <c r="G305" s="213"/>
      <c r="H305" s="5"/>
      <c r="I305" s="5"/>
      <c r="J305" s="5"/>
      <c r="K305" s="17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84">
        <f>'Données projet'!A274</f>
        <v>0</v>
      </c>
      <c r="B306" s="185">
        <f>'Données projet'!D274</f>
        <v>0</v>
      </c>
      <c r="C306" s="198"/>
      <c r="D306" s="186">
        <f t="shared" si="15"/>
        <v>0</v>
      </c>
      <c r="E306" s="198"/>
      <c r="F306" s="255"/>
      <c r="G306" s="213"/>
      <c r="H306" s="5"/>
      <c r="I306" s="5"/>
      <c r="J306" s="5"/>
      <c r="K306" s="17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84">
        <f>'Données projet'!A275</f>
        <v>0</v>
      </c>
      <c r="B307" s="185">
        <f>'Données projet'!D275</f>
        <v>0</v>
      </c>
      <c r="C307" s="198"/>
      <c r="D307" s="186">
        <f t="shared" si="15"/>
        <v>0</v>
      </c>
      <c r="E307" s="198"/>
      <c r="F307" s="255"/>
      <c r="G307" s="213"/>
      <c r="H307" s="5"/>
      <c r="I307" s="5"/>
      <c r="J307" s="5"/>
      <c r="K307" s="17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84">
        <f>'Données projet'!A276</f>
        <v>0</v>
      </c>
      <c r="B308" s="185">
        <f>'Données projet'!D276</f>
        <v>0</v>
      </c>
      <c r="C308" s="198"/>
      <c r="D308" s="186">
        <f t="shared" si="15"/>
        <v>0</v>
      </c>
      <c r="E308" s="198"/>
      <c r="F308" s="255"/>
      <c r="G308" s="209"/>
      <c r="H308" s="5"/>
      <c r="I308" s="5"/>
      <c r="J308" s="5"/>
      <c r="K308" s="17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84">
        <f>'Données projet'!A277</f>
        <v>0</v>
      </c>
      <c r="B309" s="185">
        <f>'Données projet'!D277</f>
        <v>0</v>
      </c>
      <c r="C309" s="198"/>
      <c r="D309" s="186">
        <f t="shared" si="15"/>
        <v>0</v>
      </c>
      <c r="E309" s="198"/>
      <c r="F309" s="255"/>
      <c r="G309" s="209"/>
      <c r="H309" s="5"/>
      <c r="I309" s="5"/>
      <c r="J309" s="5"/>
      <c r="K309" s="17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84">
        <f>'Données projet'!A278</f>
        <v>0</v>
      </c>
      <c r="B310" s="185">
        <f>'Données projet'!D278</f>
        <v>0</v>
      </c>
      <c r="C310" s="198"/>
      <c r="D310" s="186">
        <f t="shared" si="15"/>
        <v>0</v>
      </c>
      <c r="E310" s="198"/>
      <c r="F310" s="255"/>
      <c r="G310" s="209"/>
      <c r="H310" s="5"/>
      <c r="I310" s="5"/>
      <c r="J310" s="5"/>
      <c r="K310" s="17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84">
        <f>'Données projet'!A279</f>
        <v>0</v>
      </c>
      <c r="B311" s="185">
        <f>'Données projet'!D279</f>
        <v>0</v>
      </c>
      <c r="C311" s="198"/>
      <c r="D311" s="186">
        <f t="shared" si="15"/>
        <v>0</v>
      </c>
      <c r="E311" s="198"/>
      <c r="F311" s="255"/>
      <c r="G311" s="209"/>
      <c r="H311" s="5"/>
      <c r="I311" s="5"/>
      <c r="J311" s="5"/>
      <c r="K311" s="17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84">
        <f>'Données projet'!A280</f>
        <v>0</v>
      </c>
      <c r="B312" s="185">
        <f>'Données projet'!D280</f>
        <v>0</v>
      </c>
      <c r="C312" s="198"/>
      <c r="D312" s="186">
        <f t="shared" si="15"/>
        <v>0</v>
      </c>
      <c r="E312" s="198"/>
      <c r="F312" s="255"/>
      <c r="G312" s="209"/>
      <c r="H312" s="5"/>
      <c r="I312" s="5"/>
      <c r="J312" s="5"/>
      <c r="K312" s="17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84">
        <f>'Données projet'!A281</f>
        <v>0</v>
      </c>
      <c r="B313" s="185">
        <f>'Données projet'!D281</f>
        <v>0</v>
      </c>
      <c r="C313" s="198"/>
      <c r="D313" s="186">
        <f t="shared" si="15"/>
        <v>0</v>
      </c>
      <c r="E313" s="198"/>
      <c r="F313" s="255"/>
      <c r="G313" s="209"/>
      <c r="H313" s="5"/>
      <c r="I313" s="5"/>
      <c r="J313" s="5"/>
      <c r="K313" s="17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84">
        <f>'Données projet'!A282</f>
        <v>0</v>
      </c>
      <c r="B314" s="185">
        <f>'Données projet'!D282</f>
        <v>0</v>
      </c>
      <c r="C314" s="198"/>
      <c r="D314" s="186">
        <f t="shared" si="15"/>
        <v>0</v>
      </c>
      <c r="E314" s="198"/>
      <c r="F314" s="255"/>
      <c r="G314" s="209"/>
      <c r="H314" s="5"/>
      <c r="I314" s="5"/>
      <c r="J314" s="5"/>
      <c r="K314" s="17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84">
        <f>'Données projet'!A283</f>
        <v>0</v>
      </c>
      <c r="B315" s="185">
        <f>'Données projet'!D283</f>
        <v>0</v>
      </c>
      <c r="C315" s="198"/>
      <c r="D315" s="186">
        <f t="shared" ref="D315:D321" si="16">B315*C315</f>
        <v>0</v>
      </c>
      <c r="E315" s="198"/>
      <c r="F315" s="255"/>
      <c r="G315" s="209"/>
      <c r="H315" s="5"/>
      <c r="I315" s="5"/>
      <c r="J315" s="5"/>
      <c r="K315" s="17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84">
        <f>'Données projet'!A284</f>
        <v>0</v>
      </c>
      <c r="B316" s="185">
        <f>'Données projet'!D284</f>
        <v>0</v>
      </c>
      <c r="C316" s="198"/>
      <c r="D316" s="186">
        <f t="shared" si="16"/>
        <v>0</v>
      </c>
      <c r="E316" s="198"/>
      <c r="F316" s="255"/>
      <c r="G316" s="209"/>
      <c r="H316" s="5"/>
      <c r="I316" s="5"/>
      <c r="J316" s="5"/>
      <c r="K316" s="17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84">
        <f>'Données projet'!A285</f>
        <v>0</v>
      </c>
      <c r="B317" s="185">
        <f>'Données projet'!D285</f>
        <v>0</v>
      </c>
      <c r="C317" s="198"/>
      <c r="D317" s="186">
        <f t="shared" si="16"/>
        <v>0</v>
      </c>
      <c r="E317" s="198"/>
      <c r="F317" s="255"/>
      <c r="G317" s="209"/>
      <c r="H317" s="5"/>
      <c r="I317" s="5"/>
      <c r="J317" s="5"/>
      <c r="K317" s="17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84">
        <f>'Données projet'!A286</f>
        <v>0</v>
      </c>
      <c r="B318" s="185">
        <f>'Données projet'!D286</f>
        <v>0</v>
      </c>
      <c r="C318" s="198"/>
      <c r="D318" s="186">
        <f t="shared" si="16"/>
        <v>0</v>
      </c>
      <c r="E318" s="198"/>
      <c r="F318" s="255"/>
      <c r="G318" s="209"/>
      <c r="H318" s="5"/>
      <c r="I318" s="5"/>
      <c r="J318" s="5"/>
      <c r="K318" s="17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84">
        <f>'Données projet'!A287</f>
        <v>0</v>
      </c>
      <c r="B319" s="185">
        <f>'Données projet'!D287</f>
        <v>0</v>
      </c>
      <c r="C319" s="198"/>
      <c r="D319" s="186">
        <f t="shared" si="16"/>
        <v>0</v>
      </c>
      <c r="E319" s="198"/>
      <c r="F319" s="255"/>
      <c r="G319" s="209"/>
      <c r="H319" s="5"/>
      <c r="I319" s="5"/>
      <c r="J319" s="5"/>
      <c r="K319" s="17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84">
        <f>'Données projet'!A288</f>
        <v>0</v>
      </c>
      <c r="B320" s="185">
        <f>'Données projet'!D288</f>
        <v>0</v>
      </c>
      <c r="C320" s="198"/>
      <c r="D320" s="186">
        <f t="shared" si="16"/>
        <v>0</v>
      </c>
      <c r="E320" s="198"/>
      <c r="F320" s="255"/>
      <c r="G320" s="209"/>
      <c r="H320" s="5"/>
      <c r="I320" s="5"/>
      <c r="J320" s="5"/>
      <c r="K320" s="17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84">
        <f>'Données projet'!A289</f>
        <v>0</v>
      </c>
      <c r="B321" s="185">
        <f>'Données projet'!D289</f>
        <v>0</v>
      </c>
      <c r="C321" s="198"/>
      <c r="D321" s="186">
        <f t="shared" si="16"/>
        <v>0</v>
      </c>
      <c r="E321" s="198"/>
      <c r="F321" s="255"/>
      <c r="G321" s="209"/>
      <c r="H321" s="5"/>
      <c r="I321" s="5"/>
      <c r="J321" s="5"/>
      <c r="K321" s="17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09"/>
      <c r="H322" s="5"/>
      <c r="I322" s="5"/>
      <c r="J322" s="5"/>
      <c r="K322" s="17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09"/>
      <c r="H323" s="5"/>
      <c r="I323" s="5"/>
      <c r="J323" s="5"/>
      <c r="K323" s="17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09"/>
      <c r="H324" s="5"/>
      <c r="I324" s="5"/>
      <c r="J324" s="5"/>
      <c r="K324" s="17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09"/>
      <c r="H325" s="5"/>
      <c r="I325" s="5"/>
      <c r="J325" s="5"/>
      <c r="K325" s="17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09"/>
      <c r="H326" s="5"/>
      <c r="I326" s="5"/>
      <c r="J326" s="5"/>
      <c r="K326" s="17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09"/>
      <c r="H327" s="5"/>
      <c r="I327" s="5"/>
      <c r="J327" s="5"/>
      <c r="K327" s="17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2"/>
      <c r="G328" s="222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2"/>
      <c r="G329" s="222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2"/>
      <c r="G330" s="222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2"/>
      <c r="G331" s="222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2"/>
      <c r="G332" s="222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2"/>
      <c r="G333" s="222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2"/>
      <c r="G334" s="222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2"/>
      <c r="G335" s="222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2"/>
      <c r="G336" s="222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2"/>
      <c r="G337" s="222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2"/>
      <c r="G338" s="222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2"/>
      <c r="G339" s="222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2"/>
      <c r="G340" s="222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2"/>
      <c r="G341" s="222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2"/>
      <c r="G342" s="222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2"/>
      <c r="G343" s="222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2"/>
      <c r="G344" s="222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2"/>
      <c r="G345" s="222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2"/>
      <c r="G346" s="222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2"/>
      <c r="G347" s="222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2"/>
      <c r="G348" s="222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2"/>
      <c r="G349" s="222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2"/>
      <c r="G350" s="222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2"/>
      <c r="G351" s="222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2"/>
      <c r="G352" s="222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2"/>
      <c r="G353" s="222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2"/>
      <c r="G354" s="222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2"/>
      <c r="G355" s="222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2"/>
      <c r="G356" s="222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2"/>
      <c r="G357" s="222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2"/>
      <c r="G358" s="222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2"/>
      <c r="G359" s="222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2"/>
      <c r="G360" s="222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2"/>
      <c r="G361" s="222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2"/>
      <c r="G362" s="222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2"/>
      <c r="G363" s="222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2"/>
      <c r="G364" s="222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2"/>
      <c r="G365" s="222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2"/>
      <c r="G366" s="222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2"/>
      <c r="G367" s="222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2"/>
      <c r="G368" s="222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2"/>
      <c r="G369" s="222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2"/>
      <c r="G370" s="6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2"/>
      <c r="G371" s="6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2"/>
      <c r="G372" s="6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2"/>
      <c r="G373" s="6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2"/>
      <c r="G374" s="6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2"/>
      <c r="G375" s="6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2"/>
      <c r="G376" s="64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2"/>
      <c r="G377" s="64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2"/>
      <c r="G378" s="64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2"/>
      <c r="G379" s="64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2"/>
      <c r="G380" s="64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2"/>
      <c r="G381" s="64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2"/>
      <c r="G382" s="64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2"/>
      <c r="G383" s="64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2"/>
      <c r="G384" s="64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2"/>
      <c r="G385" s="64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2"/>
      <c r="G386" s="64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2"/>
      <c r="G387" s="64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2"/>
      <c r="G388" s="64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2"/>
      <c r="G389" s="64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2"/>
      <c r="G390" s="64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2"/>
      <c r="G391" s="64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2"/>
      <c r="G392" s="64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2"/>
      <c r="G393" s="64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2"/>
      <c r="G394" s="64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2"/>
      <c r="G395" s="64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4"/>
      <c r="G396" s="64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4"/>
      <c r="G397" s="64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4"/>
      <c r="G398" s="64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4"/>
      <c r="G399" s="64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4"/>
      <c r="G400" s="64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4"/>
      <c r="G401" s="64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4"/>
      <c r="G402" s="64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4"/>
      <c r="G403" s="64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4"/>
      <c r="G404" s="64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4"/>
      <c r="G405" s="64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4"/>
      <c r="G406" s="64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4"/>
      <c r="G407" s="64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4"/>
      <c r="G408" s="64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4"/>
      <c r="G409" s="64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4"/>
      <c r="G410" s="64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4"/>
      <c r="G411" s="64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4"/>
      <c r="G412" s="64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4"/>
      <c r="G413" s="64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4"/>
      <c r="G414" s="64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4"/>
      <c r="G415" s="64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4"/>
      <c r="G416" s="64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4"/>
      <c r="G417" s="64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4"/>
      <c r="G418" s="64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4"/>
      <c r="G419" s="64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4"/>
      <c r="G420" s="64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4"/>
      <c r="G421" s="64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4"/>
      <c r="G422" s="64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4"/>
      <c r="G423" s="64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4"/>
      <c r="G424" s="64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4"/>
      <c r="G425" s="64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4"/>
      <c r="G426" s="64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4"/>
      <c r="G427" s="64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4"/>
      <c r="G428" s="64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4"/>
      <c r="G429" s="64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4"/>
      <c r="G430" s="64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4"/>
      <c r="G431" s="64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4"/>
      <c r="G432" s="64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4"/>
      <c r="G433" s="64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4"/>
      <c r="G434" s="64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4"/>
      <c r="G435" s="64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4"/>
      <c r="G436" s="64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4"/>
      <c r="G437" s="64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4"/>
      <c r="G438" s="64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4"/>
      <c r="G439" s="64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4"/>
      <c r="G440" s="64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4"/>
      <c r="G441" s="64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fleur.alonso</cp:lastModifiedBy>
  <dcterms:created xsi:type="dcterms:W3CDTF">2021-02-01T08:22:39Z</dcterms:created>
  <dcterms:modified xsi:type="dcterms:W3CDTF">2025-03-28T14:55:48Z</dcterms:modified>
</cp:coreProperties>
</file>